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imaksvytiene\Desktop\2019 m MVP rengimui\2019_04_SAV_ADM_MVP\"/>
    </mc:Choice>
  </mc:AlternateContent>
  <bookViews>
    <workbookView xWindow="0" yWindow="0" windowWidth="20655" windowHeight="10605"/>
  </bookViews>
  <sheets>
    <sheet name="Planas" sheetId="2" r:id="rId1"/>
  </sheets>
  <calcPr calcId="152511"/>
</workbook>
</file>

<file path=xl/calcChain.xml><?xml version="1.0" encoding="utf-8"?>
<calcChain xmlns="http://schemas.openxmlformats.org/spreadsheetml/2006/main">
  <c r="E11" i="2" l="1"/>
  <c r="F11" i="2"/>
  <c r="G11" i="2"/>
  <c r="H11" i="2"/>
  <c r="I11" i="2"/>
  <c r="J11" i="2"/>
  <c r="K11" i="2"/>
  <c r="L11" i="2"/>
  <c r="M11" i="2"/>
  <c r="N11" i="2"/>
  <c r="E13" i="2"/>
  <c r="E10" i="2" s="1"/>
  <c r="E9" i="2" s="1"/>
  <c r="F13" i="2"/>
  <c r="G13" i="2"/>
  <c r="H13" i="2"/>
  <c r="I13" i="2"/>
  <c r="J13" i="2"/>
  <c r="K13" i="2"/>
  <c r="L13" i="2"/>
  <c r="M13" i="2"/>
  <c r="M10" i="2" s="1"/>
  <c r="M9" i="2" s="1"/>
  <c r="N13" i="2"/>
  <c r="N10" i="2" s="1"/>
  <c r="N9" i="2" s="1"/>
  <c r="N8" i="2" s="1"/>
  <c r="E15" i="2"/>
  <c r="F15" i="2"/>
  <c r="G15" i="2"/>
  <c r="H15" i="2"/>
  <c r="I15" i="2"/>
  <c r="J15" i="2"/>
  <c r="K15" i="2"/>
  <c r="L15" i="2"/>
  <c r="M15" i="2"/>
  <c r="N15" i="2"/>
  <c r="E17" i="2"/>
  <c r="F17" i="2"/>
  <c r="G17" i="2"/>
  <c r="H17" i="2"/>
  <c r="I17" i="2"/>
  <c r="J17" i="2"/>
  <c r="K17" i="2"/>
  <c r="L17" i="2"/>
  <c r="M17" i="2"/>
  <c r="N17" i="2"/>
  <c r="E19" i="2"/>
  <c r="F19" i="2"/>
  <c r="G19" i="2"/>
  <c r="H19" i="2"/>
  <c r="I19" i="2"/>
  <c r="J19" i="2"/>
  <c r="K19" i="2"/>
  <c r="L19" i="2"/>
  <c r="M19" i="2"/>
  <c r="N19" i="2"/>
  <c r="E21" i="2"/>
  <c r="F21" i="2"/>
  <c r="G21" i="2"/>
  <c r="H21" i="2"/>
  <c r="I21" i="2"/>
  <c r="J21" i="2"/>
  <c r="K21" i="2"/>
  <c r="L21" i="2"/>
  <c r="M21" i="2"/>
  <c r="N21" i="2"/>
  <c r="E23" i="2"/>
  <c r="F23" i="2"/>
  <c r="G23" i="2"/>
  <c r="H23" i="2"/>
  <c r="I23" i="2"/>
  <c r="J23" i="2"/>
  <c r="K23" i="2"/>
  <c r="L23" i="2"/>
  <c r="M23" i="2"/>
  <c r="N23" i="2"/>
  <c r="E28" i="2"/>
  <c r="F28" i="2"/>
  <c r="G28" i="2"/>
  <c r="H28" i="2"/>
  <c r="I28" i="2"/>
  <c r="J28" i="2"/>
  <c r="K28" i="2"/>
  <c r="L28" i="2"/>
  <c r="M28" i="2"/>
  <c r="N28" i="2"/>
  <c r="G34" i="2"/>
  <c r="H34" i="2"/>
  <c r="K34" i="2"/>
  <c r="L34" i="2"/>
  <c r="E35" i="2"/>
  <c r="E34" i="2" s="1"/>
  <c r="F35" i="2"/>
  <c r="F34" i="2" s="1"/>
  <c r="G35" i="2"/>
  <c r="H35" i="2"/>
  <c r="I35" i="2"/>
  <c r="I34" i="2" s="1"/>
  <c r="J35" i="2"/>
  <c r="J34" i="2" s="1"/>
  <c r="K35" i="2"/>
  <c r="L35" i="2"/>
  <c r="M35" i="2"/>
  <c r="M34" i="2" s="1"/>
  <c r="N35" i="2"/>
  <c r="N34" i="2" s="1"/>
  <c r="G37" i="2"/>
  <c r="H37" i="2"/>
  <c r="E38" i="2"/>
  <c r="E37" i="2" s="1"/>
  <c r="F38" i="2"/>
  <c r="F37" i="2" s="1"/>
  <c r="I38" i="2"/>
  <c r="I37" i="2" s="1"/>
  <c r="J38" i="2"/>
  <c r="J37" i="2" s="1"/>
  <c r="M38" i="2"/>
  <c r="M37" i="2" s="1"/>
  <c r="N38" i="2"/>
  <c r="N37" i="2" s="1"/>
  <c r="E39" i="2"/>
  <c r="F39" i="2"/>
  <c r="G39" i="2"/>
  <c r="G38" i="2" s="1"/>
  <c r="H39" i="2"/>
  <c r="H38" i="2" s="1"/>
  <c r="I39" i="2"/>
  <c r="J39" i="2"/>
  <c r="K39" i="2"/>
  <c r="K38" i="2" s="1"/>
  <c r="K37" i="2" s="1"/>
  <c r="L39" i="2"/>
  <c r="L38" i="2" s="1"/>
  <c r="L37" i="2" s="1"/>
  <c r="M39" i="2"/>
  <c r="N39" i="2"/>
  <c r="E41" i="2"/>
  <c r="F41" i="2"/>
  <c r="M41" i="2"/>
  <c r="N41" i="2"/>
  <c r="G42" i="2"/>
  <c r="G41" i="2" s="1"/>
  <c r="H42" i="2"/>
  <c r="H41" i="2" s="1"/>
  <c r="K42" i="2"/>
  <c r="K41" i="2" s="1"/>
  <c r="L42" i="2"/>
  <c r="L41" i="2" s="1"/>
  <c r="E43" i="2"/>
  <c r="E42" i="2" s="1"/>
  <c r="F43" i="2"/>
  <c r="F42" i="2" s="1"/>
  <c r="G43" i="2"/>
  <c r="H43" i="2"/>
  <c r="I43" i="2"/>
  <c r="I42" i="2" s="1"/>
  <c r="I41" i="2" s="1"/>
  <c r="J43" i="2"/>
  <c r="J42" i="2" s="1"/>
  <c r="J41" i="2" s="1"/>
  <c r="K43" i="2"/>
  <c r="L43" i="2"/>
  <c r="M43" i="2"/>
  <c r="M42" i="2" s="1"/>
  <c r="N43" i="2"/>
  <c r="N42" i="2" s="1"/>
  <c r="E47" i="2"/>
  <c r="F47" i="2"/>
  <c r="G47" i="2"/>
  <c r="G46" i="2" s="1"/>
  <c r="G45" i="2" s="1"/>
  <c r="H47" i="2"/>
  <c r="H46" i="2" s="1"/>
  <c r="H45" i="2" s="1"/>
  <c r="I47" i="2"/>
  <c r="J47" i="2"/>
  <c r="K47" i="2"/>
  <c r="K46" i="2" s="1"/>
  <c r="K45" i="2" s="1"/>
  <c r="L47" i="2"/>
  <c r="L46" i="2" s="1"/>
  <c r="L45" i="2" s="1"/>
  <c r="M47" i="2"/>
  <c r="N47" i="2"/>
  <c r="E49" i="2"/>
  <c r="E46" i="2" s="1"/>
  <c r="E45" i="2" s="1"/>
  <c r="F49" i="2"/>
  <c r="F46" i="2" s="1"/>
  <c r="F45" i="2" s="1"/>
  <c r="G49" i="2"/>
  <c r="H49" i="2"/>
  <c r="I49" i="2"/>
  <c r="I46" i="2" s="1"/>
  <c r="I45" i="2" s="1"/>
  <c r="J49" i="2"/>
  <c r="J46" i="2" s="1"/>
  <c r="J45" i="2" s="1"/>
  <c r="K49" i="2"/>
  <c r="L49" i="2"/>
  <c r="M49" i="2"/>
  <c r="M46" i="2" s="1"/>
  <c r="M45" i="2" s="1"/>
  <c r="N49" i="2"/>
  <c r="N46" i="2" s="1"/>
  <c r="N45" i="2" s="1"/>
  <c r="K51" i="2"/>
  <c r="L51" i="2"/>
  <c r="E52" i="2"/>
  <c r="E51" i="2" s="1"/>
  <c r="F52" i="2"/>
  <c r="F51" i="2" s="1"/>
  <c r="I52" i="2"/>
  <c r="I51" i="2" s="1"/>
  <c r="J52" i="2"/>
  <c r="J51" i="2" s="1"/>
  <c r="M52" i="2"/>
  <c r="M51" i="2" s="1"/>
  <c r="N52" i="2"/>
  <c r="N51" i="2" s="1"/>
  <c r="E53" i="2"/>
  <c r="F53" i="2"/>
  <c r="G53" i="2"/>
  <c r="G52" i="2" s="1"/>
  <c r="G51" i="2" s="1"/>
  <c r="H53" i="2"/>
  <c r="H52" i="2" s="1"/>
  <c r="H51" i="2" s="1"/>
  <c r="I53" i="2"/>
  <c r="J53" i="2"/>
  <c r="K53" i="2"/>
  <c r="K52" i="2" s="1"/>
  <c r="L53" i="2"/>
  <c r="L52" i="2" s="1"/>
  <c r="M53" i="2"/>
  <c r="N53" i="2"/>
  <c r="E66" i="2"/>
  <c r="F66" i="2"/>
  <c r="I66" i="2"/>
  <c r="J66" i="2"/>
  <c r="M66" i="2"/>
  <c r="N66" i="2"/>
  <c r="E67" i="2"/>
  <c r="F67" i="2"/>
  <c r="G67" i="2"/>
  <c r="G66" i="2" s="1"/>
  <c r="H67" i="2"/>
  <c r="H66" i="2" s="1"/>
  <c r="I67" i="2"/>
  <c r="J67" i="2"/>
  <c r="K67" i="2"/>
  <c r="K66" i="2" s="1"/>
  <c r="L67" i="2"/>
  <c r="L66" i="2" s="1"/>
  <c r="M67" i="2"/>
  <c r="N67" i="2"/>
  <c r="E69" i="2"/>
  <c r="F69" i="2"/>
  <c r="I69" i="2"/>
  <c r="J69" i="2"/>
  <c r="M69" i="2"/>
  <c r="N69" i="2"/>
  <c r="E70" i="2"/>
  <c r="F70" i="2"/>
  <c r="G70" i="2"/>
  <c r="G69" i="2" s="1"/>
  <c r="H70" i="2"/>
  <c r="H69" i="2" s="1"/>
  <c r="I70" i="2"/>
  <c r="J70" i="2"/>
  <c r="K70" i="2"/>
  <c r="K69" i="2" s="1"/>
  <c r="L70" i="2"/>
  <c r="L69" i="2" s="1"/>
  <c r="M70" i="2"/>
  <c r="N70" i="2"/>
  <c r="K74" i="2"/>
  <c r="K73" i="2" s="1"/>
  <c r="L74" i="2"/>
  <c r="L73" i="2" s="1"/>
  <c r="E75" i="2"/>
  <c r="F75" i="2"/>
  <c r="G75" i="2"/>
  <c r="H75" i="2"/>
  <c r="I75" i="2"/>
  <c r="J75" i="2"/>
  <c r="K75" i="2"/>
  <c r="L75" i="2"/>
  <c r="M75" i="2"/>
  <c r="N75" i="2"/>
  <c r="E80" i="2"/>
  <c r="F80" i="2"/>
  <c r="G80" i="2"/>
  <c r="G74" i="2" s="1"/>
  <c r="H80" i="2"/>
  <c r="H74" i="2" s="1"/>
  <c r="I80" i="2"/>
  <c r="J80" i="2"/>
  <c r="K80" i="2"/>
  <c r="L80" i="2"/>
  <c r="M80" i="2"/>
  <c r="N80" i="2"/>
  <c r="E83" i="2"/>
  <c r="F83" i="2"/>
  <c r="G83" i="2"/>
  <c r="H83" i="2"/>
  <c r="I83" i="2"/>
  <c r="J83" i="2"/>
  <c r="K83" i="2"/>
  <c r="L83" i="2"/>
  <c r="M83" i="2"/>
  <c r="N83" i="2"/>
  <c r="G86" i="2"/>
  <c r="H86" i="2"/>
  <c r="K86" i="2"/>
  <c r="L86" i="2"/>
  <c r="E87" i="2"/>
  <c r="E86" i="2" s="1"/>
  <c r="F87" i="2"/>
  <c r="F86" i="2" s="1"/>
  <c r="G87" i="2"/>
  <c r="H87" i="2"/>
  <c r="I87" i="2"/>
  <c r="I86" i="2" s="1"/>
  <c r="J87" i="2"/>
  <c r="J86" i="2" s="1"/>
  <c r="K87" i="2"/>
  <c r="L87" i="2"/>
  <c r="M87" i="2"/>
  <c r="M86" i="2" s="1"/>
  <c r="N87" i="2"/>
  <c r="N86" i="2" s="1"/>
  <c r="I95" i="2"/>
  <c r="I94" i="2" s="1"/>
  <c r="J95" i="2"/>
  <c r="J94" i="2" s="1"/>
  <c r="E96" i="2"/>
  <c r="F96" i="2"/>
  <c r="G96" i="2"/>
  <c r="H96" i="2"/>
  <c r="I96" i="2"/>
  <c r="J96" i="2"/>
  <c r="K96" i="2"/>
  <c r="L96" i="2"/>
  <c r="M96" i="2"/>
  <c r="N96" i="2"/>
  <c r="E100" i="2"/>
  <c r="E95" i="2" s="1"/>
  <c r="E94" i="2" s="1"/>
  <c r="F100" i="2"/>
  <c r="F95" i="2" s="1"/>
  <c r="F94" i="2" s="1"/>
  <c r="G100" i="2"/>
  <c r="H100" i="2"/>
  <c r="I100" i="2"/>
  <c r="J100" i="2"/>
  <c r="K100" i="2"/>
  <c r="L100" i="2"/>
  <c r="M100" i="2"/>
  <c r="M95" i="2" s="1"/>
  <c r="M94" i="2" s="1"/>
  <c r="N100" i="2"/>
  <c r="N95" i="2" s="1"/>
  <c r="N94" i="2" s="1"/>
  <c r="E102" i="2"/>
  <c r="F102" i="2"/>
  <c r="G102" i="2"/>
  <c r="H102" i="2"/>
  <c r="I102" i="2"/>
  <c r="J102" i="2"/>
  <c r="K102" i="2"/>
  <c r="L102" i="2"/>
  <c r="M102" i="2"/>
  <c r="N102" i="2"/>
  <c r="E104" i="2"/>
  <c r="F104" i="2"/>
  <c r="G104" i="2"/>
  <c r="H104" i="2"/>
  <c r="I104" i="2"/>
  <c r="J104" i="2"/>
  <c r="K104" i="2"/>
  <c r="L104" i="2"/>
  <c r="M104" i="2"/>
  <c r="N104" i="2"/>
  <c r="G106" i="2"/>
  <c r="H106" i="2"/>
  <c r="K106" i="2"/>
  <c r="L106" i="2"/>
  <c r="E107" i="2"/>
  <c r="E106" i="2" s="1"/>
  <c r="F107" i="2"/>
  <c r="F106" i="2" s="1"/>
  <c r="G107" i="2"/>
  <c r="H107" i="2"/>
  <c r="I107" i="2"/>
  <c r="I106" i="2" s="1"/>
  <c r="J107" i="2"/>
  <c r="J106" i="2" s="1"/>
  <c r="K107" i="2"/>
  <c r="L107" i="2"/>
  <c r="M107" i="2"/>
  <c r="M106" i="2" s="1"/>
  <c r="N107" i="2"/>
  <c r="N106" i="2" s="1"/>
  <c r="K109" i="2"/>
  <c r="L109" i="2"/>
  <c r="E110" i="2"/>
  <c r="E109" i="2" s="1"/>
  <c r="F110" i="2"/>
  <c r="F109" i="2" s="1"/>
  <c r="I110" i="2"/>
  <c r="I109" i="2" s="1"/>
  <c r="J110" i="2"/>
  <c r="J109" i="2" s="1"/>
  <c r="M110" i="2"/>
  <c r="M109" i="2" s="1"/>
  <c r="N110" i="2"/>
  <c r="N109" i="2" s="1"/>
  <c r="E111" i="2"/>
  <c r="F111" i="2"/>
  <c r="G111" i="2"/>
  <c r="G110" i="2" s="1"/>
  <c r="G109" i="2" s="1"/>
  <c r="H111" i="2"/>
  <c r="H110" i="2" s="1"/>
  <c r="H109" i="2" s="1"/>
  <c r="I111" i="2"/>
  <c r="J111" i="2"/>
  <c r="K111" i="2"/>
  <c r="K110" i="2" s="1"/>
  <c r="L111" i="2"/>
  <c r="L110" i="2" s="1"/>
  <c r="M111" i="2"/>
  <c r="N111" i="2"/>
  <c r="G119" i="2"/>
  <c r="G118" i="2" s="1"/>
  <c r="H119" i="2"/>
  <c r="H118" i="2" s="1"/>
  <c r="K119" i="2"/>
  <c r="K118" i="2" s="1"/>
  <c r="L119" i="2"/>
  <c r="L118" i="2" s="1"/>
  <c r="E120" i="2"/>
  <c r="E119" i="2" s="1"/>
  <c r="E118" i="2" s="1"/>
  <c r="F120" i="2"/>
  <c r="F119" i="2" s="1"/>
  <c r="F118" i="2" s="1"/>
  <c r="G120" i="2"/>
  <c r="H120" i="2"/>
  <c r="I120" i="2"/>
  <c r="I119" i="2" s="1"/>
  <c r="I118" i="2" s="1"/>
  <c r="J120" i="2"/>
  <c r="J119" i="2" s="1"/>
  <c r="J118" i="2" s="1"/>
  <c r="K120" i="2"/>
  <c r="L120" i="2"/>
  <c r="M120" i="2"/>
  <c r="M119" i="2" s="1"/>
  <c r="M118" i="2" s="1"/>
  <c r="N120" i="2"/>
  <c r="N119" i="2" s="1"/>
  <c r="N118" i="2" s="1"/>
  <c r="E133" i="2"/>
  <c r="F133" i="2"/>
  <c r="G133" i="2"/>
  <c r="H133" i="2"/>
  <c r="I133" i="2"/>
  <c r="J133" i="2"/>
  <c r="K133" i="2"/>
  <c r="L133" i="2"/>
  <c r="M133" i="2"/>
  <c r="N133" i="2"/>
  <c r="E135" i="2"/>
  <c r="F135" i="2"/>
  <c r="G135" i="2"/>
  <c r="H135" i="2"/>
  <c r="I135" i="2"/>
  <c r="J135" i="2"/>
  <c r="K135" i="2"/>
  <c r="L135" i="2"/>
  <c r="M135" i="2"/>
  <c r="N135" i="2"/>
  <c r="E137" i="2"/>
  <c r="F137" i="2"/>
  <c r="G137" i="2"/>
  <c r="H137" i="2"/>
  <c r="I137" i="2"/>
  <c r="J137" i="2"/>
  <c r="K137" i="2"/>
  <c r="L137" i="2"/>
  <c r="M137" i="2"/>
  <c r="N137" i="2"/>
  <c r="E139" i="2"/>
  <c r="F139" i="2"/>
  <c r="G139" i="2"/>
  <c r="H139" i="2"/>
  <c r="I139" i="2"/>
  <c r="J139" i="2"/>
  <c r="K139" i="2"/>
  <c r="L139" i="2"/>
  <c r="M139" i="2"/>
  <c r="N139" i="2"/>
  <c r="E142" i="2"/>
  <c r="F142" i="2"/>
  <c r="J142" i="2"/>
  <c r="M142" i="2"/>
  <c r="N142" i="2"/>
  <c r="E143" i="2"/>
  <c r="F143" i="2"/>
  <c r="G143" i="2"/>
  <c r="G142" i="2" s="1"/>
  <c r="H143" i="2"/>
  <c r="H142" i="2" s="1"/>
  <c r="I143" i="2"/>
  <c r="I142" i="2" s="1"/>
  <c r="J143" i="2"/>
  <c r="K143" i="2"/>
  <c r="K142" i="2" s="1"/>
  <c r="L143" i="2"/>
  <c r="L142" i="2" s="1"/>
  <c r="M143" i="2"/>
  <c r="N143" i="2"/>
  <c r="F145" i="2"/>
  <c r="J145" i="2"/>
  <c r="K145" i="2"/>
  <c r="E146" i="2"/>
  <c r="E145" i="2" s="1"/>
  <c r="F146" i="2"/>
  <c r="G146" i="2"/>
  <c r="G145" i="2" s="1"/>
  <c r="H146" i="2"/>
  <c r="H145" i="2" s="1"/>
  <c r="I146" i="2"/>
  <c r="I145" i="2" s="1"/>
  <c r="J146" i="2"/>
  <c r="K146" i="2"/>
  <c r="L146" i="2"/>
  <c r="L145" i="2" s="1"/>
  <c r="M146" i="2"/>
  <c r="M145" i="2" s="1"/>
  <c r="N146" i="2"/>
  <c r="E148" i="2"/>
  <c r="F148" i="2"/>
  <c r="G148" i="2"/>
  <c r="H148" i="2"/>
  <c r="I148" i="2"/>
  <c r="J148" i="2"/>
  <c r="K148" i="2"/>
  <c r="L148" i="2"/>
  <c r="M148" i="2"/>
  <c r="N148" i="2"/>
  <c r="N145" i="2" s="1"/>
  <c r="E150" i="2"/>
  <c r="G150" i="2"/>
  <c r="H150" i="2"/>
  <c r="K150" i="2"/>
  <c r="L150" i="2"/>
  <c r="M150" i="2"/>
  <c r="E151" i="2"/>
  <c r="F151" i="2"/>
  <c r="F150" i="2" s="1"/>
  <c r="G151" i="2"/>
  <c r="H151" i="2"/>
  <c r="I151" i="2"/>
  <c r="I150" i="2" s="1"/>
  <c r="J151" i="2"/>
  <c r="J150" i="2" s="1"/>
  <c r="K151" i="2"/>
  <c r="L151" i="2"/>
  <c r="M151" i="2"/>
  <c r="N151" i="2"/>
  <c r="N150" i="2" s="1"/>
  <c r="H153" i="2"/>
  <c r="I153" i="2"/>
  <c r="K153" i="2"/>
  <c r="L153" i="2"/>
  <c r="E154" i="2"/>
  <c r="E153" i="2" s="1"/>
  <c r="F154" i="2"/>
  <c r="F153" i="2" s="1"/>
  <c r="G154" i="2"/>
  <c r="G153" i="2" s="1"/>
  <c r="H154" i="2"/>
  <c r="I154" i="2"/>
  <c r="J154" i="2"/>
  <c r="J153" i="2" s="1"/>
  <c r="K154" i="2"/>
  <c r="L154" i="2"/>
  <c r="M154" i="2"/>
  <c r="M153" i="2" s="1"/>
  <c r="N154" i="2"/>
  <c r="N153" i="2" s="1"/>
  <c r="E157" i="2"/>
  <c r="F157" i="2"/>
  <c r="G157" i="2"/>
  <c r="G156" i="2" s="1"/>
  <c r="H157" i="2"/>
  <c r="H156" i="2" s="1"/>
  <c r="I157" i="2"/>
  <c r="J157" i="2"/>
  <c r="K157" i="2"/>
  <c r="K156" i="2" s="1"/>
  <c r="L157" i="2"/>
  <c r="L156" i="2" s="1"/>
  <c r="M157" i="2"/>
  <c r="N157" i="2"/>
  <c r="E159" i="2"/>
  <c r="F159" i="2"/>
  <c r="G159" i="2"/>
  <c r="H159" i="2"/>
  <c r="I159" i="2"/>
  <c r="I156" i="2" s="1"/>
  <c r="J159" i="2"/>
  <c r="K159" i="2"/>
  <c r="L159" i="2"/>
  <c r="M159" i="2"/>
  <c r="M156" i="2" s="1"/>
  <c r="N159" i="2"/>
  <c r="N156" i="2" s="1"/>
  <c r="K161" i="2"/>
  <c r="L161" i="2"/>
  <c r="E162" i="2"/>
  <c r="F162" i="2"/>
  <c r="G162" i="2"/>
  <c r="H162" i="2"/>
  <c r="I162" i="2"/>
  <c r="J162" i="2"/>
  <c r="K162" i="2"/>
  <c r="L162" i="2"/>
  <c r="M162" i="2"/>
  <c r="N162" i="2"/>
  <c r="E164" i="2"/>
  <c r="F164" i="2"/>
  <c r="G164" i="2"/>
  <c r="G161" i="2" s="1"/>
  <c r="H164" i="2"/>
  <c r="H161" i="2" s="1"/>
  <c r="I164" i="2"/>
  <c r="J164" i="2"/>
  <c r="K164" i="2"/>
  <c r="L164" i="2"/>
  <c r="M164" i="2"/>
  <c r="N164" i="2"/>
  <c r="E166" i="2"/>
  <c r="F166" i="2"/>
  <c r="G166" i="2"/>
  <c r="H166" i="2"/>
  <c r="I166" i="2"/>
  <c r="J166" i="2"/>
  <c r="K166" i="2"/>
  <c r="L166" i="2"/>
  <c r="M166" i="2"/>
  <c r="N166" i="2"/>
  <c r="E168" i="2"/>
  <c r="F168" i="2"/>
  <c r="G168" i="2"/>
  <c r="H168" i="2"/>
  <c r="I168" i="2"/>
  <c r="J168" i="2"/>
  <c r="K168" i="2"/>
  <c r="L168" i="2"/>
  <c r="M168" i="2"/>
  <c r="N168" i="2"/>
  <c r="E172" i="2"/>
  <c r="F172" i="2"/>
  <c r="I172" i="2"/>
  <c r="J172" i="2"/>
  <c r="M172" i="2"/>
  <c r="N172" i="2"/>
  <c r="E173" i="2"/>
  <c r="F173" i="2"/>
  <c r="G173" i="2"/>
  <c r="G172" i="2" s="1"/>
  <c r="G171" i="2" s="1"/>
  <c r="H173" i="2"/>
  <c r="H172" i="2" s="1"/>
  <c r="I173" i="2"/>
  <c r="J173" i="2"/>
  <c r="K173" i="2"/>
  <c r="K172" i="2" s="1"/>
  <c r="L173" i="2"/>
  <c r="L172" i="2" s="1"/>
  <c r="M173" i="2"/>
  <c r="N173" i="2"/>
  <c r="E187" i="2"/>
  <c r="E188" i="2"/>
  <c r="F188" i="2"/>
  <c r="G188" i="2"/>
  <c r="G187" i="2" s="1"/>
  <c r="H188" i="2"/>
  <c r="H187" i="2" s="1"/>
  <c r="I188" i="2"/>
  <c r="J188" i="2"/>
  <c r="K188" i="2"/>
  <c r="K187" i="2" s="1"/>
  <c r="L188" i="2"/>
  <c r="L187" i="2" s="1"/>
  <c r="M188" i="2"/>
  <c r="N188" i="2"/>
  <c r="E190" i="2"/>
  <c r="F190" i="2"/>
  <c r="F187" i="2" s="1"/>
  <c r="G190" i="2"/>
  <c r="H190" i="2"/>
  <c r="I190" i="2"/>
  <c r="I187" i="2" s="1"/>
  <c r="J190" i="2"/>
  <c r="J187" i="2" s="1"/>
  <c r="K190" i="2"/>
  <c r="L190" i="2"/>
  <c r="M190" i="2"/>
  <c r="M187" i="2" s="1"/>
  <c r="N190" i="2"/>
  <c r="N187" i="2" s="1"/>
  <c r="K192" i="2"/>
  <c r="L192" i="2"/>
  <c r="E193" i="2"/>
  <c r="F193" i="2"/>
  <c r="G193" i="2"/>
  <c r="H193" i="2"/>
  <c r="I193" i="2"/>
  <c r="J193" i="2"/>
  <c r="K193" i="2"/>
  <c r="L193" i="2"/>
  <c r="M193" i="2"/>
  <c r="N193" i="2"/>
  <c r="E195" i="2"/>
  <c r="F195" i="2"/>
  <c r="G195" i="2"/>
  <c r="G192" i="2" s="1"/>
  <c r="H195" i="2"/>
  <c r="H192" i="2" s="1"/>
  <c r="I195" i="2"/>
  <c r="J195" i="2"/>
  <c r="K195" i="2"/>
  <c r="L195" i="2"/>
  <c r="M195" i="2"/>
  <c r="N195" i="2"/>
  <c r="E197" i="2"/>
  <c r="F197" i="2"/>
  <c r="G197" i="2"/>
  <c r="H197" i="2"/>
  <c r="I197" i="2"/>
  <c r="J197" i="2"/>
  <c r="K197" i="2"/>
  <c r="L197" i="2"/>
  <c r="M197" i="2"/>
  <c r="N197" i="2"/>
  <c r="G199" i="2"/>
  <c r="E200" i="2"/>
  <c r="F200" i="2"/>
  <c r="G200" i="2"/>
  <c r="H200" i="2"/>
  <c r="I200" i="2"/>
  <c r="J200" i="2"/>
  <c r="K200" i="2"/>
  <c r="L200" i="2"/>
  <c r="M200" i="2"/>
  <c r="N200" i="2"/>
  <c r="E202" i="2"/>
  <c r="F202" i="2"/>
  <c r="G202" i="2"/>
  <c r="H202" i="2"/>
  <c r="H199" i="2" s="1"/>
  <c r="I202" i="2"/>
  <c r="J202" i="2"/>
  <c r="K202" i="2"/>
  <c r="K199" i="2" s="1"/>
  <c r="L202" i="2"/>
  <c r="L199" i="2" s="1"/>
  <c r="M202" i="2"/>
  <c r="N202" i="2"/>
  <c r="E204" i="2"/>
  <c r="F204" i="2"/>
  <c r="G204" i="2"/>
  <c r="H204" i="2"/>
  <c r="I204" i="2"/>
  <c r="J204" i="2"/>
  <c r="K204" i="2"/>
  <c r="L204" i="2"/>
  <c r="M204" i="2"/>
  <c r="N204" i="2"/>
  <c r="K206" i="2"/>
  <c r="L206" i="2"/>
  <c r="E207" i="2"/>
  <c r="F207" i="2"/>
  <c r="G207" i="2"/>
  <c r="H207" i="2"/>
  <c r="I207" i="2"/>
  <c r="J207" i="2"/>
  <c r="K207" i="2"/>
  <c r="L207" i="2"/>
  <c r="M207" i="2"/>
  <c r="N207" i="2"/>
  <c r="E209" i="2"/>
  <c r="F209" i="2"/>
  <c r="G209" i="2"/>
  <c r="G206" i="2" s="1"/>
  <c r="H209" i="2"/>
  <c r="H206" i="2" s="1"/>
  <c r="I209" i="2"/>
  <c r="J209" i="2"/>
  <c r="K209" i="2"/>
  <c r="L209" i="2"/>
  <c r="M209" i="2"/>
  <c r="N209" i="2"/>
  <c r="E211" i="2"/>
  <c r="F211" i="2"/>
  <c r="G211" i="2"/>
  <c r="H211" i="2"/>
  <c r="I211" i="2"/>
  <c r="J211" i="2"/>
  <c r="K211" i="2"/>
  <c r="L211" i="2"/>
  <c r="M211" i="2"/>
  <c r="N211" i="2"/>
  <c r="G213" i="2"/>
  <c r="H213" i="2"/>
  <c r="K213" i="2"/>
  <c r="L213" i="2"/>
  <c r="E214" i="2"/>
  <c r="E213" i="2" s="1"/>
  <c r="F214" i="2"/>
  <c r="F213" i="2" s="1"/>
  <c r="G214" i="2"/>
  <c r="H214" i="2"/>
  <c r="I214" i="2"/>
  <c r="I213" i="2" s="1"/>
  <c r="J214" i="2"/>
  <c r="J213" i="2" s="1"/>
  <c r="K214" i="2"/>
  <c r="L214" i="2"/>
  <c r="M214" i="2"/>
  <c r="M213" i="2" s="1"/>
  <c r="N214" i="2"/>
  <c r="N213" i="2" s="1"/>
  <c r="L216" i="2"/>
  <c r="I217" i="2"/>
  <c r="J217" i="2"/>
  <c r="E218" i="2"/>
  <c r="F218" i="2"/>
  <c r="G218" i="2"/>
  <c r="G217" i="2" s="1"/>
  <c r="H218" i="2"/>
  <c r="H217" i="2" s="1"/>
  <c r="I218" i="2"/>
  <c r="J218" i="2"/>
  <c r="K218" i="2"/>
  <c r="K217" i="2" s="1"/>
  <c r="L218" i="2"/>
  <c r="L217" i="2" s="1"/>
  <c r="M218" i="2"/>
  <c r="N218" i="2"/>
  <c r="E220" i="2"/>
  <c r="E217" i="2" s="1"/>
  <c r="F220" i="2"/>
  <c r="F217" i="2" s="1"/>
  <c r="G220" i="2"/>
  <c r="H220" i="2"/>
  <c r="I220" i="2"/>
  <c r="J220" i="2"/>
  <c r="K220" i="2"/>
  <c r="L220" i="2"/>
  <c r="M220" i="2"/>
  <c r="M217" i="2" s="1"/>
  <c r="N220" i="2"/>
  <c r="N217" i="2" s="1"/>
  <c r="H222" i="2"/>
  <c r="E223" i="2"/>
  <c r="E222" i="2" s="1"/>
  <c r="F223" i="2"/>
  <c r="F222" i="2" s="1"/>
  <c r="G223" i="2"/>
  <c r="H223" i="2"/>
  <c r="I223" i="2"/>
  <c r="I222" i="2" s="1"/>
  <c r="J223" i="2"/>
  <c r="J222" i="2" s="1"/>
  <c r="K223" i="2"/>
  <c r="L223" i="2"/>
  <c r="M223" i="2"/>
  <c r="M222" i="2" s="1"/>
  <c r="N223" i="2"/>
  <c r="N222" i="2" s="1"/>
  <c r="E225" i="2"/>
  <c r="F225" i="2"/>
  <c r="G225" i="2"/>
  <c r="G222" i="2" s="1"/>
  <c r="H225" i="2"/>
  <c r="I225" i="2"/>
  <c r="J225" i="2"/>
  <c r="K225" i="2"/>
  <c r="K222" i="2" s="1"/>
  <c r="K216" i="2" s="1"/>
  <c r="L225" i="2"/>
  <c r="L222" i="2" s="1"/>
  <c r="M225" i="2"/>
  <c r="N225" i="2"/>
  <c r="K228" i="2"/>
  <c r="K227" i="2" s="1"/>
  <c r="L228" i="2"/>
  <c r="L227" i="2" s="1"/>
  <c r="E229" i="2"/>
  <c r="F229" i="2"/>
  <c r="G229" i="2"/>
  <c r="H229" i="2"/>
  <c r="I229" i="2"/>
  <c r="J229" i="2"/>
  <c r="K229" i="2"/>
  <c r="L229" i="2"/>
  <c r="M229" i="2"/>
  <c r="N229" i="2"/>
  <c r="E231" i="2"/>
  <c r="F231" i="2"/>
  <c r="G231" i="2"/>
  <c r="G228" i="2" s="1"/>
  <c r="G227" i="2" s="1"/>
  <c r="H231" i="2"/>
  <c r="H228" i="2" s="1"/>
  <c r="H227" i="2" s="1"/>
  <c r="I231" i="2"/>
  <c r="J231" i="2"/>
  <c r="K231" i="2"/>
  <c r="L231" i="2"/>
  <c r="M231" i="2"/>
  <c r="N231" i="2"/>
  <c r="E233" i="2"/>
  <c r="F233" i="2"/>
  <c r="G233" i="2"/>
  <c r="H233" i="2"/>
  <c r="I233" i="2"/>
  <c r="J233" i="2"/>
  <c r="K233" i="2"/>
  <c r="L233" i="2"/>
  <c r="M233" i="2"/>
  <c r="N233" i="2"/>
  <c r="E235" i="2"/>
  <c r="F235" i="2"/>
  <c r="G235" i="2"/>
  <c r="H235" i="2"/>
  <c r="I235" i="2"/>
  <c r="J235" i="2"/>
  <c r="K235" i="2"/>
  <c r="L235" i="2"/>
  <c r="M235" i="2"/>
  <c r="N235" i="2"/>
  <c r="E237" i="2"/>
  <c r="F237" i="2"/>
  <c r="I237" i="2"/>
  <c r="J237" i="2"/>
  <c r="M237" i="2"/>
  <c r="N237" i="2"/>
  <c r="E238" i="2"/>
  <c r="F238" i="2"/>
  <c r="G238" i="2"/>
  <c r="G237" i="2" s="1"/>
  <c r="H238" i="2"/>
  <c r="H237" i="2" s="1"/>
  <c r="I238" i="2"/>
  <c r="J238" i="2"/>
  <c r="K238" i="2"/>
  <c r="K237" i="2" s="1"/>
  <c r="L238" i="2"/>
  <c r="L237" i="2" s="1"/>
  <c r="M238" i="2"/>
  <c r="N238" i="2"/>
  <c r="E240" i="2"/>
  <c r="F240" i="2"/>
  <c r="I240" i="2"/>
  <c r="J240" i="2"/>
  <c r="M240" i="2"/>
  <c r="N240" i="2"/>
  <c r="E241" i="2"/>
  <c r="F241" i="2"/>
  <c r="G241" i="2"/>
  <c r="G240" i="2" s="1"/>
  <c r="H241" i="2"/>
  <c r="H240" i="2" s="1"/>
  <c r="I241" i="2"/>
  <c r="J241" i="2"/>
  <c r="K241" i="2"/>
  <c r="K240" i="2" s="1"/>
  <c r="L241" i="2"/>
  <c r="L240" i="2" s="1"/>
  <c r="M241" i="2"/>
  <c r="N241" i="2"/>
  <c r="I243" i="2"/>
  <c r="J243" i="2"/>
  <c r="E244" i="2"/>
  <c r="F244" i="2"/>
  <c r="G244" i="2"/>
  <c r="G243" i="2" s="1"/>
  <c r="H244" i="2"/>
  <c r="H243" i="2" s="1"/>
  <c r="I244" i="2"/>
  <c r="J244" i="2"/>
  <c r="K244" i="2"/>
  <c r="K243" i="2" s="1"/>
  <c r="L244" i="2"/>
  <c r="L243" i="2" s="1"/>
  <c r="M244" i="2"/>
  <c r="N244" i="2"/>
  <c r="E246" i="2"/>
  <c r="E243" i="2" s="1"/>
  <c r="F246" i="2"/>
  <c r="F243" i="2" s="1"/>
  <c r="G246" i="2"/>
  <c r="H246" i="2"/>
  <c r="I246" i="2"/>
  <c r="J246" i="2"/>
  <c r="K246" i="2"/>
  <c r="L246" i="2"/>
  <c r="M246" i="2"/>
  <c r="M243" i="2" s="1"/>
  <c r="N246" i="2"/>
  <c r="N243" i="2" s="1"/>
  <c r="H248" i="2"/>
  <c r="G249" i="2"/>
  <c r="G248" i="2" s="1"/>
  <c r="K249" i="2"/>
  <c r="K248" i="2" s="1"/>
  <c r="L249" i="2"/>
  <c r="L248" i="2" s="1"/>
  <c r="E250" i="2"/>
  <c r="E249" i="2" s="1"/>
  <c r="E248" i="2" s="1"/>
  <c r="F250" i="2"/>
  <c r="F249" i="2" s="1"/>
  <c r="F248" i="2" s="1"/>
  <c r="G250" i="2"/>
  <c r="H250" i="2"/>
  <c r="H249" i="2" s="1"/>
  <c r="I250" i="2"/>
  <c r="I249" i="2" s="1"/>
  <c r="I248" i="2" s="1"/>
  <c r="J250" i="2"/>
  <c r="J249" i="2" s="1"/>
  <c r="J248" i="2" s="1"/>
  <c r="K250" i="2"/>
  <c r="L250" i="2"/>
  <c r="M250" i="2"/>
  <c r="M249" i="2" s="1"/>
  <c r="M248" i="2" s="1"/>
  <c r="N250" i="2"/>
  <c r="N249" i="2" s="1"/>
  <c r="N248" i="2" s="1"/>
  <c r="L252" i="2"/>
  <c r="J253" i="2"/>
  <c r="J252" i="2" s="1"/>
  <c r="E254" i="2"/>
  <c r="F254" i="2"/>
  <c r="G254" i="2"/>
  <c r="G253" i="2" s="1"/>
  <c r="G252" i="2" s="1"/>
  <c r="H254" i="2"/>
  <c r="H253" i="2" s="1"/>
  <c r="H252" i="2" s="1"/>
  <c r="I254" i="2"/>
  <c r="J254" i="2"/>
  <c r="K254" i="2"/>
  <c r="K253" i="2" s="1"/>
  <c r="K252" i="2" s="1"/>
  <c r="L254" i="2"/>
  <c r="L253" i="2" s="1"/>
  <c r="M254" i="2"/>
  <c r="N254" i="2"/>
  <c r="E256" i="2"/>
  <c r="E253" i="2" s="1"/>
  <c r="E252" i="2" s="1"/>
  <c r="F256" i="2"/>
  <c r="F253" i="2" s="1"/>
  <c r="F252" i="2" s="1"/>
  <c r="G256" i="2"/>
  <c r="H256" i="2"/>
  <c r="I256" i="2"/>
  <c r="I253" i="2" s="1"/>
  <c r="I252" i="2" s="1"/>
  <c r="J256" i="2"/>
  <c r="K256" i="2"/>
  <c r="L256" i="2"/>
  <c r="M256" i="2"/>
  <c r="M253" i="2" s="1"/>
  <c r="M252" i="2" s="1"/>
  <c r="N256" i="2"/>
  <c r="N253" i="2" s="1"/>
  <c r="N252" i="2" s="1"/>
  <c r="K258" i="2"/>
  <c r="E259" i="2"/>
  <c r="F259" i="2"/>
  <c r="I259" i="2"/>
  <c r="J259" i="2"/>
  <c r="M259" i="2"/>
  <c r="N259" i="2"/>
  <c r="E260" i="2"/>
  <c r="F260" i="2"/>
  <c r="G260" i="2"/>
  <c r="G259" i="2" s="1"/>
  <c r="G258" i="2" s="1"/>
  <c r="H260" i="2"/>
  <c r="H259" i="2" s="1"/>
  <c r="H258" i="2" s="1"/>
  <c r="I260" i="2"/>
  <c r="J260" i="2"/>
  <c r="K260" i="2"/>
  <c r="K259" i="2" s="1"/>
  <c r="L260" i="2"/>
  <c r="L259" i="2" s="1"/>
  <c r="L258" i="2" s="1"/>
  <c r="M260" i="2"/>
  <c r="N260" i="2"/>
  <c r="E262" i="2"/>
  <c r="F262" i="2"/>
  <c r="I262" i="2"/>
  <c r="J262" i="2"/>
  <c r="M262" i="2"/>
  <c r="N262" i="2"/>
  <c r="E263" i="2"/>
  <c r="F263" i="2"/>
  <c r="G263" i="2"/>
  <c r="G262" i="2" s="1"/>
  <c r="H263" i="2"/>
  <c r="H262" i="2" s="1"/>
  <c r="I263" i="2"/>
  <c r="J263" i="2"/>
  <c r="K263" i="2"/>
  <c r="K262" i="2" s="1"/>
  <c r="L263" i="2"/>
  <c r="L262" i="2" s="1"/>
  <c r="M263" i="2"/>
  <c r="N263" i="2"/>
  <c r="F265" i="2"/>
  <c r="N265" i="2"/>
  <c r="L266" i="2"/>
  <c r="L265" i="2" s="1"/>
  <c r="E267" i="2"/>
  <c r="E266" i="2" s="1"/>
  <c r="E265" i="2" s="1"/>
  <c r="F267" i="2"/>
  <c r="F266" i="2" s="1"/>
  <c r="G267" i="2"/>
  <c r="H267" i="2"/>
  <c r="I267" i="2"/>
  <c r="I266" i="2" s="1"/>
  <c r="I265" i="2" s="1"/>
  <c r="J267" i="2"/>
  <c r="J266" i="2" s="1"/>
  <c r="J265" i="2" s="1"/>
  <c r="K267" i="2"/>
  <c r="L267" i="2"/>
  <c r="M267" i="2"/>
  <c r="M266" i="2" s="1"/>
  <c r="M265" i="2" s="1"/>
  <c r="N267" i="2"/>
  <c r="N266" i="2" s="1"/>
  <c r="E269" i="2"/>
  <c r="F269" i="2"/>
  <c r="G269" i="2"/>
  <c r="G266" i="2" s="1"/>
  <c r="G265" i="2" s="1"/>
  <c r="H269" i="2"/>
  <c r="H266" i="2" s="1"/>
  <c r="H265" i="2" s="1"/>
  <c r="I269" i="2"/>
  <c r="J269" i="2"/>
  <c r="K269" i="2"/>
  <c r="K266" i="2" s="1"/>
  <c r="K265" i="2" s="1"/>
  <c r="L269" i="2"/>
  <c r="M269" i="2"/>
  <c r="N269" i="2"/>
  <c r="E271" i="2"/>
  <c r="F271" i="2"/>
  <c r="I271" i="2"/>
  <c r="J271" i="2"/>
  <c r="M271" i="2"/>
  <c r="N271" i="2"/>
  <c r="E272" i="2"/>
  <c r="F272" i="2"/>
  <c r="G272" i="2"/>
  <c r="G271" i="2" s="1"/>
  <c r="H272" i="2"/>
  <c r="H271" i="2" s="1"/>
  <c r="I272" i="2"/>
  <c r="J272" i="2"/>
  <c r="K272" i="2"/>
  <c r="K271" i="2" s="1"/>
  <c r="L272" i="2"/>
  <c r="L271" i="2" s="1"/>
  <c r="M272" i="2"/>
  <c r="N272" i="2"/>
  <c r="E274" i="2"/>
  <c r="F274" i="2"/>
  <c r="I274" i="2"/>
  <c r="J274" i="2"/>
  <c r="M274" i="2"/>
  <c r="N274" i="2"/>
  <c r="E275" i="2"/>
  <c r="F275" i="2"/>
  <c r="G275" i="2"/>
  <c r="G274" i="2" s="1"/>
  <c r="H275" i="2"/>
  <c r="H274" i="2" s="1"/>
  <c r="I275" i="2"/>
  <c r="J275" i="2"/>
  <c r="K275" i="2"/>
  <c r="K274" i="2" s="1"/>
  <c r="L275" i="2"/>
  <c r="L274" i="2" s="1"/>
  <c r="M275" i="2"/>
  <c r="N275" i="2"/>
  <c r="G278" i="2"/>
  <c r="H278" i="2"/>
  <c r="H277" i="2" s="1"/>
  <c r="K278" i="2"/>
  <c r="K277" i="2" s="1"/>
  <c r="L278" i="2"/>
  <c r="E279" i="2"/>
  <c r="E278" i="2" s="1"/>
  <c r="F279" i="2"/>
  <c r="F278" i="2" s="1"/>
  <c r="F277" i="2" s="1"/>
  <c r="G279" i="2"/>
  <c r="H279" i="2"/>
  <c r="I279" i="2"/>
  <c r="I278" i="2" s="1"/>
  <c r="I277" i="2" s="1"/>
  <c r="J279" i="2"/>
  <c r="J278" i="2" s="1"/>
  <c r="J277" i="2" s="1"/>
  <c r="K279" i="2"/>
  <c r="L279" i="2"/>
  <c r="M279" i="2"/>
  <c r="M278" i="2" s="1"/>
  <c r="N279" i="2"/>
  <c r="N278" i="2" s="1"/>
  <c r="N277" i="2" s="1"/>
  <c r="G283" i="2"/>
  <c r="H283" i="2"/>
  <c r="K283" i="2"/>
  <c r="L283" i="2"/>
  <c r="E284" i="2"/>
  <c r="E283" i="2" s="1"/>
  <c r="E277" i="2" s="1"/>
  <c r="F284" i="2"/>
  <c r="F283" i="2" s="1"/>
  <c r="G284" i="2"/>
  <c r="H284" i="2"/>
  <c r="I284" i="2"/>
  <c r="I283" i="2" s="1"/>
  <c r="J284" i="2"/>
  <c r="J283" i="2" s="1"/>
  <c r="K284" i="2"/>
  <c r="L284" i="2"/>
  <c r="M284" i="2"/>
  <c r="M283" i="2" s="1"/>
  <c r="M277" i="2" s="1"/>
  <c r="N284" i="2"/>
  <c r="N283" i="2" s="1"/>
  <c r="K289" i="2"/>
  <c r="I290" i="2"/>
  <c r="E291" i="2"/>
  <c r="F291" i="2"/>
  <c r="G291" i="2"/>
  <c r="G290" i="2" s="1"/>
  <c r="G289" i="2" s="1"/>
  <c r="H291" i="2"/>
  <c r="H290" i="2" s="1"/>
  <c r="H289" i="2" s="1"/>
  <c r="I291" i="2"/>
  <c r="J291" i="2"/>
  <c r="K291" i="2"/>
  <c r="K290" i="2" s="1"/>
  <c r="L291" i="2"/>
  <c r="L290" i="2" s="1"/>
  <c r="L289" i="2" s="1"/>
  <c r="M291" i="2"/>
  <c r="N291" i="2"/>
  <c r="E293" i="2"/>
  <c r="E290" i="2" s="1"/>
  <c r="E289" i="2" s="1"/>
  <c r="F293" i="2"/>
  <c r="F290" i="2" s="1"/>
  <c r="F289" i="2" s="1"/>
  <c r="G293" i="2"/>
  <c r="H293" i="2"/>
  <c r="I293" i="2"/>
  <c r="J293" i="2"/>
  <c r="J290" i="2" s="1"/>
  <c r="J289" i="2" s="1"/>
  <c r="K293" i="2"/>
  <c r="L293" i="2"/>
  <c r="M293" i="2"/>
  <c r="M290" i="2" s="1"/>
  <c r="M289" i="2" s="1"/>
  <c r="N293" i="2"/>
  <c r="N290" i="2" s="1"/>
  <c r="N289" i="2" s="1"/>
  <c r="G295" i="2"/>
  <c r="H295" i="2"/>
  <c r="K295" i="2"/>
  <c r="L295" i="2"/>
  <c r="E296" i="2"/>
  <c r="E295" i="2" s="1"/>
  <c r="F296" i="2"/>
  <c r="F295" i="2" s="1"/>
  <c r="G296" i="2"/>
  <c r="H296" i="2"/>
  <c r="I296" i="2"/>
  <c r="I295" i="2" s="1"/>
  <c r="J296" i="2"/>
  <c r="J295" i="2" s="1"/>
  <c r="K296" i="2"/>
  <c r="L296" i="2"/>
  <c r="M296" i="2"/>
  <c r="M295" i="2" s="1"/>
  <c r="N296" i="2"/>
  <c r="N295" i="2" s="1"/>
  <c r="H306" i="2"/>
  <c r="E307" i="2"/>
  <c r="E306" i="2" s="1"/>
  <c r="E305" i="2" s="1"/>
  <c r="F307" i="2"/>
  <c r="G307" i="2"/>
  <c r="G306" i="2" s="1"/>
  <c r="H307" i="2"/>
  <c r="I307" i="2"/>
  <c r="I306" i="2" s="1"/>
  <c r="I305" i="2" s="1"/>
  <c r="J307" i="2"/>
  <c r="K307" i="2"/>
  <c r="K306" i="2" s="1"/>
  <c r="L307" i="2"/>
  <c r="M307" i="2"/>
  <c r="M306" i="2" s="1"/>
  <c r="N307" i="2"/>
  <c r="E310" i="2"/>
  <c r="F310" i="2"/>
  <c r="G310" i="2"/>
  <c r="H310" i="2"/>
  <c r="I310" i="2"/>
  <c r="J310" i="2"/>
  <c r="K310" i="2"/>
  <c r="L310" i="2"/>
  <c r="L306" i="2" s="1"/>
  <c r="M310" i="2"/>
  <c r="N310" i="2"/>
  <c r="E316" i="2"/>
  <c r="F316" i="2"/>
  <c r="G316" i="2"/>
  <c r="H316" i="2"/>
  <c r="I316" i="2"/>
  <c r="J316" i="2"/>
  <c r="K316" i="2"/>
  <c r="L316" i="2"/>
  <c r="M316" i="2"/>
  <c r="N316" i="2"/>
  <c r="E318" i="2"/>
  <c r="F318" i="2"/>
  <c r="G318" i="2"/>
  <c r="H318" i="2"/>
  <c r="I318" i="2"/>
  <c r="J318" i="2"/>
  <c r="K318" i="2"/>
  <c r="L318" i="2"/>
  <c r="M318" i="2"/>
  <c r="N318" i="2"/>
  <c r="E320" i="2"/>
  <c r="F320" i="2"/>
  <c r="G320" i="2"/>
  <c r="H320" i="2"/>
  <c r="I320" i="2"/>
  <c r="J320" i="2"/>
  <c r="K320" i="2"/>
  <c r="L320" i="2"/>
  <c r="M320" i="2"/>
  <c r="N320" i="2"/>
  <c r="E324" i="2"/>
  <c r="F324" i="2"/>
  <c r="G324" i="2"/>
  <c r="H324" i="2"/>
  <c r="I324" i="2"/>
  <c r="J324" i="2"/>
  <c r="K324" i="2"/>
  <c r="L324" i="2"/>
  <c r="M324" i="2"/>
  <c r="N324" i="2"/>
  <c r="E326" i="2"/>
  <c r="F326" i="2"/>
  <c r="G326" i="2"/>
  <c r="H326" i="2"/>
  <c r="I326" i="2"/>
  <c r="J326" i="2"/>
  <c r="K326" i="2"/>
  <c r="L326" i="2"/>
  <c r="M326" i="2"/>
  <c r="N326" i="2"/>
  <c r="H329" i="2"/>
  <c r="L329" i="2"/>
  <c r="M329" i="2"/>
  <c r="E330" i="2"/>
  <c r="E329" i="2" s="1"/>
  <c r="F330" i="2"/>
  <c r="F329" i="2" s="1"/>
  <c r="G330" i="2"/>
  <c r="G329" i="2" s="1"/>
  <c r="H330" i="2"/>
  <c r="I330" i="2"/>
  <c r="I329" i="2" s="1"/>
  <c r="J330" i="2"/>
  <c r="J329" i="2" s="1"/>
  <c r="K330" i="2"/>
  <c r="K329" i="2" s="1"/>
  <c r="L330" i="2"/>
  <c r="M330" i="2"/>
  <c r="N330" i="2"/>
  <c r="N329" i="2" s="1"/>
  <c r="E332" i="2"/>
  <c r="F332" i="2"/>
  <c r="G332" i="2"/>
  <c r="H332" i="2"/>
  <c r="I332" i="2"/>
  <c r="J332" i="2"/>
  <c r="K332" i="2"/>
  <c r="L332" i="2"/>
  <c r="M332" i="2"/>
  <c r="N332" i="2"/>
  <c r="I334" i="2"/>
  <c r="E335" i="2"/>
  <c r="E334" i="2" s="1"/>
  <c r="F335" i="2"/>
  <c r="G335" i="2"/>
  <c r="G334" i="2" s="1"/>
  <c r="H335" i="2"/>
  <c r="I335" i="2"/>
  <c r="J335" i="2"/>
  <c r="K335" i="2"/>
  <c r="K334" i="2" s="1"/>
  <c r="L335" i="2"/>
  <c r="M335" i="2"/>
  <c r="N335" i="2"/>
  <c r="E338" i="2"/>
  <c r="F338" i="2"/>
  <c r="F334" i="2" s="1"/>
  <c r="G338" i="2"/>
  <c r="H338" i="2"/>
  <c r="I338" i="2"/>
  <c r="J338" i="2"/>
  <c r="J334" i="2" s="1"/>
  <c r="K338" i="2"/>
  <c r="L338" i="2"/>
  <c r="M338" i="2"/>
  <c r="M334" i="2" s="1"/>
  <c r="N338" i="2"/>
  <c r="N334" i="2" s="1"/>
  <c r="E340" i="2"/>
  <c r="F340" i="2"/>
  <c r="G340" i="2"/>
  <c r="H340" i="2"/>
  <c r="I340" i="2"/>
  <c r="J340" i="2"/>
  <c r="K340" i="2"/>
  <c r="L340" i="2"/>
  <c r="M340" i="2"/>
  <c r="N340" i="2"/>
  <c r="E342" i="2"/>
  <c r="F342" i="2"/>
  <c r="G342" i="2"/>
  <c r="H342" i="2"/>
  <c r="I342" i="2"/>
  <c r="J342" i="2"/>
  <c r="K342" i="2"/>
  <c r="L342" i="2"/>
  <c r="M342" i="2"/>
  <c r="N342" i="2"/>
  <c r="H344" i="2"/>
  <c r="E345" i="2"/>
  <c r="E344" i="2" s="1"/>
  <c r="F345" i="2"/>
  <c r="F344" i="2" s="1"/>
  <c r="G345" i="2"/>
  <c r="G344" i="2" s="1"/>
  <c r="H345" i="2"/>
  <c r="I345" i="2"/>
  <c r="I344" i="2" s="1"/>
  <c r="J345" i="2"/>
  <c r="J344" i="2" s="1"/>
  <c r="K345" i="2"/>
  <c r="L345" i="2"/>
  <c r="M345" i="2"/>
  <c r="M344" i="2" s="1"/>
  <c r="N345" i="2"/>
  <c r="N344" i="2" s="1"/>
  <c r="E347" i="2"/>
  <c r="F347" i="2"/>
  <c r="G347" i="2"/>
  <c r="H347" i="2"/>
  <c r="I347" i="2"/>
  <c r="J347" i="2"/>
  <c r="K347" i="2"/>
  <c r="K344" i="2" s="1"/>
  <c r="L347" i="2"/>
  <c r="L344" i="2" s="1"/>
  <c r="M347" i="2"/>
  <c r="N347" i="2"/>
  <c r="E350" i="2"/>
  <c r="H350" i="2"/>
  <c r="K350" i="2"/>
  <c r="L350" i="2"/>
  <c r="E351" i="2"/>
  <c r="F351" i="2"/>
  <c r="F350" i="2" s="1"/>
  <c r="G351" i="2"/>
  <c r="G350" i="2" s="1"/>
  <c r="H351" i="2"/>
  <c r="I351" i="2"/>
  <c r="I350" i="2" s="1"/>
  <c r="J351" i="2"/>
  <c r="J350" i="2" s="1"/>
  <c r="K351" i="2"/>
  <c r="L351" i="2"/>
  <c r="M351" i="2"/>
  <c r="M350" i="2" s="1"/>
  <c r="N351" i="2"/>
  <c r="N350" i="2" s="1"/>
  <c r="H353" i="2"/>
  <c r="K353" i="2"/>
  <c r="L353" i="2"/>
  <c r="E354" i="2"/>
  <c r="E353" i="2" s="1"/>
  <c r="F354" i="2"/>
  <c r="F353" i="2" s="1"/>
  <c r="G354" i="2"/>
  <c r="G353" i="2" s="1"/>
  <c r="H354" i="2"/>
  <c r="I354" i="2"/>
  <c r="I353" i="2" s="1"/>
  <c r="J354" i="2"/>
  <c r="J353" i="2" s="1"/>
  <c r="K354" i="2"/>
  <c r="L354" i="2"/>
  <c r="M354" i="2"/>
  <c r="M353" i="2" s="1"/>
  <c r="N354" i="2"/>
  <c r="N353" i="2" s="1"/>
  <c r="H356" i="2"/>
  <c r="L356" i="2"/>
  <c r="M356" i="2"/>
  <c r="E357" i="2"/>
  <c r="E356" i="2" s="1"/>
  <c r="F357" i="2"/>
  <c r="F356" i="2" s="1"/>
  <c r="G357" i="2"/>
  <c r="G356" i="2" s="1"/>
  <c r="H357" i="2"/>
  <c r="I357" i="2"/>
  <c r="I356" i="2" s="1"/>
  <c r="J357" i="2"/>
  <c r="J356" i="2" s="1"/>
  <c r="K357" i="2"/>
  <c r="K356" i="2" s="1"/>
  <c r="L357" i="2"/>
  <c r="M357" i="2"/>
  <c r="N357" i="2"/>
  <c r="N356" i="2" s="1"/>
  <c r="E359" i="2"/>
  <c r="H359" i="2"/>
  <c r="L359" i="2"/>
  <c r="M359" i="2"/>
  <c r="E360" i="2"/>
  <c r="F360" i="2"/>
  <c r="F359" i="2" s="1"/>
  <c r="G360" i="2"/>
  <c r="G359" i="2" s="1"/>
  <c r="H360" i="2"/>
  <c r="I360" i="2"/>
  <c r="I359" i="2" s="1"/>
  <c r="J360" i="2"/>
  <c r="J359" i="2" s="1"/>
  <c r="K360" i="2"/>
  <c r="K359" i="2" s="1"/>
  <c r="L360" i="2"/>
  <c r="M360" i="2"/>
  <c r="N360" i="2"/>
  <c r="N359" i="2" s="1"/>
  <c r="E362" i="2"/>
  <c r="K362" i="2"/>
  <c r="E363" i="2"/>
  <c r="F363" i="2"/>
  <c r="G363" i="2"/>
  <c r="G362" i="2" s="1"/>
  <c r="H363" i="2"/>
  <c r="I363" i="2"/>
  <c r="I362" i="2" s="1"/>
  <c r="J363" i="2"/>
  <c r="K363" i="2"/>
  <c r="L363" i="2"/>
  <c r="M363" i="2"/>
  <c r="M362" i="2" s="1"/>
  <c r="N363" i="2"/>
  <c r="E365" i="2"/>
  <c r="F365" i="2"/>
  <c r="G365" i="2"/>
  <c r="H365" i="2"/>
  <c r="H362" i="2" s="1"/>
  <c r="I365" i="2"/>
  <c r="J365" i="2"/>
  <c r="K365" i="2"/>
  <c r="L365" i="2"/>
  <c r="L362" i="2" s="1"/>
  <c r="M365" i="2"/>
  <c r="N365" i="2"/>
  <c r="E367" i="2"/>
  <c r="F367" i="2"/>
  <c r="G367" i="2"/>
  <c r="H367" i="2"/>
  <c r="I367" i="2"/>
  <c r="J367" i="2"/>
  <c r="K367" i="2"/>
  <c r="L367" i="2"/>
  <c r="M367" i="2"/>
  <c r="N367" i="2"/>
  <c r="E369" i="2"/>
  <c r="F369" i="2"/>
  <c r="G369" i="2"/>
  <c r="H369" i="2"/>
  <c r="I369" i="2"/>
  <c r="J369" i="2"/>
  <c r="K369" i="2"/>
  <c r="L369" i="2"/>
  <c r="M369" i="2"/>
  <c r="N369" i="2"/>
  <c r="E372" i="2"/>
  <c r="F372" i="2"/>
  <c r="G372" i="2"/>
  <c r="H372" i="2"/>
  <c r="I372" i="2"/>
  <c r="J372" i="2"/>
  <c r="K372" i="2"/>
  <c r="L372" i="2"/>
  <c r="M372" i="2"/>
  <c r="N372" i="2"/>
  <c r="G374" i="2"/>
  <c r="H374" i="2"/>
  <c r="K374" i="2"/>
  <c r="L374" i="2"/>
  <c r="E375" i="2"/>
  <c r="E374" i="2" s="1"/>
  <c r="F375" i="2"/>
  <c r="F374" i="2" s="1"/>
  <c r="G375" i="2"/>
  <c r="H375" i="2"/>
  <c r="I375" i="2"/>
  <c r="I374" i="2" s="1"/>
  <c r="J375" i="2"/>
  <c r="J374" i="2" s="1"/>
  <c r="K375" i="2"/>
  <c r="L375" i="2"/>
  <c r="M375" i="2"/>
  <c r="M374" i="2" s="1"/>
  <c r="N375" i="2"/>
  <c r="N374" i="2" s="1"/>
  <c r="G377" i="2"/>
  <c r="H377" i="2"/>
  <c r="K377" i="2"/>
  <c r="L377" i="2"/>
  <c r="E378" i="2"/>
  <c r="E377" i="2" s="1"/>
  <c r="F378" i="2"/>
  <c r="F377" i="2" s="1"/>
  <c r="G378" i="2"/>
  <c r="H378" i="2"/>
  <c r="I378" i="2"/>
  <c r="I377" i="2" s="1"/>
  <c r="J378" i="2"/>
  <c r="J377" i="2" s="1"/>
  <c r="K378" i="2"/>
  <c r="L378" i="2"/>
  <c r="M378" i="2"/>
  <c r="M377" i="2" s="1"/>
  <c r="N378" i="2"/>
  <c r="N377" i="2" s="1"/>
  <c r="E381" i="2"/>
  <c r="E380" i="2" s="1"/>
  <c r="F381" i="2"/>
  <c r="F380" i="2" s="1"/>
  <c r="G381" i="2"/>
  <c r="H381" i="2"/>
  <c r="I381" i="2"/>
  <c r="I380" i="2" s="1"/>
  <c r="J381" i="2"/>
  <c r="J380" i="2" s="1"/>
  <c r="K381" i="2"/>
  <c r="L381" i="2"/>
  <c r="M381" i="2"/>
  <c r="M380" i="2" s="1"/>
  <c r="N381" i="2"/>
  <c r="N380" i="2" s="1"/>
  <c r="E383" i="2"/>
  <c r="F383" i="2"/>
  <c r="G383" i="2"/>
  <c r="G380" i="2" s="1"/>
  <c r="H383" i="2"/>
  <c r="H380" i="2" s="1"/>
  <c r="I383" i="2"/>
  <c r="J383" i="2"/>
  <c r="K383" i="2"/>
  <c r="K380" i="2" s="1"/>
  <c r="L383" i="2"/>
  <c r="L380" i="2" s="1"/>
  <c r="M383" i="2"/>
  <c r="N383" i="2"/>
  <c r="G386" i="2"/>
  <c r="G385" i="2" s="1"/>
  <c r="H386" i="2"/>
  <c r="H385" i="2" s="1"/>
  <c r="K386" i="2"/>
  <c r="K385" i="2" s="1"/>
  <c r="L386" i="2"/>
  <c r="L385" i="2" s="1"/>
  <c r="E387" i="2"/>
  <c r="E386" i="2" s="1"/>
  <c r="F387" i="2"/>
  <c r="F386" i="2" s="1"/>
  <c r="G387" i="2"/>
  <c r="H387" i="2"/>
  <c r="I387" i="2"/>
  <c r="I386" i="2" s="1"/>
  <c r="J387" i="2"/>
  <c r="J386" i="2" s="1"/>
  <c r="K387" i="2"/>
  <c r="L387" i="2"/>
  <c r="M387" i="2"/>
  <c r="M386" i="2" s="1"/>
  <c r="N387" i="2"/>
  <c r="N386" i="2" s="1"/>
  <c r="G389" i="2"/>
  <c r="H389" i="2"/>
  <c r="K389" i="2"/>
  <c r="L389" i="2"/>
  <c r="E390" i="2"/>
  <c r="E389" i="2" s="1"/>
  <c r="F390" i="2"/>
  <c r="F389" i="2" s="1"/>
  <c r="G390" i="2"/>
  <c r="H390" i="2"/>
  <c r="I390" i="2"/>
  <c r="I389" i="2" s="1"/>
  <c r="J390" i="2"/>
  <c r="J389" i="2" s="1"/>
  <c r="K390" i="2"/>
  <c r="L390" i="2"/>
  <c r="M390" i="2"/>
  <c r="M389" i="2" s="1"/>
  <c r="N390" i="2"/>
  <c r="N389" i="2" s="1"/>
  <c r="G392" i="2"/>
  <c r="H392" i="2"/>
  <c r="K392" i="2"/>
  <c r="L392" i="2"/>
  <c r="E393" i="2"/>
  <c r="E392" i="2" s="1"/>
  <c r="F393" i="2"/>
  <c r="F392" i="2" s="1"/>
  <c r="G393" i="2"/>
  <c r="H393" i="2"/>
  <c r="I393" i="2"/>
  <c r="I392" i="2" s="1"/>
  <c r="J393" i="2"/>
  <c r="J392" i="2" s="1"/>
  <c r="K393" i="2"/>
  <c r="L393" i="2"/>
  <c r="M393" i="2"/>
  <c r="M392" i="2" s="1"/>
  <c r="N393" i="2"/>
  <c r="N392" i="2" s="1"/>
  <c r="G395" i="2"/>
  <c r="H395" i="2"/>
  <c r="K395" i="2"/>
  <c r="L395" i="2"/>
  <c r="E396" i="2"/>
  <c r="E395" i="2" s="1"/>
  <c r="F396" i="2"/>
  <c r="F395" i="2" s="1"/>
  <c r="G396" i="2"/>
  <c r="H396" i="2"/>
  <c r="I396" i="2"/>
  <c r="I395" i="2" s="1"/>
  <c r="J396" i="2"/>
  <c r="J395" i="2" s="1"/>
  <c r="K396" i="2"/>
  <c r="L396" i="2"/>
  <c r="M396" i="2"/>
  <c r="M395" i="2" s="1"/>
  <c r="N396" i="2"/>
  <c r="N395" i="2" s="1"/>
  <c r="E399" i="2"/>
  <c r="E398" i="2" s="1"/>
  <c r="F399" i="2"/>
  <c r="F398" i="2" s="1"/>
  <c r="I399" i="2"/>
  <c r="I398" i="2" s="1"/>
  <c r="J399" i="2"/>
  <c r="J398" i="2" s="1"/>
  <c r="M399" i="2"/>
  <c r="M398" i="2" s="1"/>
  <c r="N399" i="2"/>
  <c r="N398" i="2" s="1"/>
  <c r="E400" i="2"/>
  <c r="F400" i="2"/>
  <c r="G400" i="2"/>
  <c r="G399" i="2" s="1"/>
  <c r="G398" i="2" s="1"/>
  <c r="H400" i="2"/>
  <c r="H399" i="2" s="1"/>
  <c r="H398" i="2" s="1"/>
  <c r="I400" i="2"/>
  <c r="J400" i="2"/>
  <c r="K400" i="2"/>
  <c r="K399" i="2" s="1"/>
  <c r="K398" i="2" s="1"/>
  <c r="L400" i="2"/>
  <c r="L399" i="2" s="1"/>
  <c r="L398" i="2" s="1"/>
  <c r="M400" i="2"/>
  <c r="N400" i="2"/>
  <c r="G403" i="2"/>
  <c r="G402" i="2" s="1"/>
  <c r="H403" i="2"/>
  <c r="H402" i="2" s="1"/>
  <c r="K403" i="2"/>
  <c r="K402" i="2" s="1"/>
  <c r="L403" i="2"/>
  <c r="L402" i="2" s="1"/>
  <c r="E404" i="2"/>
  <c r="E403" i="2" s="1"/>
  <c r="E402" i="2" s="1"/>
  <c r="F404" i="2"/>
  <c r="F403" i="2" s="1"/>
  <c r="F402" i="2" s="1"/>
  <c r="G404" i="2"/>
  <c r="H404" i="2"/>
  <c r="I404" i="2"/>
  <c r="I403" i="2" s="1"/>
  <c r="I402" i="2" s="1"/>
  <c r="J404" i="2"/>
  <c r="J403" i="2" s="1"/>
  <c r="J402" i="2" s="1"/>
  <c r="K404" i="2"/>
  <c r="L404" i="2"/>
  <c r="M404" i="2"/>
  <c r="M403" i="2" s="1"/>
  <c r="M402" i="2" s="1"/>
  <c r="N404" i="2"/>
  <c r="N403" i="2" s="1"/>
  <c r="N402" i="2" s="1"/>
  <c r="C418" i="2"/>
  <c r="D418" i="2"/>
  <c r="E418" i="2"/>
  <c r="F418" i="2"/>
  <c r="G418" i="2"/>
  <c r="H418" i="2"/>
  <c r="I418" i="2"/>
  <c r="J418" i="2"/>
  <c r="K418" i="2"/>
  <c r="L418" i="2"/>
  <c r="C427" i="2"/>
  <c r="C430" i="2" s="1"/>
  <c r="D427" i="2"/>
  <c r="D430" i="2" s="1"/>
  <c r="E427" i="2"/>
  <c r="F427" i="2"/>
  <c r="G427" i="2"/>
  <c r="G430" i="2" s="1"/>
  <c r="H427" i="2"/>
  <c r="H430" i="2" s="1"/>
  <c r="I427" i="2"/>
  <c r="J427" i="2"/>
  <c r="K427" i="2"/>
  <c r="K430" i="2" s="1"/>
  <c r="L427" i="2"/>
  <c r="L430" i="2" s="1"/>
  <c r="E430" i="2"/>
  <c r="F430" i="2"/>
  <c r="I430" i="2"/>
  <c r="J430" i="2"/>
  <c r="M305" i="2" l="1"/>
  <c r="M349" i="2"/>
  <c r="N385" i="2"/>
  <c r="J385" i="2"/>
  <c r="F385" i="2"/>
  <c r="K305" i="2"/>
  <c r="K304" i="2" s="1"/>
  <c r="G305" i="2"/>
  <c r="E304" i="2"/>
  <c r="I349" i="2"/>
  <c r="I304" i="2" s="1"/>
  <c r="E349" i="2"/>
  <c r="M385" i="2"/>
  <c r="I385" i="2"/>
  <c r="E385" i="2"/>
  <c r="G349" i="2"/>
  <c r="K349" i="2"/>
  <c r="L305" i="2"/>
  <c r="L304" i="2" s="1"/>
  <c r="H171" i="2"/>
  <c r="F362" i="2"/>
  <c r="F349" i="2" s="1"/>
  <c r="H305" i="2"/>
  <c r="N258" i="2"/>
  <c r="F258" i="2"/>
  <c r="M199" i="2"/>
  <c r="I199" i="2"/>
  <c r="E199" i="2"/>
  <c r="K65" i="2"/>
  <c r="G65" i="2"/>
  <c r="M65" i="2"/>
  <c r="M64" i="2" s="1"/>
  <c r="E65" i="2"/>
  <c r="N362" i="2"/>
  <c r="N349" i="2" s="1"/>
  <c r="L334" i="2"/>
  <c r="N199" i="2"/>
  <c r="J199" i="2"/>
  <c r="L65" i="2"/>
  <c r="F65" i="2"/>
  <c r="H349" i="2"/>
  <c r="G277" i="2"/>
  <c r="M258" i="2"/>
  <c r="E258" i="2"/>
  <c r="N216" i="2"/>
  <c r="F216" i="2"/>
  <c r="H216" i="2"/>
  <c r="J216" i="2"/>
  <c r="L171" i="2"/>
  <c r="L170" i="2" s="1"/>
  <c r="L132" i="2"/>
  <c r="L131" i="2" s="1"/>
  <c r="L130" i="2" s="1"/>
  <c r="H132" i="2"/>
  <c r="H131" i="2" s="1"/>
  <c r="H130" i="2" s="1"/>
  <c r="N132" i="2"/>
  <c r="J132" i="2"/>
  <c r="F132" i="2"/>
  <c r="J10" i="2"/>
  <c r="J9" i="2" s="1"/>
  <c r="J8" i="2" s="1"/>
  <c r="F10" i="2"/>
  <c r="F9" i="2" s="1"/>
  <c r="F8" i="2" s="1"/>
  <c r="L10" i="2"/>
  <c r="L9" i="2" s="1"/>
  <c r="L8" i="2" s="1"/>
  <c r="H10" i="2"/>
  <c r="H9" i="2" s="1"/>
  <c r="H8" i="2" s="1"/>
  <c r="J362" i="2"/>
  <c r="J349" i="2" s="1"/>
  <c r="H334" i="2"/>
  <c r="I289" i="2"/>
  <c r="I258" i="2"/>
  <c r="F199" i="2"/>
  <c r="H65" i="2"/>
  <c r="N65" i="2"/>
  <c r="L349" i="2"/>
  <c r="N306" i="2"/>
  <c r="N305" i="2" s="1"/>
  <c r="J306" i="2"/>
  <c r="J305" i="2" s="1"/>
  <c r="F306" i="2"/>
  <c r="F305" i="2" s="1"/>
  <c r="L277" i="2"/>
  <c r="J258" i="2"/>
  <c r="M216" i="2"/>
  <c r="E216" i="2"/>
  <c r="G216" i="2"/>
  <c r="G170" i="2" s="1"/>
  <c r="I216" i="2"/>
  <c r="K171" i="2"/>
  <c r="K170" i="2" s="1"/>
  <c r="K132" i="2"/>
  <c r="K131" i="2" s="1"/>
  <c r="K130" i="2" s="1"/>
  <c r="G132" i="2"/>
  <c r="G131" i="2" s="1"/>
  <c r="G130" i="2" s="1"/>
  <c r="M132" i="2"/>
  <c r="I132" i="2"/>
  <c r="E132" i="2"/>
  <c r="M8" i="2"/>
  <c r="E8" i="2"/>
  <c r="I10" i="2"/>
  <c r="I9" i="2" s="1"/>
  <c r="I8" i="2" s="1"/>
  <c r="K10" i="2"/>
  <c r="K9" i="2" s="1"/>
  <c r="K8" i="2" s="1"/>
  <c r="G10" i="2"/>
  <c r="G9" i="2" s="1"/>
  <c r="G8" i="2" s="1"/>
  <c r="N228" i="2"/>
  <c r="N227" i="2" s="1"/>
  <c r="J228" i="2"/>
  <c r="J227" i="2" s="1"/>
  <c r="F228" i="2"/>
  <c r="F227" i="2" s="1"/>
  <c r="N206" i="2"/>
  <c r="J206" i="2"/>
  <c r="F206" i="2"/>
  <c r="N192" i="2"/>
  <c r="N171" i="2" s="1"/>
  <c r="N170" i="2" s="1"/>
  <c r="J192" i="2"/>
  <c r="F192" i="2"/>
  <c r="F171" i="2" s="1"/>
  <c r="F170" i="2" s="1"/>
  <c r="J171" i="2"/>
  <c r="N161" i="2"/>
  <c r="J161" i="2"/>
  <c r="F161" i="2"/>
  <c r="H73" i="2"/>
  <c r="M228" i="2"/>
  <c r="M227" i="2" s="1"/>
  <c r="I228" i="2"/>
  <c r="I227" i="2" s="1"/>
  <c r="E228" i="2"/>
  <c r="E227" i="2" s="1"/>
  <c r="M206" i="2"/>
  <c r="I206" i="2"/>
  <c r="E206" i="2"/>
  <c r="M192" i="2"/>
  <c r="M171" i="2" s="1"/>
  <c r="M170" i="2" s="1"/>
  <c r="I192" i="2"/>
  <c r="I171" i="2" s="1"/>
  <c r="I170" i="2" s="1"/>
  <c r="E192" i="2"/>
  <c r="E171" i="2" s="1"/>
  <c r="E170" i="2" s="1"/>
  <c r="M161" i="2"/>
  <c r="I161" i="2"/>
  <c r="E161" i="2"/>
  <c r="E156" i="2"/>
  <c r="G73" i="2"/>
  <c r="J156" i="2"/>
  <c r="F156" i="2"/>
  <c r="L95" i="2"/>
  <c r="L94" i="2" s="1"/>
  <c r="H95" i="2"/>
  <c r="H94" i="2" s="1"/>
  <c r="N74" i="2"/>
  <c r="N73" i="2" s="1"/>
  <c r="J74" i="2"/>
  <c r="J73" i="2" s="1"/>
  <c r="F74" i="2"/>
  <c r="F73" i="2" s="1"/>
  <c r="J65" i="2"/>
  <c r="K95" i="2"/>
  <c r="K94" i="2" s="1"/>
  <c r="G95" i="2"/>
  <c r="G94" i="2" s="1"/>
  <c r="M74" i="2"/>
  <c r="M73" i="2" s="1"/>
  <c r="I74" i="2"/>
  <c r="I73" i="2" s="1"/>
  <c r="E74" i="2"/>
  <c r="E73" i="2" s="1"/>
  <c r="I65" i="2"/>
  <c r="I64" i="2" s="1"/>
  <c r="E131" i="2" l="1"/>
  <c r="E130" i="2" s="1"/>
  <c r="F131" i="2"/>
  <c r="F130" i="2" s="1"/>
  <c r="F64" i="2"/>
  <c r="G64" i="2"/>
  <c r="J170" i="2"/>
  <c r="I131" i="2"/>
  <c r="I130" i="2" s="1"/>
  <c r="J64" i="2"/>
  <c r="M131" i="2"/>
  <c r="M130" i="2" s="1"/>
  <c r="F304" i="2"/>
  <c r="N64" i="2"/>
  <c r="J131" i="2"/>
  <c r="J130" i="2" s="1"/>
  <c r="L64" i="2"/>
  <c r="K64" i="2"/>
  <c r="N304" i="2"/>
  <c r="H304" i="2"/>
  <c r="J304" i="2"/>
  <c r="H64" i="2"/>
  <c r="N131" i="2"/>
  <c r="N130" i="2" s="1"/>
  <c r="E64" i="2"/>
  <c r="H170" i="2"/>
  <c r="G304" i="2"/>
  <c r="M304" i="2"/>
</calcChain>
</file>

<file path=xl/sharedStrings.xml><?xml version="1.0" encoding="utf-8"?>
<sst xmlns="http://schemas.openxmlformats.org/spreadsheetml/2006/main" count="1624" uniqueCount="1023">
  <si>
    <t>Šakių rajono savivaldybės administracijos 2019 m. metinis veiklos planas</t>
  </si>
  <si>
    <t>Kodas</t>
  </si>
  <si>
    <t>2019-2021 m. metinis veiklos planas</t>
  </si>
  <si>
    <t>Vykdytojas</t>
  </si>
  <si>
    <t>Atsakingas (-i) asmuo (-ys)</t>
  </si>
  <si>
    <t>Lėšos biudžetiniams 2019-iesiems metams</t>
  </si>
  <si>
    <t>Skirtos lėšos</t>
  </si>
  <si>
    <t>Efekto /Rezultato /Produkto /Indėlio vertinimo kriterijaus</t>
  </si>
  <si>
    <t>SB</t>
  </si>
  <si>
    <t>SB(IP)</t>
  </si>
  <si>
    <t>SB(AA)</t>
  </si>
  <si>
    <t>SB(D)</t>
  </si>
  <si>
    <t>SP</t>
  </si>
  <si>
    <t>ES</t>
  </si>
  <si>
    <t>VB</t>
  </si>
  <si>
    <t>VIP</t>
  </si>
  <si>
    <t>KT</t>
  </si>
  <si>
    <t>Rodiklis</t>
  </si>
  <si>
    <t>Mato vnt.</t>
  </si>
  <si>
    <t>Planas</t>
  </si>
  <si>
    <t>2019</t>
  </si>
  <si>
    <t>01</t>
  </si>
  <si>
    <t>Mokymosi visą gyvenimą, jaunimo ir sporto programa</t>
  </si>
  <si>
    <t>Švietimo,kultūros ir sporto skyrius</t>
  </si>
  <si>
    <t>Elvydas Pauliukėnas</t>
  </si>
  <si>
    <t>01.01.</t>
  </si>
  <si>
    <t>Tikslas. Švietimo kokybės gerinimas</t>
  </si>
  <si>
    <t>01.01.01</t>
  </si>
  <si>
    <t>Uždavinys. Kompleksiškai modernizuoti, renovuoti švietimo įstaigų mokymo (si) ir ugdymo (si) aplinką ir materialinę bazę (vaikų ir jaunimo ugdymo organizavimas)</t>
  </si>
  <si>
    <t>01.01.01.01.</t>
  </si>
  <si>
    <t>Priemonė. Atnaujinti švietimo įstaigų mokymo priemonių bazę</t>
  </si>
  <si>
    <t>Gaunamų iš Švietimo ir mokslo ministerijos priemonių skaičius</t>
  </si>
  <si>
    <t>vnt</t>
  </si>
  <si>
    <t>200,00</t>
  </si>
  <si>
    <t>01.01.01.01.01</t>
  </si>
  <si>
    <t>Veikla:  Mokymo priemonės mokyklų kabinetams gaunamos iš Švietimo ir mokslo ministerijos</t>
  </si>
  <si>
    <t>01.01.01.02.</t>
  </si>
  <si>
    <t>Priemonė.Dalyvauti „Geltonojo autobusiuko“ programose.</t>
  </si>
  <si>
    <t>Planuojamų gauti transporto priemonių skaičius</t>
  </si>
  <si>
    <t>1,00</t>
  </si>
  <si>
    <t>01.01.01.02.01</t>
  </si>
  <si>
    <t>Veikla:  Įsigyti transporto priemones švietimo įstaigoms</t>
  </si>
  <si>
    <t>01.01.01.03</t>
  </si>
  <si>
    <t>Priemonė. Mokymo reikmėms skirtų lėšų naudojimo programa.(Adm. lėšos)</t>
  </si>
  <si>
    <t>Mokymo paslaugas gavusių mokinių skaičius</t>
  </si>
  <si>
    <t>1 500,00</t>
  </si>
  <si>
    <t>01.01.01.03.01</t>
  </si>
  <si>
    <t>Veikla: Egzaminų vykdymas, tarifinių atlygių koeficientų skirtumui išlyginimas, mažiau pasirenktų užsienio kalbų mokymosi finansavimas</t>
  </si>
  <si>
    <t>01.01.01.04</t>
  </si>
  <si>
    <t>Priemonė. Ūkinių išlaidų naudojimo programa</t>
  </si>
  <si>
    <t>Neformaliojo ugdymo programų skaičius</t>
  </si>
  <si>
    <t>19,00</t>
  </si>
  <si>
    <t>01.01.01.04.01</t>
  </si>
  <si>
    <t>Veikla: Neformaliojo ugdymo programų finansavimas</t>
  </si>
  <si>
    <t>01.01.01.05.</t>
  </si>
  <si>
    <t>Priemonė. Mokinių pavėžėjimo programa</t>
  </si>
  <si>
    <t>Mokinių, pavežamų maršrutiniu transportu, skaičius</t>
  </si>
  <si>
    <t>632,00</t>
  </si>
  <si>
    <t>01.01.01.05.01</t>
  </si>
  <si>
    <t>Veikla:  Lėšos, atsiskaitymui su vežėjais už mokinių pavežėjimą</t>
  </si>
  <si>
    <t>01.01.01.07.</t>
  </si>
  <si>
    <t>Priemonė. Rajono reprezentacija mokomųjų dalykų ir neformaliojo ugdymo renginiuose programa</t>
  </si>
  <si>
    <t>Reprezentuojančių rajoną mokinių ir mokytojų skaičius</t>
  </si>
  <si>
    <t>47,00</t>
  </si>
  <si>
    <t>01.01.01.07.01.</t>
  </si>
  <si>
    <t>Veikla:  Lėšos, skirtos švietimo įstaigų išlaidoms padengti, kurių mokiniai reprezentuoja rajoną įvairiuose renginiuose</t>
  </si>
  <si>
    <t>01.01.01.08.</t>
  </si>
  <si>
    <t>Priemonė. Renginių (olimpiadų, konkursų, viktorinų, peržiūrų, švenčių, festivalių, vasaros poilsio) organizavimo, mokinių ir darbuotojų skatinimo programos</t>
  </si>
  <si>
    <t>Vasaros poilsiui mokiniams išpirktų kelialapių skaičius</t>
  </si>
  <si>
    <t>30,00</t>
  </si>
  <si>
    <t>Skirtų premijų šimtukininkams skaičius</t>
  </si>
  <si>
    <t>12,00</t>
  </si>
  <si>
    <t>Organizuojamų renginių skaičius</t>
  </si>
  <si>
    <t>52,00</t>
  </si>
  <si>
    <t>Dainų šventės pasirengimui įsigytų aprangos komplektų skaičius</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</si>
  <si>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</si>
  <si>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</si>
  <si>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</si>
  <si>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</si>
  <si>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Švietimo, mokslo ir sporto ministerijos skirtų leidinių skaičius</t>
  </si>
  <si>
    <t>Skaičius sutarčių su leidykla dėl el. knygų skaitymo</t>
  </si>
  <si>
    <t>Nupirktų mokyklinės dokumentacijos leidinių skaičius</t>
  </si>
  <si>
    <t>700,00</t>
  </si>
  <si>
    <t>01.01.01.09.01</t>
  </si>
  <si>
    <t>Veikla:  Sudaryti sutartis su leidykla dėl el. knygų skaitymo</t>
  </si>
  <si>
    <t>01.01.01.09.02</t>
  </si>
  <si>
    <t>Veikla:  Nupirkti mokyklinės dokumentacijos leidinių</t>
  </si>
  <si>
    <t>01.01.01.09.03</t>
  </si>
  <si>
    <t>Veikla:  Skirtų mokslo ir sporto ministerijos leidinių</t>
  </si>
  <si>
    <t>01.01.02.</t>
  </si>
  <si>
    <t>Uždavinys. Tobulinti pedagoginio personalo klvalifikacijos kėlimą ir persikvalifikavimo galimybes.</t>
  </si>
  <si>
    <t>01.01.02.01.</t>
  </si>
  <si>
    <t>Priemonė. Organizuoti kvalifikacijos kėlimo kursus švietimo įstaigų vadovams, pavaduotojams, dakykų mokytojams, mokytojams, dirbantiems neformaliojo švietimo srityje.</t>
  </si>
  <si>
    <t>Suorganizuotų kvalifikacijos kėlimo kursų, švietimo įstaigų vadovams, pavaduotojams skaičius</t>
  </si>
  <si>
    <t>4,00</t>
  </si>
  <si>
    <t>01.01.02.01.01</t>
  </si>
  <si>
    <t>Veikla:  Suorganizuoti kvalifikacijos kėlimo kursus, švietimo įstaigų vadovams, pavaduotojams</t>
  </si>
  <si>
    <t>01.02</t>
  </si>
  <si>
    <t>Tikslas. Švietimo prieinamumas ir paslaugų įvairovė</t>
  </si>
  <si>
    <t>01.02.01.</t>
  </si>
  <si>
    <t>Uždavinys. Plėtoti vaikų ir jaunimo karjeros paslaugas ir neformaliojo ugdymosi galimybes</t>
  </si>
  <si>
    <t>01.02.01.01.</t>
  </si>
  <si>
    <t>Priemonė. Vykdyti ugdymo karjerai ir neformaliojo ugdymo programas mokyklose</t>
  </si>
  <si>
    <t>Mokyklose vykdomų programų skaičius</t>
  </si>
  <si>
    <t>21,00</t>
  </si>
  <si>
    <t>01.02.01.01.01</t>
  </si>
  <si>
    <t>Veikla:  Vykdyti neformalio ir karjeros programas mokyklose</t>
  </si>
  <si>
    <t>01.03.</t>
  </si>
  <si>
    <t>Tikslas. Suaugusiųjų mokymo (si) sistemos, sąlygų ir paskatų plėtojimas</t>
  </si>
  <si>
    <t>01.03.02.</t>
  </si>
  <si>
    <t>Uždavinys. Didinti neformaliojo švietimo prieinamumą ir galimybes</t>
  </si>
  <si>
    <t>01.03.02.02.</t>
  </si>
  <si>
    <t>Priemonė. Vykdyti neformaliojo suaugusiųjų švietimo ir tęstinio mokymosi 2018-2020 m. veiksmų planą</t>
  </si>
  <si>
    <t>Projektų skaičius</t>
  </si>
  <si>
    <t>3,00</t>
  </si>
  <si>
    <t>01.03.02.02.01</t>
  </si>
  <si>
    <t>Veikla: Vykdyti projektus pagal neformaliojo suaugusiųjų švietimo veiksmų planą</t>
  </si>
  <si>
    <t>01.04.</t>
  </si>
  <si>
    <t>Tikslas. Sveiko gyvenimo būdo ir sporto propogavimas</t>
  </si>
  <si>
    <t>01.04.01.</t>
  </si>
  <si>
    <t>Uždavinys. Skatinti sporto klubų ir masinių sportinių renginių veiklas</t>
  </si>
  <si>
    <t>01.04.01.01.</t>
  </si>
  <si>
    <t>Priemonė. VŠĮ Šakių krepšinio klubo finansavimo programa.</t>
  </si>
  <si>
    <t>NKL varžybų skaičius</t>
  </si>
  <si>
    <t>50,00</t>
  </si>
  <si>
    <t>01.04.01.01.01</t>
  </si>
  <si>
    <t>Veikla:  Vykdyti VŠĮ Šakių krepšinio klubo finansavimo programą</t>
  </si>
  <si>
    <t>01.04.01.04.</t>
  </si>
  <si>
    <t>Priemonė: įgyvendinti projektą „ Neįgaliųjų socialinė integracija per kūno kultūrą ir sportą“</t>
  </si>
  <si>
    <t>Įgyvendinamų neįgaliųjų socialinės integracijos projektų skaičius</t>
  </si>
  <si>
    <t>01.04.01.04.01</t>
  </si>
  <si>
    <t>Veikla:  Neįgaliųjų socialinės integracijos projekto įgynendinimas</t>
  </si>
  <si>
    <t>01.05.</t>
  </si>
  <si>
    <t>Tikslas. Jaunimo politikos įgyvendinimas</t>
  </si>
  <si>
    <t>Jaunimo reikalų koordinatorė</t>
  </si>
  <si>
    <t>Danutė Jurgutienė</t>
  </si>
  <si>
    <t>01.05.01.</t>
  </si>
  <si>
    <t>Uždavinys. Skatinti ir palaikyti jaunimo iniciatyvas.</t>
  </si>
  <si>
    <t>01.05.01.01.</t>
  </si>
  <si>
    <t>Priemonė. Įgyvendinti jaunimo politikos programą</t>
  </si>
  <si>
    <t>Projektų skirtų atvirų jaunimo centrų ir atvirų jaunimo erdvių veiklos finansavimui skaičius</t>
  </si>
  <si>
    <t>Suorganizuotų jaunimo konferencijų, susitikimų, diskusijų  skaičius</t>
  </si>
  <si>
    <t>Bendrafinansuotų nacionalinių ir tarptautinių jaunimo projektų skaičius</t>
  </si>
  <si>
    <t>Projektų skirtų jaunimo mokymams, gerosios patirties skaidai skaičius</t>
  </si>
  <si>
    <t>2,00</t>
  </si>
  <si>
    <t>Skirtų socialinių stipendijų jaunimui skaičius</t>
  </si>
  <si>
    <t>Projektų skirtų jaunimo iniciatyvų skatinimui skaičius</t>
  </si>
  <si>
    <t>13,00</t>
  </si>
  <si>
    <t>Jaunimui skirtų premijų skaičius</t>
  </si>
  <si>
    <t>6,00</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</si>
  <si>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</si>
  <si>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</si>
  <si>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</si>
  <si>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</si>
  <si>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01.05.01.01.03</t>
  </si>
  <si>
    <t>Veikla:  Remti gabius jaunuolius, neturinčius galimybių studijuoti dėl materialinių sunkumų, skiriant jiems socialines stipendijas.</t>
  </si>
  <si>
    <t>04.</t>
  </si>
  <si>
    <t>Regioninės plėtros ir bendruomeninių iniciatyvų programa</t>
  </si>
  <si>
    <t>Ūkio,architektūros ir investicijų skyrius</t>
  </si>
  <si>
    <t>Arvydas Šlėderis, Kristina Juodvalkienė</t>
  </si>
  <si>
    <t>06.</t>
  </si>
  <si>
    <t>Kultūros ir turizmo plėtros programa</t>
  </si>
  <si>
    <t>Asta  Kėvelaitytė, Aurelija  Papievienė</t>
  </si>
  <si>
    <t>06.01.</t>
  </si>
  <si>
    <t>Tikslas: Sąlygų sudarymas visiems gyventojams dalyvauti etninės kultūros sklaidos procese</t>
  </si>
  <si>
    <t>06.01.01.</t>
  </si>
  <si>
    <t>Uždavinys: Skleisti zanavykų krašto kultūrą, bendradarbiauti su kitų regionų ir šalių institucijomis</t>
  </si>
  <si>
    <t>06.01.01.01.</t>
  </si>
  <si>
    <t>Priemonė: Organizuoti ir dalyvauti tarptautiniuose, respublikiniuose, regionų seminaruose, festivaliuose, konkursuose, šventėse (šokių, armonikierių, kapelų, vaikų ir moksleivių – liaudies kūrybos atlikėjų, tautodailininkų; reginiai Lenkijoje, Kaliningrado sr. ir kt. šalyse)</t>
  </si>
  <si>
    <t>Aurelija  Papievienė</t>
  </si>
  <si>
    <t>Organizuotų ir sudalyvautų renginių skaičius</t>
  </si>
  <si>
    <t>5,00</t>
  </si>
  <si>
    <t>06.01.01.01.01.</t>
  </si>
  <si>
    <t>Veikla: Organizuoti ir dalyvauti renginiuose</t>
  </si>
  <si>
    <t>06.01.02.</t>
  </si>
  <si>
    <t>Uždavinys: Įgyvendinti tautinio kostiumo ir liaudies instrumentų atnaujinimo programą</t>
  </si>
  <si>
    <t>06.01.02.01.</t>
  </si>
  <si>
    <t>Priemonė: Įsigyti tautinių kostiumų ir liaudies instrumentų</t>
  </si>
  <si>
    <t>Įsigytų tautinių kostiumų skaičius</t>
  </si>
  <si>
    <t>8,00</t>
  </si>
  <si>
    <t>Įsigytų liaudies instrumentų skaičius</t>
  </si>
  <si>
    <t>0,00</t>
  </si>
  <si>
    <t>06.01.02.01.01</t>
  </si>
  <si>
    <t>Veikla: Įsigyti tautinių kostiumų</t>
  </si>
  <si>
    <t>06.02.</t>
  </si>
  <si>
    <t>Tikslas:  Kultūros paveldo saugojimas, aktualizavimas ir pritaikymas viešiesiems poreikiams</t>
  </si>
  <si>
    <t>06.02.01.</t>
  </si>
  <si>
    <t>Uždavinys: Restauruoti, pritaikyti viešiesiems poreikiams kultūros paveldo objektus</t>
  </si>
  <si>
    <t>06.02.01.01.</t>
  </si>
  <si>
    <t xml:space="preserve">Priemonė: Atlikti tęstinius Zyplių dvaro sodybos amatininkų namo ( (u.k 24745)  avarinės būklės likvidavimo darbus
</t>
  </si>
  <si>
    <t>Kultūros ir turizmo skyrius</t>
  </si>
  <si>
    <t>Inga Navlickienė</t>
  </si>
  <si>
    <t>Restauruotų pastatų skaičius</t>
  </si>
  <si>
    <t>Pritaikytų pastatų skaičius</t>
  </si>
  <si>
    <t>Parengtų techninių projektų skaičius</t>
  </si>
  <si>
    <t>06.02.01.01.01</t>
  </si>
  <si>
    <t>Veikla: Atlikti avarinės būklės likvidavimo darbus</t>
  </si>
  <si>
    <t>06.02.01.01.02</t>
  </si>
  <si>
    <t>Veikla: Parengti projekto užbaigimui reikalingus dokumentus</t>
  </si>
  <si>
    <t>06.02.01.02.</t>
  </si>
  <si>
    <t>Priemonė: Vinco Kudirkos paminklo restauravimas (u.k. 10045)</t>
  </si>
  <si>
    <t>Restauruotų paminklų skaičius</t>
  </si>
  <si>
    <t>06.02.01.02.01</t>
  </si>
  <si>
    <t>Veikla: Parengti trišalę sutartį pasirašymui</t>
  </si>
  <si>
    <t>06.02.01.02.02.</t>
  </si>
  <si>
    <t>Veikla: Parengti reikalingą dokumentaciją</t>
  </si>
  <si>
    <t>06.02.01.03.</t>
  </si>
  <si>
    <t>Priemonė: Batiškių (Šakių sen.) žydų genocido aukų paminklo restauravimas</t>
  </si>
  <si>
    <t>06.02.01.03.01</t>
  </si>
  <si>
    <t>Veikla: Pagrindinio paminklo priežiūros darbai</t>
  </si>
  <si>
    <t>06.02.01.03.02</t>
  </si>
  <si>
    <t>Veikla: Užrašų ant pagrindinio paminklo ir prie įėjimo į kapus keitimas</t>
  </si>
  <si>
    <t>06.02.02.</t>
  </si>
  <si>
    <t>Uždavinys: Rūpintis krašto įžymių žmonių atminimo, įvykių, vietų išsaugojimu</t>
  </si>
  <si>
    <t>06.02.02.01.</t>
  </si>
  <si>
    <t>Priemonė: Krašto įžymių žmonių atminimo, įvykių, vietų išsaugojimas ir įamžinimas</t>
  </si>
  <si>
    <t>Išsaugotų įžymių vietų skaičius</t>
  </si>
  <si>
    <t>Suorganizuotų renginių skaičius</t>
  </si>
  <si>
    <t>06.02.02.01.01</t>
  </si>
  <si>
    <t>Veikla: Choreografui V. Lingiui skirtų paminklų atnaujinimas</t>
  </si>
  <si>
    <t>06.02.02.01.02</t>
  </si>
  <si>
    <t>Veikla: Valkų mūšiui atminti renginio koordinavimas</t>
  </si>
  <si>
    <t>06.02.02.01.03</t>
  </si>
  <si>
    <t>Veikla: Kriūkų krašto partizaninio judėjimui skirto renginio koordinavimas</t>
  </si>
  <si>
    <t>06.02.02.01.04</t>
  </si>
  <si>
    <t>Veikla: Statinių naudojimo priežiūros dokumentacijos rengimas</t>
  </si>
  <si>
    <t>06.02.02.01.05</t>
  </si>
  <si>
    <t>Veikla: Barzdų kyžiaus priežiūros darbų koordinavimas</t>
  </si>
  <si>
    <t>06.03.</t>
  </si>
  <si>
    <t>Tikslas: Palankių sąlygų sudarymas kultūros ir turizmo paslaugų plėtrai ir paslaugų kokybės gerinimui</t>
  </si>
  <si>
    <t>06.03.01</t>
  </si>
  <si>
    <t>Uždavinys: Skleisti profesionaliąją kūrybą, skatinti meno mėgėjų veiklą, dainų švenčių tradiciją</t>
  </si>
  <si>
    <t>06.03.01.01.</t>
  </si>
  <si>
    <t xml:space="preserve"> Priemonė: Organizuoti žanrinius  tradicinius renginius ir šventes </t>
  </si>
  <si>
    <t>Asta  Kėvelaitytė</t>
  </si>
  <si>
    <t>7,00</t>
  </si>
  <si>
    <t>Koncertinių rūbų įsigijimas</t>
  </si>
  <si>
    <t>kompl.</t>
  </si>
  <si>
    <t>06.03.01.01.01</t>
  </si>
  <si>
    <t>Veikla: Renginių organizavimas</t>
  </si>
  <si>
    <t>06.03.01.01.02</t>
  </si>
  <si>
    <t>Veikla: Koncertinių rūbų įsigijimas</t>
  </si>
  <si>
    <t>06.03.01.02.</t>
  </si>
  <si>
    <t>Priemonė: Kasmetinė kultūros darbuotojo premija</t>
  </si>
  <si>
    <t>Skirtų kasmetinių kultūros darbuotojų premijų skaičius</t>
  </si>
  <si>
    <t>06.03.01.02.01</t>
  </si>
  <si>
    <t>Veikla: Kasmetinė darbuotojo premija</t>
  </si>
  <si>
    <t>06.03.01.03.</t>
  </si>
  <si>
    <t>Priemonė: Koofinansavimo lėšos kultūros įstaigų projektams</t>
  </si>
  <si>
    <t>Koofinansuotų  projektų skaičius</t>
  </si>
  <si>
    <t>15,00</t>
  </si>
  <si>
    <t>06.03.01.03.01</t>
  </si>
  <si>
    <t>Veikla: Projektų koofinansavimas</t>
  </si>
  <si>
    <t>06.03.01.05.</t>
  </si>
  <si>
    <t>Priemonė: Administracinių patalpų pirkimas kultūros įstaigoms</t>
  </si>
  <si>
    <t>Nupirktų patalpų skaičius</t>
  </si>
  <si>
    <t>06.03.01.05.01</t>
  </si>
  <si>
    <t>Veikla: Patalpų Gelgaudiškio KC išpirkimas</t>
  </si>
  <si>
    <t>06.03.02.</t>
  </si>
  <si>
    <t>Uždavinys: Remti krašto autorių kūrybą ir kraštą reprezentuojančius leidinius</t>
  </si>
  <si>
    <t>06.03.02.01.</t>
  </si>
  <si>
    <t>Priemonė: Dalinai paremti leidiniai</t>
  </si>
  <si>
    <t>Dalinai paremtų leidinių skaičius</t>
  </si>
  <si>
    <t>06.03.02.01.01</t>
  </si>
  <si>
    <t>Veikla: Dalinai finansuoti leidiniai</t>
  </si>
  <si>
    <t>06.04.</t>
  </si>
  <si>
    <t>Tikslas.Turizmo infrastruktūros plėtra.</t>
  </si>
  <si>
    <t>Ieva Bernotaitė</t>
  </si>
  <si>
    <t>06.04.01.</t>
  </si>
  <si>
    <t>Uždavinys: Vykdyti aktyvią rinkodarą ir komunikaciją.</t>
  </si>
  <si>
    <t>06.04.01.01.</t>
  </si>
  <si>
    <t>Priemonė: Formuoti Šakių rajono turizmo reprezentacinį įvaizdį.</t>
  </si>
  <si>
    <t>Parengtų rinkodaros priemonių skaičius</t>
  </si>
  <si>
    <t>Oganizuotų turizmo renginių skaičius</t>
  </si>
  <si>
    <t>Išplatintų informacijos rinkinių skaičius</t>
  </si>
  <si>
    <t>10,00</t>
  </si>
  <si>
    <t>Parengtų strategijos krypčių skaičius</t>
  </si>
  <si>
    <t>06.04.01.01.01</t>
  </si>
  <si>
    <t>Veikla: Parengti rinkodaros priemones</t>
  </si>
  <si>
    <t>06.04.01.01.02</t>
  </si>
  <si>
    <t>Veikla: Išplatinti informacijos rinkinius</t>
  </si>
  <si>
    <t>06.04.01.01.03</t>
  </si>
  <si>
    <t>Veikla: Parengti strategijos kryptis</t>
  </si>
  <si>
    <t>06.05.</t>
  </si>
  <si>
    <t>Tikslas Palankių sąlygų sudarymas kultūros ir turizmo paslaugų plėtrai ir paslaugų kokybės gerinimui.</t>
  </si>
  <si>
    <t>06.05.01.</t>
  </si>
  <si>
    <t>Uždavinys: Plėtoti turizmo informacinę sistemą</t>
  </si>
  <si>
    <t>06.05.01.01.</t>
  </si>
  <si>
    <t>Priemonė: Plėtoti Šešupės euroregiono TIC veiklą ir turizmo informacinę sistemą</t>
  </si>
  <si>
    <t>Dalyvautų, organizuotų konferencijų, renginių skaičius</t>
  </si>
  <si>
    <t>Sukurtų produktų skaičius</t>
  </si>
  <si>
    <t>Sudarytų ataskaitų skaičius</t>
  </si>
  <si>
    <t>Aptarnautų vartotojų skaičius</t>
  </si>
  <si>
    <t>6 000,00</t>
  </si>
  <si>
    <t>Inicijuotų veiklų skaičius</t>
  </si>
  <si>
    <t>06.05.01.01.01</t>
  </si>
  <si>
    <t>Veikla: Dalyvauti, organizuoti konferencijas, mokymus ir renginius, susitikimus su turizmo tiekėjais ir organizatoriais.</t>
  </si>
  <si>
    <t>06.05.01.01.02</t>
  </si>
  <si>
    <t>Veikla: Aptarnauti TIC lankytojus ir interesantus</t>
  </si>
  <si>
    <t>06.05.01.01.03</t>
  </si>
  <si>
    <t>Veikla: Sukurti produktus</t>
  </si>
  <si>
    <t>06.05.01.01.04</t>
  </si>
  <si>
    <t>Veikla: Sudaryti ataskaitas ir pateikti statistikos duomenis</t>
  </si>
  <si>
    <t>06.05.01.01.05</t>
  </si>
  <si>
    <t>Veikla: Inicijuoti turizmą skatinančias veiklas</t>
  </si>
  <si>
    <t>07</t>
  </si>
  <si>
    <t>Valdymo programa</t>
  </si>
  <si>
    <t>Vitalija Tumienė</t>
  </si>
  <si>
    <t>07.01.</t>
  </si>
  <si>
    <t>Tikslas: Efektyvaus viešojo valdymo sistemos sukūrimas</t>
  </si>
  <si>
    <t>07.01.01.</t>
  </si>
  <si>
    <t>Uždavinys: užtikrinti efektyvų savivaldybės funkcijų vykdymą</t>
  </si>
  <si>
    <t>07.01.01.01.</t>
  </si>
  <si>
    <t>Priemonė: užtikrinti savivaldybės tarybos darbo funkcionalumą</t>
  </si>
  <si>
    <t>Centralizuotos buhalterijos skyrius</t>
  </si>
  <si>
    <t>Tarybos narių, kėlusių kvalifikaciją skaičius</t>
  </si>
  <si>
    <t>07.01.01.01.01</t>
  </si>
  <si>
    <t>Veikla: Savivaldybės tarybos narių kokybiško darbo užtikrinimas (Darbo užmokestis, išmokos, kvalifikacijos kėlimas, komandiruotės)</t>
  </si>
  <si>
    <t>Rita Vaičiūnienė, Vitalija Tumienė</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</si>
  <si>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</si>
  <si>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</si>
  <si>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</si>
  <si>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</si>
  <si>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</si>
  <si>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</si>
  <si>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</si>
  <si>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Administracijos darbuotojų, kėlusių kvalifikaciją skaičius</t>
  </si>
  <si>
    <t>124,00</t>
  </si>
  <si>
    <t>07.01.01.03.01</t>
  </si>
  <si>
    <t>Veikla: Savivaldybės administracijos darbuotojų darbo funkcijų vykdymo užtikrinimas</t>
  </si>
  <si>
    <t>Jūratė Šneideraitienė, Rita Vaičiūnienė, Vitalija Tumienė</t>
  </si>
  <si>
    <t>07.01.01.04.</t>
  </si>
  <si>
    <t>Priemonė: užtikrinti savivaldybės administracijos struktūrinių teritorinių padalinių darbo funkcionalumą</t>
  </si>
  <si>
    <t>Šakių rajono savivaldybės administracijos seniūnijos, Vitalija Tumienė</t>
  </si>
  <si>
    <t>Seniūnijų darbuotojų, kėlusių kvalifikaciją skaičius</t>
  </si>
  <si>
    <t>28,00</t>
  </si>
  <si>
    <t>07.01.01.04.01</t>
  </si>
  <si>
    <t>Veikla: Savivaldybės administracijos padalinių - seniūnijų darbuotojų darbo funkcijų vykdymo užtikrinimas</t>
  </si>
  <si>
    <t>Alanta Giliūtė, Danutė Gudiškienė, Rita Ivanaitytė, Šakių rajono savivaldybės administracijos seniūnijos</t>
  </si>
  <si>
    <t>07.01.01.04.02</t>
  </si>
  <si>
    <t>Veikla: Savivaldybės administracijos padalinių - seniūnijų pajamų uždirbimui vykdomų priemonių užtikrinimas (patalpų nuoma, turto pardavimas ir kt.)</t>
  </si>
  <si>
    <t>07.01.02.</t>
  </si>
  <si>
    <t>Uždavinys: Užtikrinti efektyvų priskirtųjų (ribotai savarankiškų) savivaldybių funkcijų vykdymą)</t>
  </si>
  <si>
    <t>07.01.02.01.</t>
  </si>
  <si>
    <t>Priemonė: Organizuoti keleivių vežimą vietiniais maršrutais</t>
  </si>
  <si>
    <t>Keleivių vežimo vietinio (priemiestinio) reguliaraus susisiekimo autobusais savikaina</t>
  </si>
  <si>
    <t>Eur/km</t>
  </si>
  <si>
    <t>0,79</t>
  </si>
  <si>
    <t>07.01.02.01.01</t>
  </si>
  <si>
    <t>Veikla: Keleivių vežimo vietiniais marštutais organizavimas</t>
  </si>
  <si>
    <t>07.01.03.</t>
  </si>
  <si>
    <t>Uždavinys: Formuoti savivaldybės veiklos įvaizdį</t>
  </si>
  <si>
    <t>07.01.03.01.</t>
  </si>
  <si>
    <t>Priemonė: Organizuoti reprezentacijas ir dalyvauti švenčių ir renginių organizavime</t>
  </si>
  <si>
    <t>Reprezentacinių renginių skaičius</t>
  </si>
  <si>
    <t>148,00</t>
  </si>
  <si>
    <t>07.01.03.01.01</t>
  </si>
  <si>
    <t>Veikla: Reprezentacijų, švenčių ir renginių organizavimo bei atsovavimo užtikrinimas</t>
  </si>
  <si>
    <t>07.01.03.02.</t>
  </si>
  <si>
    <t>Priemonė: Reprezentacinis pavėžėjimas</t>
  </si>
  <si>
    <t>07.01.03.02.01</t>
  </si>
  <si>
    <t>Veikla: Organizuoti reprezentacinį pavėžėjimą</t>
  </si>
  <si>
    <t>07.01.04.</t>
  </si>
  <si>
    <t>Uždavinys: Nenumatytų reikmių finansavimas</t>
  </si>
  <si>
    <t>07.01.04.01.</t>
  </si>
  <si>
    <t>Priemonė: Ekstremalių situacijų padarinių likvidavimas</t>
  </si>
  <si>
    <t>Prašymų skaičius</t>
  </si>
  <si>
    <t>07.01.04.01.01</t>
  </si>
  <si>
    <t>Veikla: Likviduoti ekstremalių situacijų padarinius</t>
  </si>
  <si>
    <t>07.01.05.</t>
  </si>
  <si>
    <t>Uždavinys: Dengti su savivaldybės turto disponavimu ir įteisinimu susijusias išlaidas</t>
  </si>
  <si>
    <t>07.01.05.01.</t>
  </si>
  <si>
    <t>Priemonė: Organizuoti savivaldybės nekilnojamojo turto įteisinimą, kadastrinių matavimų ir detaliųjų planų rengimą, nekilnojamojo turto vertinimą, užtikrinti žemėtvarkos projektų rengimo ir įgyvendinimo darbų apmokėjimą</t>
  </si>
  <si>
    <t>Irmunda Čepulionienė, Sonata  Gruzdaitienė</t>
  </si>
  <si>
    <t>Užsakymų skaičius</t>
  </si>
  <si>
    <t>100,00</t>
  </si>
  <si>
    <t>07.01.05.01.01</t>
  </si>
  <si>
    <t>Veikla: Savivaldybės nekilnojamojo turto įteisinimo, kadastrinių matavimų ir detaliųjų planų rengimo, nekilnojamojo turto vertinimo, užtikrinant žemėtvarkos projektų rengimo ir įgyvendinimo darbų apmokėjimo organizavimas</t>
  </si>
  <si>
    <t>07.01.06.</t>
  </si>
  <si>
    <t>Uždavinys: Užtikrinti finansinių įsipareigojimų vykdymą</t>
  </si>
  <si>
    <t>07.01.06.01.</t>
  </si>
  <si>
    <t>Priemonė: Grąžinti paskolas</t>
  </si>
  <si>
    <t>Stasė Savickienė</t>
  </si>
  <si>
    <t>Finansinių įsipareigojimų vykdymas (paskolų grąžinimas pagal grafiką)</t>
  </si>
  <si>
    <t>Proc.</t>
  </si>
  <si>
    <t>07.01.06.01.01</t>
  </si>
  <si>
    <t>Veikla: Vykdyti finansinius įsipareigojimus (paskolų grąžinimą pagal grafiką)</t>
  </si>
  <si>
    <t>07.01.06.02.</t>
  </si>
  <si>
    <t>Priemonė: Mokėti palūkanas</t>
  </si>
  <si>
    <t>07.01.06.02.01</t>
  </si>
  <si>
    <t>Veikla: Vykdyti finansinius įsipareigojimus (mokėti palūkanas)</t>
  </si>
  <si>
    <t>07.01.07.</t>
  </si>
  <si>
    <t>Uždavinys: Vykdyti viešojo administravimo veiklos tobulinimo programas</t>
  </si>
  <si>
    <t>Rita Vaičiūnienė</t>
  </si>
  <si>
    <t>07.01.07.01.</t>
  </si>
  <si>
    <t>Priemonė: Mažinant administracinę naštą, atnaujinti administracinių paslaugų aprašymus ir paskelbti interneto svetainėje</t>
  </si>
  <si>
    <t>Bendrųjų reikalų skyrius</t>
  </si>
  <si>
    <t>Atnaujintų administracinių paslaugų ir paskelbtų interneto svetainėje komplektų skaičius</t>
  </si>
  <si>
    <t>07.01.07.01.01</t>
  </si>
  <si>
    <t>Veikla: Atnaujinti ir paskelbti interneto svetainėje administracinių paslaugų aprašymų komplektą</t>
  </si>
  <si>
    <t>07.01.07.02.</t>
  </si>
  <si>
    <t>Priemonė: Mažinant administracinę naštą,  ieškoti galimybių dėl integracijos su įvairiais registrais sudarymo</t>
  </si>
  <si>
    <t>Sudarytų paslaugų teikimo sutarčių, ieškant galimybių dėl integracijos su įvairiais registrais, skaičius</t>
  </si>
  <si>
    <t>07.01.07.02.01</t>
  </si>
  <si>
    <t>Veikla: Ieškoti galimybių sudaryti paslaugų teikimo sutartis dėl integracijos su įvairiais registrais</t>
  </si>
  <si>
    <t>07.01.07.03.</t>
  </si>
  <si>
    <t>Priemonė: Mažinant administracinę naštą, skatinti naudojimąsi e-pristatymo paslauga</t>
  </si>
  <si>
    <t>Išsiųstų per e-pristatymą dokumentų skaičius</t>
  </si>
  <si>
    <t>900,00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</si>
  <si>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</si>
  <si>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</si>
  <si>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</si>
  <si>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</si>
  <si>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t>
  </si>
  <si>
    <t>07.01.07.04.01</t>
  </si>
  <si>
    <t>Veikla: Įdiegti ir išplėtoti Dokumentų valdymo sistemą su Raštinės paslaugų moduliu, keičiantis informacija tarp struktūrinių, struktūrinių teritorinių padalinių, savivaldybei pavaldžių įstaigų</t>
  </si>
  <si>
    <t>12</t>
  </si>
  <si>
    <t>Ūkio plėtros programa</t>
  </si>
  <si>
    <t>Arvydas Šlėderis, Asta  Cikanienė</t>
  </si>
  <si>
    <t>12.01</t>
  </si>
  <si>
    <t>Tikslas.  Darnaus išteklių naudojimo skatinimas.</t>
  </si>
  <si>
    <t>12.01.01</t>
  </si>
  <si>
    <t>Uždavinys. Vykdyti visuomenės aplinkosauginį švietimą bei aplinkos stebėseną</t>
  </si>
  <si>
    <t>12.01.01.01</t>
  </si>
  <si>
    <t>Priemonė: įgyvendinti Aplinkos apsaugos rėmimo specialiąją programą</t>
  </si>
  <si>
    <t>Asta  Cikanienė</t>
  </si>
  <si>
    <t>Apželdintų teritorijų skaičius</t>
  </si>
  <si>
    <t>Įgyvendintų sveikatos programos projektų skaičius</t>
  </si>
  <si>
    <t>Išvežtų padangų kiekis, tonomis</t>
  </si>
  <si>
    <t>t</t>
  </si>
  <si>
    <t>20,00</t>
  </si>
  <si>
    <t>Surinktų ir išvežtų bešeimininkių atliekų kiekis, tonomis</t>
  </si>
  <si>
    <t>Užprenumeruotų aplinkosauginės spaudos komplektų skaičius</t>
  </si>
  <si>
    <t>16,00</t>
  </si>
  <si>
    <t>Likviduotų avarinių medžių skaičius</t>
  </si>
  <si>
    <t>40,00</t>
  </si>
  <si>
    <t>Kompensuotų gyvūnų daromos žalos prevencinių priemonių skaičius</t>
  </si>
  <si>
    <t>12.01.01.01.01</t>
  </si>
  <si>
    <t>Veikla: Po akcijos Darom išvežti surinktas padangas</t>
  </si>
  <si>
    <t>12.01.01.01.02.</t>
  </si>
  <si>
    <t>Veikla: Po akcijos Darom išvežti surinktas atliekas</t>
  </si>
  <si>
    <t>12.01.01.01.03.</t>
  </si>
  <si>
    <t>Veikla: Užprenumeruoti aplinkosauginę spaudą rajono mokykloms</t>
  </si>
  <si>
    <t>12.01.01.01.04.</t>
  </si>
  <si>
    <t>Veikla: Nupirkti paslaugas ir pašalinti pavojų keliančius, ligotus medžius pagal seniūnų paraiškas</t>
  </si>
  <si>
    <t>12.01.01.01.05.</t>
  </si>
  <si>
    <t>Veikla: Kompensuoti medžiojamų gyvūnų daromos žalos miškui prevencijos priemones</t>
  </si>
  <si>
    <t>12.01.01.01.06.</t>
  </si>
  <si>
    <t>Veikla: Nupirkti ir susodinti rajono  visuomeninėse teritorijose medžių ir krūmų sodinukus</t>
  </si>
  <si>
    <t>12.01.01.01.07.</t>
  </si>
  <si>
    <t>Veikla: Numatyti ir pervesti  lėšas skiriamas  Savivaldybės visuomenės sveikatos rėmimo specialiosios prgramos priemonių įgyvendinimui</t>
  </si>
  <si>
    <t>12.01.02.</t>
  </si>
  <si>
    <t>Uždavinys. Kompleksiškai plėtoti ir puoselėti rekreacines teritorijas, želdynus bei kitas viešąsias erdves, pritaikant jas gyventojų bei verslo poreikiams</t>
  </si>
  <si>
    <t>12.01.02.01.</t>
  </si>
  <si>
    <t>Priemonė: Aplinkotvarkos darbai seniūnijose</t>
  </si>
  <si>
    <t>Seniūnijų, kurioms skiriamos lėšos skaičius</t>
  </si>
  <si>
    <t>14,00</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</si>
  <si>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</si>
  <si>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</si>
  <si>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</si>
  <si>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</si>
  <si>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</si>
  <si>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12.01.02.02.01.</t>
  </si>
  <si>
    <t>Veikla: Pagal gyventojų bei pareigūnų pateiktą informaciją iškviesti VšĮ "Mindraja"  bešeiminkių gyvūnų gaudymo, karantinavimo, globos ir eutanazijos paslaugoms atlikti</t>
  </si>
  <si>
    <t>12.01.03.</t>
  </si>
  <si>
    <t>Uždavinys. Plėtoti ir tobulinti komunalinių atliekų surinkimo, tvarkymo ir pirminio rūšiavimo infrastruktūrą</t>
  </si>
  <si>
    <t>12.01.03.01.</t>
  </si>
  <si>
    <t>Priemonė: Įrengti žaliųjų atliekų kompostavimo aikšteles seniūnijose (poveikio aplinkai vertinimas)</t>
  </si>
  <si>
    <t>Numatomų įrengti aikštelių skaičius</t>
  </si>
  <si>
    <t>12.01.03.01.01</t>
  </si>
  <si>
    <t>Veikla: Suformuoti sklypus, atlikti poveikio aplinkai vertinimo procedūras planuojamoms kompostavimo aikštelėms</t>
  </si>
  <si>
    <t>12.01.03.02.</t>
  </si>
  <si>
    <t>Priemonė:  Biudžetinių įmonių pajamos</t>
  </si>
  <si>
    <t>Seniūnijų, kurios teikia mokamas viešąsias paslaugas skaičius</t>
  </si>
  <si>
    <t>12.01.03.02.01</t>
  </si>
  <si>
    <t>Veikla: Surinkti lėšas už seniūnijų teikiamas paslaugas</t>
  </si>
  <si>
    <t>12.01.03.03.</t>
  </si>
  <si>
    <t>Priemonė:  Įgyvendinti projektą "Asbesto turinčių gaminių surinkimas apvažiavimo būdu, transportavimas, saugus šalinimas"</t>
  </si>
  <si>
    <t>Numatomas sutvarkyti asbesto kiekis, tonomis</t>
  </si>
  <si>
    <t>80,00</t>
  </si>
  <si>
    <t>12.01.03.03.01</t>
  </si>
  <si>
    <t>Veikla: Pagal pateiktą sąrašą surinkti sukauptą asbestą ir jį pristatyti saugiam šalinimui</t>
  </si>
  <si>
    <t>12.01.06.</t>
  </si>
  <si>
    <t>Uždavinys. Modernizuoti ir renovuoti viešuosius pastatus</t>
  </si>
  <si>
    <t>12.01.06.01</t>
  </si>
  <si>
    <t>Priemonė: Švietimo įstaigų modernizavimas: vaikų darželių aptvėtimas 1,5 m tvora</t>
  </si>
  <si>
    <t>Aušra Slidziauskienė</t>
  </si>
  <si>
    <t>Modernizuotų švietimo įstaigų skaičius</t>
  </si>
  <si>
    <t>12.01.06.01.01</t>
  </si>
  <si>
    <t>Veikla: Aptverti vaikų darželį "Berželis"1,5 m tvora</t>
  </si>
  <si>
    <t>12.01.06.02.</t>
  </si>
  <si>
    <t>Priemonė: Rajono savivaldybės administracinio pastato šildymo sistemos remonto darbai</t>
  </si>
  <si>
    <t>Aurimas Staugaitis</t>
  </si>
  <si>
    <t>Renovuotų visuomeninių pastatų šildymo sistemų skaičius</t>
  </si>
  <si>
    <t>12.01.06.02.01.</t>
  </si>
  <si>
    <t>Veikla: Atlikti rajono savivaldybės administracinio pastato šildymo sistemos remonto darbus</t>
  </si>
  <si>
    <t>12.01.06.03.</t>
  </si>
  <si>
    <t>Priemonė: Nenaudojamų pastatų nugriovimas (Gelgaudiškio m-los kaminas,ligoninės pastatas, viešas tualetas)</t>
  </si>
  <si>
    <t>Nugriautų pastatų skaičius</t>
  </si>
  <si>
    <t>12.01.06.03.01.</t>
  </si>
  <si>
    <t>Veikla: Nugriauti Gelgaudiškio m-los kaminą</t>
  </si>
  <si>
    <t>12.01.07.</t>
  </si>
  <si>
    <t>Uždavinys. Renovuoti daugiabučius gyvenamuosius namus</t>
  </si>
  <si>
    <t>12.01.07.01</t>
  </si>
  <si>
    <t>Priemonė: Dalyvauti daugiabučių gyvenamųjų namų modernizavimo programoje (investicinių planų bei energinio naudingumo sertifikatų rengimas)</t>
  </si>
  <si>
    <t>Antanas Grigaitis</t>
  </si>
  <si>
    <t>Parengtų investicijų planų skaičius</t>
  </si>
  <si>
    <t>12.01.07.01.01</t>
  </si>
  <si>
    <t>Veikla: Pagal gyventojų prašymus parengti daugiabučių namų investicinių planus bei energinio naudingumo sertifikatus</t>
  </si>
  <si>
    <t>12.01.07.02.</t>
  </si>
  <si>
    <t>Priemonė: Renovuotų socialinių būstų paskolos administravimo paslaugai apmokėti</t>
  </si>
  <si>
    <t>Renovuotų socialinių būstų skaičius</t>
  </si>
  <si>
    <t>12.01.07.02.01.</t>
  </si>
  <si>
    <t>Veikla: Apmokėti renovuotų socialinių būstų paskolos administravimo paslaugą</t>
  </si>
  <si>
    <t>12.01.07.03.</t>
  </si>
  <si>
    <t>Priemonė: Daugiabučių gyvenamųjų namų rėmimo fondas (kaupimo fondo atstatymas)</t>
  </si>
  <si>
    <t>Daugiabučių gyvenamųjų namų modernizavimo paslaugos teikimo plėtra, procentais</t>
  </si>
  <si>
    <t>12.01.07.03.01</t>
  </si>
  <si>
    <t>Veikla: Už paslaugas UAB "Šakių komunalinis ūkis"</t>
  </si>
  <si>
    <t>12.01.09</t>
  </si>
  <si>
    <t>Uždavinys. Vykdyti viešųjų kapinių plėtrą, įrengti kolumbariumą</t>
  </si>
  <si>
    <t>12.01.09.01.</t>
  </si>
  <si>
    <t>Priemonė: Šakių miesto naujų civilinių kapinių aprūpinimas geriamuoju vandeniu</t>
  </si>
  <si>
    <t>Naujai aprūpintų vandeniu civilinių kapinių skaičius</t>
  </si>
  <si>
    <t>12.01.09.01.01.</t>
  </si>
  <si>
    <t>Veikla: Įrengti Šakių miesto naujų civilinių kapinių aprūpinimo geriamuoju vandeniu sistemą</t>
  </si>
  <si>
    <t>12.02.</t>
  </si>
  <si>
    <t>Tikslas. Inžinerinės infrastruktūros modernizavimas</t>
  </si>
  <si>
    <t>12.02.01</t>
  </si>
  <si>
    <t xml:space="preserve">Uždavinys. Plėtoti ir renovuoti  viešąsias geriamojo vandens tiekimo ir nuotekų šalinimo sistemas </t>
  </si>
  <si>
    <t>12.02.01.01</t>
  </si>
  <si>
    <t>Priemonė: Įrengti naujus artezinius gręžinius su vandens gerinimo įranga:</t>
  </si>
  <si>
    <t>Naujai įrengtų artezinių gręžinių (Gustainiškių k.) skaičius</t>
  </si>
  <si>
    <t>12.02.01.01.01</t>
  </si>
  <si>
    <t>Veikla: Įrengtas naujas gręžinys su vandens gerinimo įranga</t>
  </si>
  <si>
    <t>12.02.01.03.</t>
  </si>
  <si>
    <t>Priemonė: Medžiotojų g. Lekėčių sen. vandentiekio ir nuotekų tinklų plėtra</t>
  </si>
  <si>
    <t>Gatvių, kuriose naujai nutiesti vandentierkio ir nuotekų tinklai skaičius</t>
  </si>
  <si>
    <t>12.02.01.03.01.</t>
  </si>
  <si>
    <t>Veikla: Atlikti Medžiotojų g. Lekėčių sen. vandentiekio ir nuotekų tinklų plėtą</t>
  </si>
  <si>
    <t>12.02.02.</t>
  </si>
  <si>
    <t>Uždavinys. Modernizuoti ir plėtoti paviršinių nuotekų sistemas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</si>
  <si>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</si>
  <si>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</si>
  <si>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</si>
  <si>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</si>
  <si>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</si>
  <si>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12.02.02.02.</t>
  </si>
  <si>
    <t>Priemonė: Paviršinių nuotekų tinklų remonto ir statybos darbai</t>
  </si>
  <si>
    <t>Nutiestų vandentiekio ir nuotekų tinklų (Lenbūdžių g., Gipsinių g.) ilgis, kilometrais</t>
  </si>
  <si>
    <t>km</t>
  </si>
  <si>
    <t>0,20</t>
  </si>
  <si>
    <t>12.02.02.02.01</t>
  </si>
  <si>
    <t>Veikla: Nutiesti vandentiekio ir nuotekų tinklus Lenbūdžių g., Gipsinių g.</t>
  </si>
  <si>
    <t>12.03.</t>
  </si>
  <si>
    <t>Tikslas. Šiuolaikiškos susisiekimo sistemos plėtra</t>
  </si>
  <si>
    <t>12.03.01</t>
  </si>
  <si>
    <t>Uždavinys. Modernizuoti ir plėtoti savivaldybės vietinės reikšmės kelius, gatves ir kitas susisiekimo komunikacijas</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</si>
  <si>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</si>
  <si>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</si>
  <si>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</si>
  <si>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</si>
  <si>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tieti, rekonstruoti, taisyti, prižiūrėti ir saugaus eismo sąlygoms užtikrinti  2019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</si>
  <si>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</si>
  <si>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</si>
  <si>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</si>
  <si>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</si>
  <si>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12.03.01.03.</t>
  </si>
  <si>
    <t>Priemonė: Šakių miesto gatvių  šulinių atstatymo darbai</t>
  </si>
  <si>
    <t>Gatvių, kuriose atstatyti šuliniai (V. Kudirkos g., Vasario 16-osios g.) skaičius .</t>
  </si>
  <si>
    <t>12.03.01.03.01.</t>
  </si>
  <si>
    <t>Veikla: Atlikti V. Kudirkos g., Vasario 16-osios gatvių šulinių  atstatymo darbus</t>
  </si>
  <si>
    <t>12.03.01.04.</t>
  </si>
  <si>
    <t>Priemonė: J. Jablonskio g. Griškabūdžio sen. techninio projekto parengimas</t>
  </si>
  <si>
    <t>12.03.01.04.01.</t>
  </si>
  <si>
    <t>Veikla: Parengti J. Jablonskio g. Griškabūdžio sen. techninį projektą</t>
  </si>
  <si>
    <t>12.03.03.</t>
  </si>
  <si>
    <t>Uždavinys. Renovuoti ir plėtoti savivaldybės vietinės reikšmės kelių ir gatvių, pėsčiųjų ir dviračių takų, gyvenamųjų kvartalų  apšvietimo tinklus, diegti energiją taupančias sistemas</t>
  </si>
  <si>
    <t>12.03.03.01.</t>
  </si>
  <si>
    <t>Priemonė: Renovuoti gatvių apšvietimo tinklus miestuose ir miesteliuose: Užsienių k.; Plokščių k.; Šakių m.</t>
  </si>
  <si>
    <t>Renovuotų apšvietimo tinklų ilgis, kilometrais</t>
  </si>
  <si>
    <t>1,50</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</si>
  <si>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</si>
  <si>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</si>
  <si>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</si>
  <si>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</si>
  <si>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12.03.04.01</t>
  </si>
  <si>
    <t>Priemonė: Renovuotų daugiabučių namų  teritorijų sutvarkymas</t>
  </si>
  <si>
    <t>Sutvarkytų renovuotų daugiabučių namų teritorijų skaičius</t>
  </si>
  <si>
    <t>12.03.04.01.01</t>
  </si>
  <si>
    <t>Veikla: Sutvarkyti renovuotų daugiabučių namų teritorijas</t>
  </si>
  <si>
    <t>12.03.05.</t>
  </si>
  <si>
    <t>Uždavinys.  Diegti ir plėtoti modernias eismo saugumo, informavimo, aplinkosaugos ir reguliavimo priemones</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</si>
  <si>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</si>
  <si>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</si>
  <si>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</si>
  <si>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</si>
  <si>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</si>
  <si>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</si>
  <si>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</si>
  <si>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</si>
  <si>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</si>
  <si>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12.04.</t>
  </si>
  <si>
    <t xml:space="preserve">Tikslas: Gyventojų užimtumo didinimas. </t>
  </si>
  <si>
    <t>12.04.01</t>
  </si>
  <si>
    <t>Uždavinys: Organizuoti užimtumo didinimo programą</t>
  </si>
  <si>
    <t>12.04.01.01</t>
  </si>
  <si>
    <t>Priemonė: Įgyvendinti užimtumo didinimo programą</t>
  </si>
  <si>
    <t>Įdarbintų asmenų skaičius</t>
  </si>
  <si>
    <t>48,00</t>
  </si>
  <si>
    <t>12.04.01.01.01</t>
  </si>
  <si>
    <t>Veikla: Įgyvendinti užimtumo programą</t>
  </si>
  <si>
    <t>12.05.</t>
  </si>
  <si>
    <t>Tikslas: Efektyvus melioracijos statinių funkcionavimas</t>
  </si>
  <si>
    <t>Žemės ūkio ir kaimo reikalų skyrius</t>
  </si>
  <si>
    <t>Asta Laurinaitienė, Irena  Žemaitienė, Rimantas  Vaičiūnas</t>
  </si>
  <si>
    <t>12.05.01.</t>
  </si>
  <si>
    <t>Uždavinys. Atlikti melioracijos statinių remonto rekonstrukcijos ir priežiūros darbus</t>
  </si>
  <si>
    <t>12.05.01.01</t>
  </si>
  <si>
    <t>Priemonė: Melioracijos statinių remonto priežiūros darbai</t>
  </si>
  <si>
    <t>Irena  Žemaitienė, Rimantas  Vaičiūnas</t>
  </si>
  <si>
    <t>Suremontuotų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</si>
  <si>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</si>
  <si>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</si>
  <si>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</si>
  <si>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</si>
  <si>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Briedžių k. skaičius</t>
  </si>
  <si>
    <t>12.05.01.02.01</t>
  </si>
  <si>
    <t>Veikla: Atlikti Šakių seniūnijoje esančios Biedžių gyvenvietės drenažo rekonstrukcijos darbus (pagal gyventojų prašymą)</t>
  </si>
  <si>
    <t>12.06.</t>
  </si>
  <si>
    <t>Tikslas: Inovatyvi, pažangi žemės ūkio veikla, tausojanti aplinką bei sveikatą</t>
  </si>
  <si>
    <t>Asta Laurinaitienė, Irena  Žemaitienė</t>
  </si>
  <si>
    <t>12.06.01.</t>
  </si>
  <si>
    <t>Uždavinys. Organizuoti renginius ir priemones, kurie skatintų žemės ūkio subjektų bendradarbiavimą, trumpų maisto tiekimo grandinių kūrimą</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</si>
  <si>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</si>
  <si>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</si>
  <si>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</si>
  <si>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</si>
  <si>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</si>
  <si>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</si>
  <si>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</si>
  <si>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</si>
  <si>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</si>
  <si>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</si>
  <si>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</si>
  <si>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</si>
  <si>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</si>
  <si>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Asta Laurinaitienė</t>
  </si>
  <si>
    <t>12.07.</t>
  </si>
  <si>
    <t>Tikslas: Rajono investicinio patrauklumo didinimas</t>
  </si>
  <si>
    <t>Daiva Palukaitienė</t>
  </si>
  <si>
    <t>12.07.01</t>
  </si>
  <si>
    <t>Uždavinys: Parengti ir nuolat atnaujinti potencialiems investuotojams aktualią informaciją</t>
  </si>
  <si>
    <t>12.07.01.01</t>
  </si>
  <si>
    <t>Priemonė: Parengti, paskelbti ir kartą per ketvirtį atnaujinti laisvų teritorijų ir pastatų registrą.</t>
  </si>
  <si>
    <t>Šakių verslo informacijos centras</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</si>
  <si>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</si>
  <si>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</si>
  <si>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</si>
  <si>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</si>
  <si>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</si>
  <si>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</si>
  <si>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</si>
  <si>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</si>
  <si>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</si>
  <si>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</si>
  <si>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</si>
  <si>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</si>
  <si>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</si>
  <si>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</si>
  <si>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</si>
  <si>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12.07.03.</t>
  </si>
  <si>
    <t xml:space="preserve">Uždavinys: Inicijuoti, organizuoti ir vykdyti bendras savivaldos ir verslo misijas į tarptautinius kontaktų, investuotojų paieškos, galimybių verslui Šakių rajone pristatymo renginius   </t>
  </si>
  <si>
    <t>12.07.03.01</t>
  </si>
  <si>
    <t>Priemonė: Organizuoti savivaldos ir verslo misiją į Lenkiją susipažinti su verslo skatinimo patirtimi ir pristatyti verslo galimybes Šakiuose</t>
  </si>
  <si>
    <t>Suorganizuotų verslo išvykų skaičius</t>
  </si>
  <si>
    <t>12.07.03.01.01</t>
  </si>
  <si>
    <t>Veikla: Surinkti verslo misjos dalyvių grupę   sudaryti maršrutą,užsakyti transportą</t>
  </si>
  <si>
    <t>12.08.</t>
  </si>
  <si>
    <t>Tikslas: Vietos valdžios ir verslo subjektų bendradarbiavimo efektyvinimas.</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</si>
  <si>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</si>
  <si>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</si>
  <si>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</si>
  <si>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</si>
  <si>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Tyrimų, analizių skaičius</t>
  </si>
  <si>
    <t>Susitikimų, diskusijų, forumų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</si>
  <si>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</si>
  <si>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</si>
  <si>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</si>
  <si>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</si>
  <si>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</si>
  <si>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</si>
  <si>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12.08.02.01</t>
  </si>
  <si>
    <t>Priemonė: Organizuoti reprezentacinius verslą pristatančius renginius, ugdyti jaunimo verslumą</t>
  </si>
  <si>
    <t>Verslumo renginių jaunimui skaičius</t>
  </si>
  <si>
    <t>Verslą pristatančių renginių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</si>
  <si>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</si>
  <si>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</si>
  <si>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</si>
  <si>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</si>
  <si>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</si>
  <si>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</si>
  <si>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</si>
  <si>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</si>
  <si>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12.09.01</t>
  </si>
  <si>
    <t>Uždavinys:Aktualizuoti  paramos verslui sistemą siekiant tvaraus teigiamo poveikio verslo konkurencingumo augimui.</t>
  </si>
  <si>
    <t>12.09.01.01.</t>
  </si>
  <si>
    <t>Priemonė: Skatinti beprocentinių verslo paskolų teikimą rajono SVV subjektams.</t>
  </si>
  <si>
    <t>Suteiktų grąžintinų paramų (paskolų) skaičius</t>
  </si>
  <si>
    <t>12.09.01.01.01</t>
  </si>
  <si>
    <t>Veikla: Skelbi 4 kvietimus beprocentėms verslo paskoloms gauti</t>
  </si>
  <si>
    <t>12.09.01.02.</t>
  </si>
  <si>
    <t>Priemonė: Teikti paramą SVV subjektams, plėtojantiems verslo plėtros startegijoje numtatytas vertės grandinę papildančias veiklas, kuriantiems bendradarbiavimo struktūras.</t>
  </si>
  <si>
    <t>Suteiktų negrąžintinų paramų  skaičius</t>
  </si>
  <si>
    <t>12.09.01.02.01.</t>
  </si>
  <si>
    <t>Veikla: Skelbti du kartus paraiškų rinkimą įmonės įsteigimo išlaidų, įrangos įsigijimo kompensavimo, jaunimo idėjų finansavimo ir kt. priemonėms</t>
  </si>
  <si>
    <t>12.09.02.</t>
  </si>
  <si>
    <t>Uždavinys:Skatinti viešųjų paslaugų prieinamumą verslo pradžiai</t>
  </si>
  <si>
    <t>12.09.02.01.</t>
  </si>
  <si>
    <t>Priemonė: Sukurti verslo informacijos centro veiklos modelį, užtikrinantį visokeriopą informacinę, konsultacinę pagalbą verslo subjektams.</t>
  </si>
  <si>
    <t>Asmenų, gavusių verslo konsultacijas, skaičius</t>
  </si>
  <si>
    <t>asm</t>
  </si>
  <si>
    <t>300,00</t>
  </si>
  <si>
    <t>Parengtų paraiškų skaičius</t>
  </si>
  <si>
    <t>Administruojamų SVV plėtros fondo kvietimų skaičius</t>
  </si>
  <si>
    <t>Mokymų, informacinių renginių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</si>
  <si>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</si>
  <si>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</si>
  <si>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</si>
  <si>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</si>
  <si>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</si>
  <si>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</si>
  <si>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</si>
  <si>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</si>
  <si>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13.</t>
  </si>
  <si>
    <t>Socialinės ir sveikatos apsaugos programa</t>
  </si>
  <si>
    <t>Socialinės paramos skyrius</t>
  </si>
  <si>
    <t>Daiva  Pilypaitytė, Leonora Pocevičiūtė</t>
  </si>
  <si>
    <t>13.01.</t>
  </si>
  <si>
    <t>Tikslas: Socialinių paslaugų prieinamumo  ir pasirinkimo užtikrinimas.</t>
  </si>
  <si>
    <t>Daiva  Pilypaitytė</t>
  </si>
  <si>
    <t>13.01.01.</t>
  </si>
  <si>
    <t>Uždavinys.Teikti socialinės globos paslaugas</t>
  </si>
  <si>
    <t>Daiva  Pilypaitytė, Virginija Ratkevičienė</t>
  </si>
  <si>
    <t>13.01.01.01.</t>
  </si>
  <si>
    <t>Priemonė: Teikti dienos socialinės globos  paslaugas asmens namuose. (Integralios pagalbos plėtra Šakių rajone).</t>
  </si>
  <si>
    <t>Asmenų, gavusių  integralios pagalbos paslaugas, skaičius</t>
  </si>
  <si>
    <t>91,00</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</si>
  <si>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</si>
  <si>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</si>
  <si>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</si>
  <si>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</si>
  <si>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</si>
  <si>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</si>
  <si>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Asmenų, gavusių darbinio užimtumo paslaugas Paluobių daugiafunkcio centro, skaičius</t>
  </si>
  <si>
    <t>11,00</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</si>
  <si>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</si>
  <si>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</si>
  <si>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</si>
  <si>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</si>
  <si>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</si>
  <si>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</si>
  <si>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</si>
  <si>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</si>
  <si>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</si>
  <si>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 (Budintys globotojai)</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</si>
  <si>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</si>
  <si>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</si>
  <si>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</si>
  <si>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</si>
  <si>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</si>
  <si>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Socialinės rizikos vaikų, likusių be tėvų globos, gavusių trumpalaikės ir ilgalaikės globos paslaugas, skaičius</t>
  </si>
  <si>
    <t>37,00</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</si>
  <si>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</si>
  <si>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</si>
  <si>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</si>
  <si>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</si>
  <si>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</si>
  <si>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13.01.01.06.01</t>
  </si>
  <si>
    <t>Veikla: Lėšos, skirtos šeimynos dalyvių išlaikymui</t>
  </si>
  <si>
    <t>13.01.01.06.02</t>
  </si>
  <si>
    <t>Veikla: Lėšos, skirtos teikti ilgalaikės ir trumpalaikės globos paslaugas socialinės rizikos šeimų  vaikams</t>
  </si>
  <si>
    <t>13.01.01.06.03</t>
  </si>
  <si>
    <t>Veikla: Pagalbos pinigai, skirti   šeimoms ir šeimynoms, globojantiems vaikus</t>
  </si>
  <si>
    <t>13.01.01.07.</t>
  </si>
  <si>
    <t>Priemonė.Finansuoti ilgalaikės socialinės globos paslaugas asmenims, kuriems paslaugas teikia  valstybinės ir kitos  socialinių  paslaugų įstaigos.</t>
  </si>
  <si>
    <t>Ilgalaikės socialinės globos paslaugas gavusių asmenų, gyvenančių valstybiniuose globos namuose, skaičius</t>
  </si>
  <si>
    <t>13.01.01.07.01</t>
  </si>
  <si>
    <t>Veikla: Ilgalaikės globos paslaugų finansavimas rajono gyventojams, gyvenantiems valstybinėse ir kitose socialinų paslaugų įstaigose.</t>
  </si>
  <si>
    <t>13.01.01.08.</t>
  </si>
  <si>
    <t>Priemonė. Plėsti bendradarbiavimą su nevyriausybinių organizacijų įsteigtais socialinės globos namais .</t>
  </si>
  <si>
    <t>Ilgalaikės socialinės globos paslaugas gavusių asmenų, gyvenančių parapijiniuose globos namuose, skaičius</t>
  </si>
  <si>
    <t>60,00</t>
  </si>
  <si>
    <t>13.01.01.08.01</t>
  </si>
  <si>
    <t>Veikla: Ilgalaikės globos paslaugų teikimas neįgaliems, vienišiems rajono gyventojams - paslaugų teikėjas  Kudirkos Naumiesčio parapijos socialinės pagalbos centras</t>
  </si>
  <si>
    <t>13.01.01.08.02</t>
  </si>
  <si>
    <t>Veikla: Ilgalaikės globos paslaugų teikimas neįgaliems, vienišiems rajono gyventojams - paslaugų teikėjas Šakių parapijos globos ir užimtumo centras.</t>
  </si>
  <si>
    <t>13.01.02.</t>
  </si>
  <si>
    <t>Uždavinys.Teikti socialinės priežiūros paslaugas</t>
  </si>
  <si>
    <t>13.01.02.02.</t>
  </si>
  <si>
    <t>Priemonė.Teikti  laikino apgyvendinimo paslaugas socialiai pažeidžiamiems asmenims. "Vilties žiedas"</t>
  </si>
  <si>
    <t>Asmenų, gavusių laikino apgyvendinimo paslaugas, skaičius</t>
  </si>
  <si>
    <t>13.01.02.02.01</t>
  </si>
  <si>
    <t>Veikla: Teikti socialinės priežiūros paslaugas, socialinės rizikos šeimoms ir jų nariams ir suaugusiems asmenims su negalia</t>
  </si>
  <si>
    <t>13.01.02.03.</t>
  </si>
  <si>
    <t>Priemonė:Plėtoti dienos centrų tinklą socialiai remtiniems asmenims.</t>
  </si>
  <si>
    <t>Vaikų, gavusių  paslaugas dienos centruose, skaičius</t>
  </si>
  <si>
    <t>145,00</t>
  </si>
  <si>
    <t>13.01.02.03.01.</t>
  </si>
  <si>
    <t>Veikla: Teikti socialines priežiūros paslaugas vaikų dienos centruose</t>
  </si>
  <si>
    <t>13.01.03.</t>
  </si>
  <si>
    <t>Uždavinys. Vykdyti  neįgaliųjų integracijos programą.</t>
  </si>
  <si>
    <t>13.01.03.01.</t>
  </si>
  <si>
    <t>Priemonė. Teikti specialaus transporto paslaugas neįgaliesiems</t>
  </si>
  <si>
    <t>Specialaus transporto paslaugas gavusių neįgaliųjų skaičius</t>
  </si>
  <si>
    <t>1 990,00</t>
  </si>
  <si>
    <t>13.01.03.01.01</t>
  </si>
  <si>
    <t>Veikla: Spec. transporto paslaugų teikimas neįgaliems asmenims. Paslaugų teikėjas- Šakių r. neįgaliųjų draugija</t>
  </si>
  <si>
    <t>13.01.03.01.02</t>
  </si>
  <si>
    <t>Veikla: Spec. transporto paslaugų teikimas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</si>
  <si>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</si>
  <si>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</si>
  <si>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</si>
  <si>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</si>
  <si>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</si>
  <si>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13.01.03.03.</t>
  </si>
  <si>
    <t>Priemonė.Remti tikslines socialinių paslaugų  teikimo žmonėms su negalia programas</t>
  </si>
  <si>
    <t>Tikslinių socialinių paslaugų  teikimo žmonėms su negalia programų skaičius</t>
  </si>
  <si>
    <t>13.01.03.03.01</t>
  </si>
  <si>
    <t>Veikla: NVO organizacijų programų rėmimas</t>
  </si>
  <si>
    <t>13.01.03.04.</t>
  </si>
  <si>
    <t>Priemonė:Finansuoti socialinės reabilitacijos paslaugų neįgaliesiems bendruomenėje projektų įgyvendinimą(funkcija iš SADMNDT perduota savivaldybėms nuo 2012.01.01.)</t>
  </si>
  <si>
    <t>Socialinės reabilitacijos paslaugų neįgaliesiems bendruomenėje finansuojamų  projektų skaičius</t>
  </si>
  <si>
    <t>13.01.03.04.01</t>
  </si>
  <si>
    <t>Veikla: Socialinės reabilitacijos paslaugų neįgaliesiems bendruomenėje projektų finansavimas.</t>
  </si>
  <si>
    <t>13.01.04.</t>
  </si>
  <si>
    <t>Uždavinys.Teikti bendrąsias paslaugas</t>
  </si>
  <si>
    <t>13.01.04.02.</t>
  </si>
  <si>
    <t>Priemonė: Žmogaus palaikų patologinės anatomijos tyrimams ar teismo ekspertizės vežimo paslaugų teikimas</t>
  </si>
  <si>
    <t>Žuvusių ar mirusių asmenų, pervežtų ekspertizei atlikti, skaičius</t>
  </si>
  <si>
    <t>13.01.04.06.01</t>
  </si>
  <si>
    <t>Veikla: Pervežti ekspertizei atlikti žuvusius ar mirusius asmenis</t>
  </si>
  <si>
    <t>13.01.04.03.</t>
  </si>
  <si>
    <t>Priemonė: Teikti invercine pagalbą (maisto produktais ir kt.)</t>
  </si>
  <si>
    <t>Suteikta invercine pagalbą šeimoms (maisto produktais ir kt.), skaičius</t>
  </si>
  <si>
    <t>600,00</t>
  </si>
  <si>
    <t>13.01.04.03.01</t>
  </si>
  <si>
    <t>Veikla: Suteikti invercine pagalbą šeimoms (maisto produktais ir kt.)</t>
  </si>
  <si>
    <t>13.02.</t>
  </si>
  <si>
    <t>Tikslas: Socialinių paslaugų aprėpties didinimas.</t>
  </si>
  <si>
    <t>13.02.02.</t>
  </si>
  <si>
    <t>Uždavinys.Socialinės globos ir priežiūros paslaugų plėtra</t>
  </si>
  <si>
    <t>13.02.02.01.</t>
  </si>
  <si>
    <t>Priemonė.Socialinių paslaugų plėtra.</t>
  </si>
  <si>
    <t>Asmenų, gavusių paslaugas, skaičius</t>
  </si>
  <si>
    <t>13.02.02.01.01</t>
  </si>
  <si>
    <t>Veikla: Plėsti socialinių paslaugų tinklą, suteikiant papildomas socialines paslaugas</t>
  </si>
  <si>
    <t>13.02.03.</t>
  </si>
  <si>
    <t>Uždavinys.Kompleksinių socialinių paslaugų plėtra globėjų ir įtėvių šeimoms</t>
  </si>
  <si>
    <t>13.02.03.01.</t>
  </si>
  <si>
    <t>Priemonė.Naujų socialinių globėjų paieška ir rengimas.</t>
  </si>
  <si>
    <t>Parengtų socialinių globėjų skaičius</t>
  </si>
  <si>
    <t>13.02.03.01.01</t>
  </si>
  <si>
    <t>Veikla: Parengti naujus socialinius globėjus</t>
  </si>
  <si>
    <t>13.02.04.</t>
  </si>
  <si>
    <t>Uždavinys. Socialinių paslaugų poreikio nustatymo ir teikimo metodikos tobulinimas ir kokybės gerinimo priemonių diegimas.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</si>
  <si>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</si>
  <si>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</si>
  <si>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</si>
  <si>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</si>
  <si>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</si>
  <si>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</si>
  <si>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</si>
  <si>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</si>
  <si>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</si>
  <si>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Parengtų programų skaičius</t>
  </si>
  <si>
    <t>13.02.05.01.01</t>
  </si>
  <si>
    <t>Veikla: Socialinį darbą dirbantys asmenys</t>
  </si>
  <si>
    <t>13.02.06.</t>
  </si>
  <si>
    <t>Uždavinys. Finansinės pagalbos  rajono  gyventojams teikimas ir didinimas.</t>
  </si>
  <si>
    <t>13.02.06.01.</t>
  </si>
  <si>
    <t xml:space="preserve">Priemonė.Mokėti socialines išmokas rajono gyventojams.  </t>
  </si>
  <si>
    <t>Rajono gyventojų, gavusių piniginę socialinę paramą, skaičius</t>
  </si>
  <si>
    <t>10 250,00</t>
  </si>
  <si>
    <t>13.02.06.01.01</t>
  </si>
  <si>
    <t>Veikla: pašalpų, šildymo kompensacijų mokėjimas rajono gyventojams.</t>
  </si>
  <si>
    <t>13.02.06.02.</t>
  </si>
  <si>
    <t xml:space="preserve">Priemonė.Mokėti vienkartines tikslines išmokas rajono gyventojams.  </t>
  </si>
  <si>
    <t>Rajono gyventojų, gavusių vienkartines tikslines išmokas, skaičius</t>
  </si>
  <si>
    <t>280,00</t>
  </si>
  <si>
    <t>13.02.06.02.01</t>
  </si>
  <si>
    <t>Veikla: Vienkartinių pašalpų mokėjimas rajono gyventojams, stichinių nelaimių, gaisro ir kt.  atvejais.</t>
  </si>
  <si>
    <t>13.02.06.04.</t>
  </si>
  <si>
    <t>Priemonė. Teikti transporto išlaidų kompensacijas.</t>
  </si>
  <si>
    <t>Rajono gyventojų, gavusių transporto išlaidų kompensacijas, skaičius</t>
  </si>
  <si>
    <t>13.02.06.04.01</t>
  </si>
  <si>
    <t>Veikla: Transporto išlaidų dalies kompensavimas neįgaliems asmenims.</t>
  </si>
  <si>
    <t>13.02.06.05.</t>
  </si>
  <si>
    <t>Priemonė. Socialinės paramos programa mokiniams.</t>
  </si>
  <si>
    <t>Nemokamą maitinimą gavusių mokinių skaičius</t>
  </si>
  <si>
    <t>961,00</t>
  </si>
  <si>
    <t>Nemokamų mokymo reikmenų gavusių mokinių skaičius</t>
  </si>
  <si>
    <t>945,00</t>
  </si>
  <si>
    <t>13.02.06.05.01.</t>
  </si>
  <si>
    <t>Veikla: Nemokamų mokymo reikmenų  ir nemokamo maitinimo suteikimas mokiniams</t>
  </si>
  <si>
    <t>13.02.06.06</t>
  </si>
  <si>
    <t>Priemonė: Mokėti laidojimo pašalpas</t>
  </si>
  <si>
    <t>Išmokėtų laidojimo pašalpų skaičius</t>
  </si>
  <si>
    <t>625,00</t>
  </si>
  <si>
    <t>13.02.06.06.01</t>
  </si>
  <si>
    <t>Veikla: Išmokėti laidojimo pašalpas</t>
  </si>
  <si>
    <t>13.02.07.</t>
  </si>
  <si>
    <t>Uždavinys. Sąlygų imigrantams kurtis Šakių rajone sudarymas</t>
  </si>
  <si>
    <t>13.02.07.01.</t>
  </si>
  <si>
    <t>Priemonė. Inicijuoti programų, imigrantams įsikurti, parengimą.</t>
  </si>
  <si>
    <t>13.02.07.01.01</t>
  </si>
  <si>
    <t>Veikla: Inicijuoti programos imigrantams (įsikurti) parengimą</t>
  </si>
  <si>
    <t>13.02.08.</t>
  </si>
  <si>
    <t>Uždavinys. Universalaus dizaino aplinkos pritaikymas</t>
  </si>
  <si>
    <t>13.02.08.01.</t>
  </si>
  <si>
    <t>Priemonė. Pritaikyti visuomenės paskirties objektus neįgaliesiems.</t>
  </si>
  <si>
    <t>Pritaikytų visuomenės paskirties objektų skaičius</t>
  </si>
  <si>
    <t>13.02.08.01.01</t>
  </si>
  <si>
    <t>Veikla: Sudaryti sąlygas neįgaliesiems patekti į viešąsias įstaigas.</t>
  </si>
  <si>
    <t>13.02.09.</t>
  </si>
  <si>
    <t>Uždavinys. Šakių rajono socialinio būsto fondo plėtra</t>
  </si>
  <si>
    <t>13.02.09.01.</t>
  </si>
  <si>
    <t>Priemonė.Suteikti socialinio būsto paslaugas rajono gyventojams.</t>
  </si>
  <si>
    <t>Asmenų, gavusių socialinį būstą, skaičius</t>
  </si>
  <si>
    <t>18,00</t>
  </si>
  <si>
    <t>13.02.09.01.01</t>
  </si>
  <si>
    <t>Veikla: Teikti rajono gyventojams socialinio būsto paslaugas</t>
  </si>
  <si>
    <t>13.02.09.02.</t>
  </si>
  <si>
    <t>Priemonė.Socialinio būsto remontas.</t>
  </si>
  <si>
    <t>Suremontuotų socialinių būstų, skaičius</t>
  </si>
  <si>
    <t>13.02.09.02.01</t>
  </si>
  <si>
    <t>Veikla: Savivaldybės administracija prisideda prie rajono socialinio būsto remonto.</t>
  </si>
  <si>
    <t>13.03.</t>
  </si>
  <si>
    <t>Tikslas:Saugumą užtikrinančių priemonių diegimas</t>
  </si>
  <si>
    <t>Daiva  Pilypaitytė, Gintautas Vedegys</t>
  </si>
  <si>
    <t>13.03.01.</t>
  </si>
  <si>
    <t>Uždavinys.Užtikrinti viešojo saugumo paslaugas priešgaisrinės saugos srityje</t>
  </si>
  <si>
    <t>13.03.01.01.</t>
  </si>
  <si>
    <t>Priemonė.Atnaujinti gaisrinius automobilius.</t>
  </si>
  <si>
    <t>Šakių rajono savivaldybės priešgaisrinė tarnyba</t>
  </si>
  <si>
    <t>Atnaujintų gaisrinių automobilių skaičius</t>
  </si>
  <si>
    <t>13.03.01.01.01</t>
  </si>
  <si>
    <t>Veikla: Atnaujinti gaisrinius automobilius.</t>
  </si>
  <si>
    <t>13.03.02.</t>
  </si>
  <si>
    <t>Uždavinys.Sudaryti tinkamas darbo sąlygas  seniūnijų ugniagesiams.</t>
  </si>
  <si>
    <t>13.03.02.01.</t>
  </si>
  <si>
    <t>Priemonė.Sumontuoti GPS įrangą.</t>
  </si>
  <si>
    <t>Sumontuotų GPS įrangų skaičius.</t>
  </si>
  <si>
    <t>13.03.02.01.01</t>
  </si>
  <si>
    <t>Veikla: Sumontuoti GPS įrangą.</t>
  </si>
  <si>
    <t>13.03.03.</t>
  </si>
  <si>
    <t xml:space="preserve">Uždavinys.Įgyvendinti priemones, skirtas socialiai remtiniems asmenims </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</si>
  <si>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</si>
  <si>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</si>
  <si>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</si>
  <si>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</si>
  <si>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</si>
  <si>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</si>
  <si>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</si>
  <si>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Aušra Pavydienė</t>
  </si>
  <si>
    <t>13.03.04.01</t>
  </si>
  <si>
    <t>Priemonė: Vykdyti savižudybių prevencijos programą</t>
  </si>
  <si>
    <t>Įgyvendinamų savižudybių prevencijos programų skaičius</t>
  </si>
  <si>
    <t>13.03.04.01.01</t>
  </si>
  <si>
    <t>Veikla: Įgyvendinti savižudybių prevencijos programą</t>
  </si>
  <si>
    <t>13.04.</t>
  </si>
  <si>
    <t>Tikslas: Sveiko gyvenimo  būdo ir sporto propagavimas, ligų prevencija, profilaktika.</t>
  </si>
  <si>
    <t>13.04.01.</t>
  </si>
  <si>
    <t>Uždavinys: Skatinti sveiką gyvenseną ir vykdyti ligų prevenciją</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</si>
  <si>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</si>
  <si>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</si>
  <si>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</si>
  <si>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</si>
  <si>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</si>
  <si>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</si>
  <si>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</si>
  <si>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13.05.01.</t>
  </si>
  <si>
    <t>Uždavinys: Atnaujinti sveikatos priežiūros paslaugas teikiančių savivaldybės įstaigų infrastruktūrą</t>
  </si>
  <si>
    <t>13.05.01.01.</t>
  </si>
  <si>
    <t>Priemonė: Užtikrinti kokybišką sveikatos priežiūros paslaugų prieinamumą</t>
  </si>
  <si>
    <t>Sutvarkytų sveikatos įstaigų teritorijų plotas (m2)</t>
  </si>
  <si>
    <t>m2</t>
  </si>
  <si>
    <t>500,00</t>
  </si>
  <si>
    <t>Įdiegtų elektroninių paslaugų apimtis įstaigose</t>
  </si>
  <si>
    <t>Įsidiegusių sveikatos priežiūros įstaigų kokybės gerinimo priemonių, skaičius</t>
  </si>
  <si>
    <t>9,00</t>
  </si>
  <si>
    <t>Rekonstruotų ar suremontuotų pastatų/ patalpų sveikatos priežiūros įstaigų plotas (m2)</t>
  </si>
  <si>
    <t>580,00</t>
  </si>
  <si>
    <t>Mokymuose dalyvavusių gydytojų ir slaugytojų skaičius</t>
  </si>
  <si>
    <t>Parengtų ir pritrauktų finansuojamų specialistų skaičius</t>
  </si>
  <si>
    <t>13.05.01.01.01</t>
  </si>
  <si>
    <t>Veikla: Užtikrinti prieinamumą sveikatos priežiūros paslaugų</t>
  </si>
  <si>
    <t>1</t>
  </si>
  <si>
    <t>savivaldybės biudžetas</t>
  </si>
  <si>
    <t>1.1.</t>
  </si>
  <si>
    <t>savivaldybės biudžeto lėšos</t>
  </si>
  <si>
    <t>1.2.</t>
  </si>
  <si>
    <t>biudžetinių įstaigų pajamos</t>
  </si>
  <si>
    <t>1.3.</t>
  </si>
  <si>
    <t>valstybės tikslinė dotacija</t>
  </si>
  <si>
    <t>1.5.</t>
  </si>
  <si>
    <t>savivaldybės banko paskola</t>
  </si>
  <si>
    <t>1.7.</t>
  </si>
  <si>
    <t>į rajono savivaldybės biudžetą įeinačios ES paramos lėšos.</t>
  </si>
  <si>
    <t>1.8.</t>
  </si>
  <si>
    <t>į rajono savivaldybės biudžetą įeinačios nacionalinio biudžeto (bendrojo finansavimo, valstybės investicijų programos (VIP) ir  kt.) lėšos.</t>
  </si>
  <si>
    <t>2.</t>
  </si>
  <si>
    <t>ES ir kitos tarptautinės finansinės paramos lėšos</t>
  </si>
  <si>
    <t>3</t>
  </si>
  <si>
    <t>Nacionalinio biudžeto (bendrojo finansavimo, valstybės investicijų programos (VIP) ir  kt.) lėšos;</t>
  </si>
  <si>
    <t>4</t>
  </si>
  <si>
    <t>Kiti šaltiniai</t>
  </si>
  <si>
    <t>4.3</t>
  </si>
  <si>
    <t>Nuosavos  lėšos</t>
  </si>
  <si>
    <t>4.4</t>
  </si>
  <si>
    <t>Partnerių lėšos</t>
  </si>
  <si>
    <t>IŠ VISO:</t>
  </si>
  <si>
    <t>2019 m. metinis veiklos planas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</si>
</sst>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427]#,##0.00;\-#,##0.00;&quot;&quot;"/>
  </numFmts>
  <fonts count="3" x14ac:knownFonts="1">
    <font>
      <sz val="11"/>
      <color rgb="FF000000"/>
      <name val="Calibri"/>
      <family val="2"/>
    </font>
    <font>
      <b/>
      <sz val="11"/>
      <color rgb="FF000000"/>
      <name val="Times New Roman"/>
      <family val="1"/>
      <charset val="186"/>
    </font>
    <font>
      <sz val="11"/>
      <color rgb="FF000000"/>
      <name val="Times New Roman"/>
      <family val="1"/>
      <charset val="186"/>
    </font>
  </fonts>
  <fills count="7">
    <fill>
      <patternFill patternType="none"/>
    </fill>
    <fill>
      <patternFill patternType="gray125"/>
    </fill>
    <fill>
      <patternFill patternType="none">
        <fgColor rgb="FF000000"/>
        <bgColor rgb="FF000000"/>
      </patternFill>
    </fill>
    <fill>
      <patternFill patternType="solid">
        <fgColor rgb="FFF8D0D0"/>
        <bgColor rgb="FFF8D0D0"/>
      </patternFill>
    </fill>
    <fill>
      <patternFill patternType="solid">
        <fgColor rgb="FFF9F6C1"/>
        <bgColor rgb="FFF9F6C1"/>
      </patternFill>
    </fill>
    <fill>
      <patternFill patternType="solid">
        <fgColor rgb="FFD2F3C3"/>
        <bgColor rgb="FFD2F3C3"/>
      </patternFill>
    </fill>
    <fill>
      <patternFill patternType="solid">
        <fgColor rgb="FFEBEBEB"/>
        <bgColor rgb="FFEBEBEB"/>
      </patternFill>
    </fill>
  </fills>
  <borders count="13">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s>
  <cellStyleXfs count="1">
    <xf numFmtId="0" fontId="0" fillId="0" borderId="0" applyBorder="0"/>
  </cellStyleXfs>
  <cellXfs count="62">
    <xf numFmtId="0" fontId="0" fillId="0" borderId="0" xfId="0" applyNumberFormat="1" applyFill="1" applyAlignment="1" applyProtection="1"/>
    <xf numFmtId="0" fontId="1" fillId="2" borderId="0" xfId="0" applyNumberFormat="1" applyFont="1" applyFill="1" applyAlignment="1" applyProtection="1">
      <alignment horizontal="center" vertical="center" wrapText="1"/>
    </xf>
    <xf numFmtId="0" fontId="2" fillId="0" borderId="0" xfId="0" applyNumberFormat="1" applyFont="1" applyFill="1" applyAlignment="1" applyProtection="1">
      <alignment vertical="center" wrapText="1"/>
    </xf>
    <xf numFmtId="0" fontId="1" fillId="0" borderId="6" xfId="0" applyNumberFormat="1" applyFont="1" applyFill="1" applyBorder="1" applyAlignment="1" applyProtection="1">
      <alignment horizontal="center" vertical="center" wrapText="1"/>
    </xf>
    <xf numFmtId="0" fontId="1" fillId="0" borderId="9" xfId="0" applyNumberFormat="1" applyFont="1" applyFill="1" applyBorder="1" applyAlignment="1" applyProtection="1">
      <alignment horizontal="center" vertical="center" wrapText="1"/>
    </xf>
    <xf numFmtId="0" fontId="1" fillId="3" borderId="1"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vertical="center" wrapText="1"/>
      <protection locked="0"/>
    </xf>
    <xf numFmtId="0" fontId="1" fillId="3" borderId="2" xfId="0" applyNumberFormat="1" applyFont="1" applyFill="1" applyBorder="1" applyAlignment="1" applyProtection="1">
      <alignment horizontal="left" vertical="center" wrapText="1"/>
      <protection locked="0"/>
    </xf>
    <xf numFmtId="164" fontId="1" fillId="3" borderId="2" xfId="0" applyNumberFormat="1" applyFont="1" applyFill="1" applyBorder="1" applyAlignment="1" applyProtection="1">
      <alignment horizontal="right" vertical="center" wrapText="1"/>
    </xf>
    <xf numFmtId="0" fontId="1" fillId="3" borderId="2" xfId="0" applyNumberFormat="1" applyFont="1" applyFill="1" applyBorder="1" applyAlignment="1" applyProtection="1">
      <alignment horizontal="center" vertical="center" wrapText="1"/>
      <protection locked="0"/>
    </xf>
    <xf numFmtId="0" fontId="1" fillId="3" borderId="3" xfId="0" applyNumberFormat="1" applyFont="1" applyFill="1" applyBorder="1" applyAlignment="1" applyProtection="1">
      <alignment horizontal="center" vertical="center" wrapText="1"/>
      <protection locked="0"/>
    </xf>
    <xf numFmtId="0" fontId="1" fillId="4" borderId="1"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vertical="center" wrapText="1"/>
      <protection locked="0"/>
    </xf>
    <xf numFmtId="0" fontId="1" fillId="4" borderId="2" xfId="0" applyNumberFormat="1" applyFont="1" applyFill="1" applyBorder="1" applyAlignment="1" applyProtection="1">
      <alignment horizontal="left" vertical="center" wrapText="1"/>
      <protection locked="0"/>
    </xf>
    <xf numFmtId="164" fontId="1" fillId="4" borderId="2" xfId="0" applyNumberFormat="1" applyFont="1" applyFill="1" applyBorder="1" applyAlignment="1" applyProtection="1">
      <alignment horizontal="right" vertical="center" wrapText="1"/>
    </xf>
    <xf numFmtId="0" fontId="1" fillId="4" borderId="2" xfId="0" applyNumberFormat="1" applyFont="1" applyFill="1" applyBorder="1" applyAlignment="1" applyProtection="1">
      <alignment horizontal="center" vertical="center" wrapText="1"/>
      <protection locked="0"/>
    </xf>
    <xf numFmtId="0" fontId="1" fillId="4" borderId="3" xfId="0" applyNumberFormat="1" applyFont="1" applyFill="1" applyBorder="1" applyAlignment="1" applyProtection="1">
      <alignment horizontal="center" vertical="center" wrapText="1"/>
      <protection locked="0"/>
    </xf>
    <xf numFmtId="0" fontId="1" fillId="5" borderId="1"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vertical="center" wrapText="1"/>
      <protection locked="0"/>
    </xf>
    <xf numFmtId="0" fontId="1" fillId="5" borderId="2" xfId="0" applyNumberFormat="1" applyFont="1" applyFill="1" applyBorder="1" applyAlignment="1" applyProtection="1">
      <alignment horizontal="left" vertical="center" wrapText="1"/>
      <protection locked="0"/>
    </xf>
    <xf numFmtId="164" fontId="1" fillId="5" borderId="2" xfId="0" applyNumberFormat="1" applyFont="1" applyFill="1" applyBorder="1" applyAlignment="1" applyProtection="1">
      <alignment horizontal="right" vertical="center" wrapText="1"/>
    </xf>
    <xf numFmtId="0" fontId="1" fillId="5" borderId="2" xfId="0" applyNumberFormat="1" applyFont="1" applyFill="1" applyBorder="1" applyAlignment="1" applyProtection="1">
      <alignment horizontal="center" vertical="center" wrapText="1"/>
      <protection locked="0"/>
    </xf>
    <xf numFmtId="0" fontId="1" fillId="5" borderId="3" xfId="0" applyNumberFormat="1" applyFont="1" applyFill="1" applyBorder="1" applyAlignment="1" applyProtection="1">
      <alignment horizontal="center" vertical="center" wrapText="1"/>
      <protection locked="0"/>
    </xf>
    <xf numFmtId="0" fontId="2" fillId="0" borderId="1"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vertical="center" wrapText="1"/>
      <protection locked="0"/>
    </xf>
    <xf numFmtId="0" fontId="2" fillId="0" borderId="2" xfId="0" applyNumberFormat="1" applyFont="1" applyFill="1" applyBorder="1" applyAlignment="1" applyProtection="1">
      <alignment horizontal="left" vertical="center" wrapText="1"/>
      <protection locked="0"/>
    </xf>
    <xf numFmtId="164" fontId="2" fillId="0" borderId="2" xfId="0" applyNumberFormat="1" applyFont="1" applyFill="1" applyBorder="1" applyAlignment="1" applyProtection="1">
      <alignment horizontal="right" vertical="center" wrapText="1"/>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wrapText="1"/>
      <protection locked="0"/>
    </xf>
    <xf numFmtId="164" fontId="2" fillId="0" borderId="2" xfId="0" applyNumberFormat="1" applyFont="1" applyFill="1" applyBorder="1" applyAlignment="1" applyProtection="1">
      <alignment horizontal="right" vertical="center" wrapText="1"/>
      <protection locked="0"/>
    </xf>
    <xf numFmtId="0" fontId="2" fillId="0" borderId="4"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vertical="center" wrapText="1"/>
      <protection locked="0"/>
    </xf>
    <xf numFmtId="0" fontId="2" fillId="0" borderId="5" xfId="0" applyNumberFormat="1" applyFont="1" applyFill="1" applyBorder="1" applyAlignment="1" applyProtection="1">
      <alignment horizontal="left" vertical="center" wrapText="1"/>
      <protection locked="0"/>
    </xf>
    <xf numFmtId="164" fontId="2" fillId="0" borderId="5" xfId="0" applyNumberFormat="1" applyFont="1" applyFill="1" applyBorder="1" applyAlignment="1" applyProtection="1">
      <alignment horizontal="right" vertical="center" wrapText="1"/>
      <protection locked="0"/>
    </xf>
    <xf numFmtId="0" fontId="2" fillId="0" borderId="5" xfId="0" applyNumberFormat="1" applyFont="1" applyFill="1" applyBorder="1" applyAlignment="1" applyProtection="1">
      <alignment horizontal="center" vertical="center" wrapText="1"/>
      <protection locked="0"/>
    </xf>
    <xf numFmtId="0" fontId="2" fillId="0" borderId="6" xfId="0" applyNumberFormat="1" applyFont="1" applyFill="1" applyBorder="1" applyAlignment="1" applyProtection="1">
      <alignment horizontal="center" vertical="center" wrapText="1"/>
      <protection locked="0"/>
    </xf>
    <xf numFmtId="164" fontId="1" fillId="3" borderId="2" xfId="0" applyNumberFormat="1" applyFont="1" applyFill="1" applyBorder="1" applyAlignment="1" applyProtection="1">
      <alignment horizontal="right" vertical="center" wrapText="1"/>
      <protection locked="0"/>
    </xf>
    <xf numFmtId="0" fontId="2" fillId="0" borderId="10"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vertical="center" wrapText="1"/>
      <protection locked="0"/>
    </xf>
    <xf numFmtId="0" fontId="2" fillId="0" borderId="11" xfId="0" applyNumberFormat="1" applyFont="1" applyFill="1" applyBorder="1" applyAlignment="1" applyProtection="1">
      <alignment horizontal="left" vertical="center" wrapText="1"/>
      <protection locked="0"/>
    </xf>
    <xf numFmtId="164" fontId="2" fillId="0" borderId="11" xfId="0" applyNumberFormat="1" applyFont="1" applyFill="1" applyBorder="1" applyAlignment="1" applyProtection="1">
      <alignment horizontal="right" vertical="center" wrapText="1"/>
      <protection locked="0"/>
    </xf>
    <xf numFmtId="0" fontId="2" fillId="0" borderId="11" xfId="0" applyNumberFormat="1" applyFont="1" applyFill="1" applyBorder="1" applyAlignment="1" applyProtection="1">
      <alignment horizontal="center" vertical="center" wrapText="1"/>
      <protection locked="0"/>
    </xf>
    <xf numFmtId="0" fontId="2" fillId="0" borderId="12" xfId="0" applyNumberFormat="1" applyFont="1" applyFill="1" applyBorder="1" applyAlignment="1" applyProtection="1">
      <alignment horizontal="center" vertical="center" wrapText="1"/>
      <protection locked="0"/>
    </xf>
    <xf numFmtId="0" fontId="2" fillId="2" borderId="0" xfId="0" applyNumberFormat="1" applyFont="1" applyFill="1" applyAlignment="1" applyProtection="1">
      <alignment vertical="center" wrapText="1"/>
      <protection locked="0"/>
    </xf>
    <xf numFmtId="0" fontId="2" fillId="2" borderId="0" xfId="0" applyNumberFormat="1" applyFont="1" applyFill="1" applyAlignment="1" applyProtection="1">
      <alignment horizontal="left" vertical="center" wrapText="1"/>
      <protection locked="0"/>
    </xf>
    <xf numFmtId="164" fontId="2" fillId="2" borderId="0" xfId="0" applyNumberFormat="1" applyFont="1" applyFill="1" applyAlignment="1" applyProtection="1">
      <alignment horizontal="right" vertical="center" wrapText="1"/>
      <protection locked="0"/>
    </xf>
    <xf numFmtId="0" fontId="2" fillId="2" borderId="0" xfId="0" applyNumberFormat="1" applyFont="1" applyFill="1" applyAlignment="1" applyProtection="1">
      <alignment horizontal="center" vertical="center" wrapText="1"/>
      <protection locked="0"/>
    </xf>
    <xf numFmtId="0" fontId="2" fillId="2" borderId="0" xfId="0" applyNumberFormat="1" applyFont="1" applyFill="1" applyAlignment="1" applyProtection="1">
      <alignment vertical="center" wrapText="1"/>
    </xf>
    <xf numFmtId="0" fontId="2" fillId="0" borderId="0" xfId="0" applyNumberFormat="1" applyFont="1" applyFill="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164" fontId="2" fillId="0" borderId="5" xfId="0" applyNumberFormat="1" applyFont="1" applyFill="1" applyBorder="1" applyAlignment="1" applyProtection="1">
      <alignment horizontal="right" vertical="center" wrapText="1"/>
    </xf>
    <xf numFmtId="0" fontId="1" fillId="6" borderId="5" xfId="0" applyNumberFormat="1" applyFont="1" applyFill="1" applyBorder="1" applyAlignment="1" applyProtection="1">
      <alignment vertical="center" wrapText="1"/>
      <protection locked="0"/>
    </xf>
    <xf numFmtId="0" fontId="1" fillId="6" borderId="5" xfId="0" applyNumberFormat="1" applyFont="1" applyFill="1" applyBorder="1" applyAlignment="1" applyProtection="1">
      <alignment horizontal="right" vertical="center" wrapText="1"/>
      <protection locked="0"/>
    </xf>
    <xf numFmtId="164" fontId="1" fillId="6" borderId="5" xfId="0" applyNumberFormat="1" applyFont="1" applyFill="1" applyBorder="1" applyAlignment="1" applyProtection="1">
      <alignment horizontal="right" vertical="center" wrapText="1"/>
    </xf>
    <xf numFmtId="0" fontId="1" fillId="0" borderId="5"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2" borderId="0" xfId="0" applyNumberFormat="1" applyFont="1" applyFill="1" applyAlignment="1" applyProtection="1">
      <alignment horizontal="center" vertical="center" wrapText="1"/>
    </xf>
    <xf numFmtId="0" fontId="1" fillId="0" borderId="1"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30"/>
  <sheetViews>
    <sheetView tabSelected="1" workbookViewId="0">
      <selection activeCell="A2" sqref="A2"/>
    </sheetView>
  </sheetViews>
  <sheetFormatPr defaultRowHeight="15" x14ac:dyDescent="0.25"/>
  <cols>
    <col min="1" max="1" width="13.7109375" style="2" customWidth="1"/>
    <col min="2" max="2" width="52.85546875" style="2" customWidth="1"/>
    <col min="3" max="3" width="20" style="2" customWidth="1"/>
    <col min="4" max="4" width="19.5703125" style="2" customWidth="1"/>
    <col min="5" max="5" width="14" style="2" customWidth="1"/>
    <col min="6" max="6" width="13.5703125" style="2" customWidth="1"/>
    <col min="7" max="7" width="13.28515625" style="2" customWidth="1"/>
    <col min="8" max="8" width="12" style="2" customWidth="1"/>
    <col min="9" max="9" width="12.85546875" style="2" customWidth="1"/>
    <col min="10" max="10" width="11.140625" style="2" customWidth="1"/>
    <col min="11" max="11" width="14.140625" style="2" customWidth="1"/>
    <col min="12" max="12" width="12.28515625" style="2" customWidth="1"/>
    <col min="13" max="13" width="5.7109375" style="2" customWidth="1"/>
    <col min="14" max="14" width="11.140625" style="2" customWidth="1"/>
    <col min="15" max="15" width="40" style="2" customWidth="1"/>
    <col min="16" max="16" width="7.85546875" style="48" customWidth="1"/>
    <col min="17" max="17" width="9" style="48" customWidth="1"/>
    <col min="18" max="16384" width="9.140625" style="2"/>
  </cols>
  <sheetData>
    <row r="1" spans="1:17" s="1" customFormat="1" ht="14.25" x14ac:dyDescent="0.25">
      <c r="A1" s="58" t="s">
        <v>0</v>
      </c>
      <c r="B1" s="58"/>
      <c r="C1" s="58"/>
      <c r="D1" s="58"/>
      <c r="E1" s="58"/>
      <c r="F1" s="58"/>
      <c r="G1" s="58"/>
      <c r="H1" s="58"/>
      <c r="I1" s="58"/>
      <c r="J1" s="58"/>
      <c r="K1" s="58"/>
      <c r="L1" s="58"/>
      <c r="M1" s="58"/>
      <c r="N1" s="58"/>
      <c r="O1" s="58"/>
      <c r="P1" s="58"/>
      <c r="Q1" s="58"/>
    </row>
    <row r="5" spans="1:17" x14ac:dyDescent="0.25">
      <c r="A5" s="59" t="s">
        <v>1</v>
      </c>
      <c r="B5" s="56" t="s">
        <v>1022</v>
      </c>
      <c r="C5" s="56" t="s">
        <v>3</v>
      </c>
      <c r="D5" s="56" t="s">
        <v>4</v>
      </c>
      <c r="E5" s="56" t="s">
        <v>5</v>
      </c>
      <c r="F5" s="56" t="s">
        <v>6</v>
      </c>
      <c r="G5" s="56"/>
      <c r="H5" s="56"/>
      <c r="I5" s="56"/>
      <c r="J5" s="56"/>
      <c r="K5" s="56"/>
      <c r="L5" s="56"/>
      <c r="M5" s="56"/>
      <c r="N5" s="56"/>
      <c r="O5" s="56" t="s">
        <v>7</v>
      </c>
      <c r="P5" s="56"/>
      <c r="Q5" s="57"/>
    </row>
    <row r="6" spans="1:17" x14ac:dyDescent="0.25">
      <c r="A6" s="60"/>
      <c r="B6" s="54"/>
      <c r="C6" s="54"/>
      <c r="D6" s="54"/>
      <c r="E6" s="54"/>
      <c r="F6" s="54" t="s">
        <v>8</v>
      </c>
      <c r="G6" s="54" t="s">
        <v>9</v>
      </c>
      <c r="H6" s="54" t="s">
        <v>10</v>
      </c>
      <c r="I6" s="54" t="s">
        <v>11</v>
      </c>
      <c r="J6" s="54" t="s">
        <v>12</v>
      </c>
      <c r="K6" s="54" t="s">
        <v>13</v>
      </c>
      <c r="L6" s="54" t="s">
        <v>14</v>
      </c>
      <c r="M6" s="54" t="s">
        <v>15</v>
      </c>
      <c r="N6" s="54" t="s">
        <v>16</v>
      </c>
      <c r="O6" s="54" t="s">
        <v>17</v>
      </c>
      <c r="P6" s="54" t="s">
        <v>18</v>
      </c>
      <c r="Q6" s="3" t="s">
        <v>19</v>
      </c>
    </row>
    <row r="7" spans="1:17" ht="47.25" customHeight="1" x14ac:dyDescent="0.25">
      <c r="A7" s="61"/>
      <c r="B7" s="55"/>
      <c r="C7" s="55"/>
      <c r="D7" s="55"/>
      <c r="E7" s="55"/>
      <c r="F7" s="55"/>
      <c r="G7" s="55"/>
      <c r="H7" s="55"/>
      <c r="I7" s="55"/>
      <c r="J7" s="55"/>
      <c r="K7" s="55"/>
      <c r="L7" s="55"/>
      <c r="M7" s="55"/>
      <c r="N7" s="55"/>
      <c r="O7" s="55"/>
      <c r="P7" s="55"/>
      <c r="Q7" s="4" t="s">
        <v>20</v>
      </c>
    </row>
    <row r="8" spans="1:17" ht="28.5" x14ac:dyDescent="0.25">
      <c r="A8" s="5" t="s">
        <v>21</v>
      </c>
      <c r="B8" s="6" t="s">
        <v>22</v>
      </c>
      <c r="C8" s="7" t="s">
        <v>23</v>
      </c>
      <c r="D8" s="7" t="s">
        <v>24</v>
      </c>
      <c r="E8" s="8">
        <f t="shared" ref="E8:N8" si="0">E9+E37+E41+E45+E51</f>
        <v>639117.34</v>
      </c>
      <c r="F8" s="8">
        <f t="shared" si="0"/>
        <v>315561.75</v>
      </c>
      <c r="G8" s="8">
        <f t="shared" si="0"/>
        <v>0</v>
      </c>
      <c r="H8" s="8">
        <f t="shared" si="0"/>
        <v>0</v>
      </c>
      <c r="I8" s="8">
        <f t="shared" si="0"/>
        <v>137934</v>
      </c>
      <c r="J8" s="8">
        <f t="shared" si="0"/>
        <v>0</v>
      </c>
      <c r="K8" s="8">
        <f t="shared" si="0"/>
        <v>112128.59</v>
      </c>
      <c r="L8" s="8">
        <f t="shared" si="0"/>
        <v>73493</v>
      </c>
      <c r="M8" s="8">
        <f t="shared" si="0"/>
        <v>0</v>
      </c>
      <c r="N8" s="8">
        <f t="shared" si="0"/>
        <v>0</v>
      </c>
      <c r="O8" s="7"/>
      <c r="P8" s="9"/>
      <c r="Q8" s="10"/>
    </row>
    <row r="9" spans="1:17" x14ac:dyDescent="0.25">
      <c r="A9" s="11" t="s">
        <v>25</v>
      </c>
      <c r="B9" s="12" t="s">
        <v>26</v>
      </c>
      <c r="C9" s="13"/>
      <c r="D9" s="13"/>
      <c r="E9" s="14">
        <f t="shared" ref="E9:N9" si="1">E10+E34</f>
        <v>579562.59</v>
      </c>
      <c r="F9" s="14">
        <f t="shared" si="1"/>
        <v>269500</v>
      </c>
      <c r="G9" s="14">
        <f t="shared" si="1"/>
        <v>0</v>
      </c>
      <c r="H9" s="14">
        <f t="shared" si="1"/>
        <v>0</v>
      </c>
      <c r="I9" s="14">
        <f t="shared" si="1"/>
        <v>137934</v>
      </c>
      <c r="J9" s="14">
        <f t="shared" si="1"/>
        <v>0</v>
      </c>
      <c r="K9" s="14">
        <f t="shared" si="1"/>
        <v>112128.59</v>
      </c>
      <c r="L9" s="14">
        <f t="shared" si="1"/>
        <v>60000</v>
      </c>
      <c r="M9" s="14">
        <f t="shared" si="1"/>
        <v>0</v>
      </c>
      <c r="N9" s="14">
        <f t="shared" si="1"/>
        <v>0</v>
      </c>
      <c r="O9" s="13"/>
      <c r="P9" s="15"/>
      <c r="Q9" s="16"/>
    </row>
    <row r="10" spans="1:17" ht="57" x14ac:dyDescent="0.25">
      <c r="A10" s="17" t="s">
        <v>27</v>
      </c>
      <c r="B10" s="18" t="s">
        <v>28</v>
      </c>
      <c r="C10" s="19"/>
      <c r="D10" s="19"/>
      <c r="E10" s="20">
        <f t="shared" ref="E10:N10" si="2">E11+E13+E15+E17+E19+E21+E23+E28</f>
        <v>576562.59</v>
      </c>
      <c r="F10" s="20">
        <f t="shared" si="2"/>
        <v>269500</v>
      </c>
      <c r="G10" s="20">
        <f t="shared" si="2"/>
        <v>0</v>
      </c>
      <c r="H10" s="20">
        <f t="shared" si="2"/>
        <v>0</v>
      </c>
      <c r="I10" s="20">
        <f t="shared" si="2"/>
        <v>137934</v>
      </c>
      <c r="J10" s="20">
        <f t="shared" si="2"/>
        <v>0</v>
      </c>
      <c r="K10" s="20">
        <f t="shared" si="2"/>
        <v>112128.59</v>
      </c>
      <c r="L10" s="20">
        <f t="shared" si="2"/>
        <v>57000</v>
      </c>
      <c r="M10" s="20">
        <f t="shared" si="2"/>
        <v>0</v>
      </c>
      <c r="N10" s="20">
        <f t="shared" si="2"/>
        <v>0</v>
      </c>
      <c r="O10" s="19"/>
      <c r="P10" s="21"/>
      <c r="Q10" s="22"/>
    </row>
    <row r="11" spans="1:17" ht="30" x14ac:dyDescent="0.25">
      <c r="A11" s="23" t="s">
        <v>29</v>
      </c>
      <c r="B11" s="24" t="s">
        <v>30</v>
      </c>
      <c r="C11" s="25" t="s">
        <v>23</v>
      </c>
      <c r="D11" s="25" t="s">
        <v>24</v>
      </c>
      <c r="E11" s="26">
        <f>SUM(E12:E12)+10000</f>
        <v>10000</v>
      </c>
      <c r="F11" s="26">
        <f t="shared" ref="F11:K11" si="3">SUM(F12:F12)</f>
        <v>0</v>
      </c>
      <c r="G11" s="26">
        <f t="shared" si="3"/>
        <v>0</v>
      </c>
      <c r="H11" s="26">
        <f t="shared" si="3"/>
        <v>0</v>
      </c>
      <c r="I11" s="26">
        <f t="shared" si="3"/>
        <v>0</v>
      </c>
      <c r="J11" s="26">
        <f t="shared" si="3"/>
        <v>0</v>
      </c>
      <c r="K11" s="26">
        <f t="shared" si="3"/>
        <v>0</v>
      </c>
      <c r="L11" s="26">
        <f>SUM(L12:L12)+10000</f>
        <v>10000</v>
      </c>
      <c r="M11" s="26">
        <f>SUM(M12:M12)</f>
        <v>0</v>
      </c>
      <c r="N11" s="26">
        <f>SUM(N12:N12)</f>
        <v>0</v>
      </c>
      <c r="O11" s="25" t="s">
        <v>31</v>
      </c>
      <c r="P11" s="27" t="s">
        <v>32</v>
      </c>
      <c r="Q11" s="28" t="s">
        <v>33</v>
      </c>
    </row>
    <row r="12" spans="1:17" ht="30" x14ac:dyDescent="0.25">
      <c r="A12" s="23" t="s">
        <v>34</v>
      </c>
      <c r="B12" s="24" t="s">
        <v>35</v>
      </c>
      <c r="C12" s="25"/>
      <c r="D12" s="25" t="s">
        <v>24</v>
      </c>
      <c r="E12" s="29">
        <v>0</v>
      </c>
      <c r="F12" s="29">
        <v>0</v>
      </c>
      <c r="G12" s="29">
        <v>0</v>
      </c>
      <c r="H12" s="29">
        <v>0</v>
      </c>
      <c r="I12" s="29">
        <v>0</v>
      </c>
      <c r="J12" s="29">
        <v>0</v>
      </c>
      <c r="K12" s="29">
        <v>0</v>
      </c>
      <c r="L12" s="29">
        <v>0</v>
      </c>
      <c r="M12" s="29">
        <v>0</v>
      </c>
      <c r="N12" s="29">
        <v>0</v>
      </c>
      <c r="O12" s="25"/>
      <c r="P12" s="27"/>
      <c r="Q12" s="28"/>
    </row>
    <row r="13" spans="1:17" ht="30" x14ac:dyDescent="0.25">
      <c r="A13" s="23" t="s">
        <v>36</v>
      </c>
      <c r="B13" s="24" t="s">
        <v>37</v>
      </c>
      <c r="C13" s="25" t="s">
        <v>23</v>
      </c>
      <c r="D13" s="25" t="s">
        <v>24</v>
      </c>
      <c r="E13" s="26">
        <f>SUM(E14:E14)+43000</f>
        <v>43000</v>
      </c>
      <c r="F13" s="26">
        <f t="shared" ref="F13:K13" si="4">SUM(F14:F14)</f>
        <v>0</v>
      </c>
      <c r="G13" s="26">
        <f t="shared" si="4"/>
        <v>0</v>
      </c>
      <c r="H13" s="26">
        <f t="shared" si="4"/>
        <v>0</v>
      </c>
      <c r="I13" s="26">
        <f t="shared" si="4"/>
        <v>0</v>
      </c>
      <c r="J13" s="26">
        <f t="shared" si="4"/>
        <v>0</v>
      </c>
      <c r="K13" s="26">
        <f t="shared" si="4"/>
        <v>0</v>
      </c>
      <c r="L13" s="26">
        <f>SUM(L14:L14)+43000</f>
        <v>43000</v>
      </c>
      <c r="M13" s="26">
        <f>SUM(M14:M14)</f>
        <v>0</v>
      </c>
      <c r="N13" s="26">
        <f>SUM(N14:N14)</f>
        <v>0</v>
      </c>
      <c r="O13" s="25" t="s">
        <v>38</v>
      </c>
      <c r="P13" s="27" t="s">
        <v>32</v>
      </c>
      <c r="Q13" s="28" t="s">
        <v>39</v>
      </c>
    </row>
    <row r="14" spans="1:17" x14ac:dyDescent="0.25">
      <c r="A14" s="23" t="s">
        <v>40</v>
      </c>
      <c r="B14" s="24" t="s">
        <v>41</v>
      </c>
      <c r="C14" s="25"/>
      <c r="D14" s="25" t="s">
        <v>24</v>
      </c>
      <c r="E14" s="29">
        <v>0</v>
      </c>
      <c r="F14" s="29">
        <v>0</v>
      </c>
      <c r="G14" s="29">
        <v>0</v>
      </c>
      <c r="H14" s="29">
        <v>0</v>
      </c>
      <c r="I14" s="29">
        <v>0</v>
      </c>
      <c r="J14" s="29">
        <v>0</v>
      </c>
      <c r="K14" s="29">
        <v>0</v>
      </c>
      <c r="L14" s="29">
        <v>0</v>
      </c>
      <c r="M14" s="29">
        <v>0</v>
      </c>
      <c r="N14" s="29">
        <v>0</v>
      </c>
      <c r="O14" s="25"/>
      <c r="P14" s="27"/>
      <c r="Q14" s="28"/>
    </row>
    <row r="15" spans="1:17" ht="30" x14ac:dyDescent="0.25">
      <c r="A15" s="23" t="s">
        <v>42</v>
      </c>
      <c r="B15" s="24" t="s">
        <v>43</v>
      </c>
      <c r="C15" s="25"/>
      <c r="D15" s="25" t="s">
        <v>24</v>
      </c>
      <c r="E15" s="26">
        <f>SUM(E16:E16)+137934</f>
        <v>137934</v>
      </c>
      <c r="F15" s="26">
        <f>SUM(F16:F16)</f>
        <v>0</v>
      </c>
      <c r="G15" s="26">
        <f>SUM(G16:G16)</f>
        <v>0</v>
      </c>
      <c r="H15" s="26">
        <f>SUM(H16:H16)</f>
        <v>0</v>
      </c>
      <c r="I15" s="26">
        <f>SUM(I16:I16)+137934</f>
        <v>137934</v>
      </c>
      <c r="J15" s="26">
        <f>SUM(J16:J16)</f>
        <v>0</v>
      </c>
      <c r="K15" s="26">
        <f>SUM(K16:K16)</f>
        <v>0</v>
      </c>
      <c r="L15" s="26">
        <f>SUM(L16:L16)</f>
        <v>0</v>
      </c>
      <c r="M15" s="26">
        <f>SUM(M16:M16)</f>
        <v>0</v>
      </c>
      <c r="N15" s="26">
        <f>SUM(N16:N16)</f>
        <v>0</v>
      </c>
      <c r="O15" s="25" t="s">
        <v>44</v>
      </c>
      <c r="P15" s="27" t="s">
        <v>32</v>
      </c>
      <c r="Q15" s="28" t="s">
        <v>45</v>
      </c>
    </row>
    <row r="16" spans="1:17" ht="45" x14ac:dyDescent="0.25">
      <c r="A16" s="23" t="s">
        <v>46</v>
      </c>
      <c r="B16" s="24" t="s">
        <v>47</v>
      </c>
      <c r="C16" s="25"/>
      <c r="D16" s="25" t="s">
        <v>24</v>
      </c>
      <c r="E16" s="29">
        <v>0</v>
      </c>
      <c r="F16" s="29">
        <v>0</v>
      </c>
      <c r="G16" s="29">
        <v>0</v>
      </c>
      <c r="H16" s="29">
        <v>0</v>
      </c>
      <c r="I16" s="29">
        <v>0</v>
      </c>
      <c r="J16" s="29">
        <v>0</v>
      </c>
      <c r="K16" s="29">
        <v>0</v>
      </c>
      <c r="L16" s="29">
        <v>0</v>
      </c>
      <c r="M16" s="29">
        <v>0</v>
      </c>
      <c r="N16" s="29">
        <v>0</v>
      </c>
      <c r="O16" s="25"/>
      <c r="P16" s="27"/>
      <c r="Q16" s="28"/>
    </row>
    <row r="17" spans="1:17" x14ac:dyDescent="0.25">
      <c r="A17" s="23" t="s">
        <v>48</v>
      </c>
      <c r="B17" s="24" t="s">
        <v>49</v>
      </c>
      <c r="C17" s="25"/>
      <c r="D17" s="25" t="s">
        <v>24</v>
      </c>
      <c r="E17" s="26">
        <f>SUM(E18:E18)+112128.59</f>
        <v>112128.59</v>
      </c>
      <c r="F17" s="26">
        <f>SUM(F18:F18)</f>
        <v>0</v>
      </c>
      <c r="G17" s="26">
        <f>SUM(G18:G18)</f>
        <v>0</v>
      </c>
      <c r="H17" s="26">
        <f>SUM(H18:H18)</f>
        <v>0</v>
      </c>
      <c r="I17" s="26">
        <f>SUM(I18:I18)</f>
        <v>0</v>
      </c>
      <c r="J17" s="26">
        <f>SUM(J18:J18)</f>
        <v>0</v>
      </c>
      <c r="K17" s="26">
        <f>SUM(K18:K18)+112128.59</f>
        <v>112128.59</v>
      </c>
      <c r="L17" s="26">
        <f>SUM(L18:L18)</f>
        <v>0</v>
      </c>
      <c r="M17" s="26">
        <f>SUM(M18:M18)</f>
        <v>0</v>
      </c>
      <c r="N17" s="26">
        <f>SUM(N18:N18)</f>
        <v>0</v>
      </c>
      <c r="O17" s="25" t="s">
        <v>50</v>
      </c>
      <c r="P17" s="27" t="s">
        <v>32</v>
      </c>
      <c r="Q17" s="28" t="s">
        <v>51</v>
      </c>
    </row>
    <row r="18" spans="1:17" x14ac:dyDescent="0.25">
      <c r="A18" s="23" t="s">
        <v>52</v>
      </c>
      <c r="B18" s="24" t="s">
        <v>53</v>
      </c>
      <c r="C18" s="25"/>
      <c r="D18" s="25" t="s">
        <v>24</v>
      </c>
      <c r="E18" s="29">
        <v>0</v>
      </c>
      <c r="F18" s="29">
        <v>0</v>
      </c>
      <c r="G18" s="29">
        <v>0</v>
      </c>
      <c r="H18" s="29">
        <v>0</v>
      </c>
      <c r="I18" s="29">
        <v>0</v>
      </c>
      <c r="J18" s="29">
        <v>0</v>
      </c>
      <c r="K18" s="29">
        <v>0</v>
      </c>
      <c r="L18" s="29">
        <v>0</v>
      </c>
      <c r="M18" s="29">
        <v>0</v>
      </c>
      <c r="N18" s="29">
        <v>0</v>
      </c>
      <c r="O18" s="25"/>
      <c r="P18" s="27"/>
      <c r="Q18" s="28"/>
    </row>
    <row r="19" spans="1:17" ht="30" x14ac:dyDescent="0.25">
      <c r="A19" s="23" t="s">
        <v>54</v>
      </c>
      <c r="B19" s="24" t="s">
        <v>55</v>
      </c>
      <c r="C19" s="25" t="s">
        <v>23</v>
      </c>
      <c r="D19" s="25" t="s">
        <v>24</v>
      </c>
      <c r="E19" s="26">
        <f>SUM(E20:E20)+250000</f>
        <v>250000</v>
      </c>
      <c r="F19" s="26">
        <f>SUM(F20:F20)+250000</f>
        <v>250000</v>
      </c>
      <c r="G19" s="26">
        <f t="shared" ref="G19:N19" si="5">SUM(G20:G20)</f>
        <v>0</v>
      </c>
      <c r="H19" s="26">
        <f t="shared" si="5"/>
        <v>0</v>
      </c>
      <c r="I19" s="26">
        <f t="shared" si="5"/>
        <v>0</v>
      </c>
      <c r="J19" s="26">
        <f t="shared" si="5"/>
        <v>0</v>
      </c>
      <c r="K19" s="26">
        <f t="shared" si="5"/>
        <v>0</v>
      </c>
      <c r="L19" s="26">
        <f t="shared" si="5"/>
        <v>0</v>
      </c>
      <c r="M19" s="26">
        <f t="shared" si="5"/>
        <v>0</v>
      </c>
      <c r="N19" s="26">
        <f t="shared" si="5"/>
        <v>0</v>
      </c>
      <c r="O19" s="25" t="s">
        <v>56</v>
      </c>
      <c r="P19" s="27" t="s">
        <v>32</v>
      </c>
      <c r="Q19" s="28" t="s">
        <v>57</v>
      </c>
    </row>
    <row r="20" spans="1:17" ht="30" x14ac:dyDescent="0.25">
      <c r="A20" s="23" t="s">
        <v>58</v>
      </c>
      <c r="B20" s="24" t="s">
        <v>59</v>
      </c>
      <c r="C20" s="25"/>
      <c r="D20" s="25" t="s">
        <v>24</v>
      </c>
      <c r="E20" s="29">
        <v>0</v>
      </c>
      <c r="F20" s="29">
        <v>0</v>
      </c>
      <c r="G20" s="29">
        <v>0</v>
      </c>
      <c r="H20" s="29">
        <v>0</v>
      </c>
      <c r="I20" s="29">
        <v>0</v>
      </c>
      <c r="J20" s="29">
        <v>0</v>
      </c>
      <c r="K20" s="29">
        <v>0</v>
      </c>
      <c r="L20" s="29">
        <v>0</v>
      </c>
      <c r="M20" s="29">
        <v>0</v>
      </c>
      <c r="N20" s="29">
        <v>0</v>
      </c>
      <c r="O20" s="25"/>
      <c r="P20" s="27"/>
      <c r="Q20" s="28"/>
    </row>
    <row r="21" spans="1:17" ht="30" x14ac:dyDescent="0.25">
      <c r="A21" s="23" t="s">
        <v>60</v>
      </c>
      <c r="B21" s="24" t="s">
        <v>61</v>
      </c>
      <c r="C21" s="25" t="s">
        <v>23</v>
      </c>
      <c r="D21" s="25" t="s">
        <v>24</v>
      </c>
      <c r="E21" s="26">
        <f>SUM(E22:E22)+2000</f>
        <v>2000</v>
      </c>
      <c r="F21" s="26">
        <f>SUM(F22:F22)+2000</f>
        <v>2000</v>
      </c>
      <c r="G21" s="26">
        <f t="shared" ref="G21:N21" si="6">SUM(G22:G22)</f>
        <v>0</v>
      </c>
      <c r="H21" s="26">
        <f t="shared" si="6"/>
        <v>0</v>
      </c>
      <c r="I21" s="26">
        <f t="shared" si="6"/>
        <v>0</v>
      </c>
      <c r="J21" s="26">
        <f t="shared" si="6"/>
        <v>0</v>
      </c>
      <c r="K21" s="26">
        <f t="shared" si="6"/>
        <v>0</v>
      </c>
      <c r="L21" s="26">
        <f t="shared" si="6"/>
        <v>0</v>
      </c>
      <c r="M21" s="26">
        <f t="shared" si="6"/>
        <v>0</v>
      </c>
      <c r="N21" s="26">
        <f t="shared" si="6"/>
        <v>0</v>
      </c>
      <c r="O21" s="25" t="s">
        <v>62</v>
      </c>
      <c r="P21" s="27" t="s">
        <v>32</v>
      </c>
      <c r="Q21" s="28" t="s">
        <v>63</v>
      </c>
    </row>
    <row r="22" spans="1:17" ht="30" x14ac:dyDescent="0.25">
      <c r="A22" s="23" t="s">
        <v>64</v>
      </c>
      <c r="B22" s="24" t="s">
        <v>65</v>
      </c>
      <c r="C22" s="25"/>
      <c r="D22" s="25" t="s">
        <v>24</v>
      </c>
      <c r="E22" s="29">
        <v>0</v>
      </c>
      <c r="F22" s="29">
        <v>0</v>
      </c>
      <c r="G22" s="29">
        <v>0</v>
      </c>
      <c r="H22" s="29">
        <v>0</v>
      </c>
      <c r="I22" s="29">
        <v>0</v>
      </c>
      <c r="J22" s="29">
        <v>0</v>
      </c>
      <c r="K22" s="29">
        <v>0</v>
      </c>
      <c r="L22" s="29">
        <v>0</v>
      </c>
      <c r="M22" s="29">
        <v>0</v>
      </c>
      <c r="N22" s="29">
        <v>0</v>
      </c>
      <c r="O22" s="25"/>
      <c r="P22" s="27"/>
      <c r="Q22" s="28"/>
    </row>
    <row r="23" spans="1:17" ht="45" x14ac:dyDescent="0.25">
      <c r="A23" s="23" t="s">
        <v>66</v>
      </c>
      <c r="B23" s="24" t="s">
        <v>67</v>
      </c>
      <c r="C23" s="25" t="s">
        <v>23</v>
      </c>
      <c r="D23" s="25" t="s">
        <v>24</v>
      </c>
      <c r="E23" s="26">
        <f>SUM(E24:E27)+15000</f>
        <v>15000</v>
      </c>
      <c r="F23" s="26">
        <f>SUM(F24:F27)+15000</f>
        <v>15000</v>
      </c>
      <c r="G23" s="26">
        <f t="shared" ref="G23:N23" si="7">SUM(G24:G27)</f>
        <v>0</v>
      </c>
      <c r="H23" s="26">
        <f t="shared" si="7"/>
        <v>0</v>
      </c>
      <c r="I23" s="26">
        <f t="shared" si="7"/>
        <v>0</v>
      </c>
      <c r="J23" s="26">
        <f t="shared" si="7"/>
        <v>0</v>
      </c>
      <c r="K23" s="26">
        <f t="shared" si="7"/>
        <v>0</v>
      </c>
      <c r="L23" s="26">
        <f t="shared" si="7"/>
        <v>0</v>
      </c>
      <c r="M23" s="26">
        <f t="shared" si="7"/>
        <v>0</v>
      </c>
      <c r="N23" s="26">
        <f t="shared" si="7"/>
        <v>0</v>
      </c>
      <c r="O23" s="25" t="s">
        <v>68</v>
      </c>
      <c r="P23" s="27" t="s">
        <v>32</v>
      </c>
      <c r="Q23" s="28" t="s">
        <v>69</v>
      </c>
    </row>
    <row r="24" spans="1:17" x14ac:dyDescent="0.25">
      <c r="A24" s="30"/>
      <c r="B24" s="31"/>
      <c r="C24" s="32"/>
      <c r="D24" s="32"/>
      <c r="E24" s="33">
        <v>0</v>
      </c>
      <c r="F24" s="33">
        <v>0</v>
      </c>
      <c r="G24" s="33">
        <v>0</v>
      </c>
      <c r="H24" s="33">
        <v>0</v>
      </c>
      <c r="I24" s="33">
        <v>0</v>
      </c>
      <c r="J24" s="33">
        <v>0</v>
      </c>
      <c r="K24" s="33">
        <v>0</v>
      </c>
      <c r="L24" s="33">
        <v>0</v>
      </c>
      <c r="M24" s="33">
        <v>0</v>
      </c>
      <c r="N24" s="33">
        <v>0</v>
      </c>
      <c r="O24" s="32" t="s">
        <v>70</v>
      </c>
      <c r="P24" s="34" t="s">
        <v>32</v>
      </c>
      <c r="Q24" s="35" t="s">
        <v>71</v>
      </c>
    </row>
    <row r="25" spans="1:17" x14ac:dyDescent="0.25">
      <c r="A25" s="30"/>
      <c r="B25" s="31"/>
      <c r="C25" s="32"/>
      <c r="D25" s="32"/>
      <c r="E25" s="33">
        <v>0</v>
      </c>
      <c r="F25" s="33">
        <v>0</v>
      </c>
      <c r="G25" s="33">
        <v>0</v>
      </c>
      <c r="H25" s="33">
        <v>0</v>
      </c>
      <c r="I25" s="33">
        <v>0</v>
      </c>
      <c r="J25" s="33">
        <v>0</v>
      </c>
      <c r="K25" s="33">
        <v>0</v>
      </c>
      <c r="L25" s="33">
        <v>0</v>
      </c>
      <c r="M25" s="33">
        <v>0</v>
      </c>
      <c r="N25" s="33">
        <v>0</v>
      </c>
      <c r="O25" s="32" t="s">
        <v>72</v>
      </c>
      <c r="P25" s="34" t="s">
        <v>32</v>
      </c>
      <c r="Q25" s="35" t="s">
        <v>73</v>
      </c>
    </row>
    <row r="26" spans="1:17" ht="30" x14ac:dyDescent="0.25">
      <c r="A26" s="30"/>
      <c r="B26" s="31"/>
      <c r="C26" s="32"/>
      <c r="D26" s="32"/>
      <c r="E26" s="33">
        <v>0</v>
      </c>
      <c r="F26" s="33">
        <v>0</v>
      </c>
      <c r="G26" s="33">
        <v>0</v>
      </c>
      <c r="H26" s="33">
        <v>0</v>
      </c>
      <c r="I26" s="33">
        <v>0</v>
      </c>
      <c r="J26" s="33">
        <v>0</v>
      </c>
      <c r="K26" s="33">
        <v>0</v>
      </c>
      <c r="L26" s="33">
        <v>0</v>
      </c>
      <c r="M26" s="33">
        <v>0</v>
      </c>
      <c r="N26" s="33">
        <v>0</v>
      </c>
      <c r="O26" s="32" t="s">
        <v>74</v>
      </c>
      <c r="P26" s="34" t="s">
        <v>32</v>
      </c>
      <c r="Q26" s="35" t="s">
        <v>39</v>
      </c>
    </row>
    <row r="27" spans="1:17" ht="45" x14ac:dyDescent="0.25">
      <c r="A27" s="23" t="s">
        <v>75</v>
      </c>
      <c r="B27" s="24" t="s">
        <v>76</v>
      </c>
      <c r="C27" s="25"/>
      <c r="D27" s="25" t="s">
        <v>24</v>
      </c>
      <c r="E27" s="29">
        <v>0</v>
      </c>
      <c r="F27" s="29">
        <v>0</v>
      </c>
      <c r="G27" s="29">
        <v>0</v>
      </c>
      <c r="H27" s="29">
        <v>0</v>
      </c>
      <c r="I27" s="29">
        <v>0</v>
      </c>
      <c r="J27" s="29">
        <v>0</v>
      </c>
      <c r="K27" s="29">
        <v>0</v>
      </c>
      <c r="L27" s="29">
        <v>0</v>
      </c>
      <c r="M27" s="29">
        <v>0</v>
      </c>
      <c r="N27" s="29">
        <v>0</v>
      </c>
      <c r="O27" s="25"/>
      <c r="P27" s="27"/>
      <c r="Q27" s="28"/>
    </row>
    <row r="28" spans="1:17" ht="30" x14ac:dyDescent="0.25">
      <c r="A28" s="23" t="s">
        <v>77</v>
      </c>
      <c r="B28" s="24" t="s">
        <v>78</v>
      </c>
      <c r="C28" s="25" t="s">
        <v>23</v>
      </c>
      <c r="D28" s="25" t="s">
        <v>24</v>
      </c>
      <c r="E28" s="26">
        <f>SUM(E29:E33)+6500</f>
        <v>6500</v>
      </c>
      <c r="F28" s="26">
        <f>SUM(F29:F33)+2500</f>
        <v>2500</v>
      </c>
      <c r="G28" s="26">
        <f>SUM(G29:G33)</f>
        <v>0</v>
      </c>
      <c r="H28" s="26">
        <f>SUM(H29:H33)</f>
        <v>0</v>
      </c>
      <c r="I28" s="26">
        <f>SUM(I29:I33)</f>
        <v>0</v>
      </c>
      <c r="J28" s="26">
        <f>SUM(J29:J33)</f>
        <v>0</v>
      </c>
      <c r="K28" s="26">
        <f>SUM(K29:K33)</f>
        <v>0</v>
      </c>
      <c r="L28" s="26">
        <f>SUM(L29:L33)+4000</f>
        <v>4000</v>
      </c>
      <c r="M28" s="26">
        <f>SUM(M29:M33)</f>
        <v>0</v>
      </c>
      <c r="N28" s="26">
        <f>SUM(N29:N33)</f>
        <v>0</v>
      </c>
      <c r="O28" s="25" t="s">
        <v>79</v>
      </c>
      <c r="P28" s="27" t="s">
        <v>32</v>
      </c>
      <c r="Q28" s="28" t="s">
        <v>45</v>
      </c>
    </row>
    <row r="29" spans="1:17" ht="30" x14ac:dyDescent="0.25">
      <c r="A29" s="30"/>
      <c r="B29" s="31"/>
      <c r="C29" s="32"/>
      <c r="D29" s="32"/>
      <c r="E29" s="33">
        <v>0</v>
      </c>
      <c r="F29" s="33">
        <v>0</v>
      </c>
      <c r="G29" s="33">
        <v>0</v>
      </c>
      <c r="H29" s="33">
        <v>0</v>
      </c>
      <c r="I29" s="33">
        <v>0</v>
      </c>
      <c r="J29" s="33">
        <v>0</v>
      </c>
      <c r="K29" s="33">
        <v>0</v>
      </c>
      <c r="L29" s="33">
        <v>0</v>
      </c>
      <c r="M29" s="33">
        <v>0</v>
      </c>
      <c r="N29" s="33">
        <v>0</v>
      </c>
      <c r="O29" s="32" t="s">
        <v>80</v>
      </c>
      <c r="P29" s="34" t="s">
        <v>32</v>
      </c>
      <c r="Q29" s="35" t="s">
        <v>39</v>
      </c>
    </row>
    <row r="30" spans="1:17" ht="30" x14ac:dyDescent="0.25">
      <c r="A30" s="30"/>
      <c r="B30" s="31"/>
      <c r="C30" s="32"/>
      <c r="D30" s="32"/>
      <c r="E30" s="33">
        <v>0</v>
      </c>
      <c r="F30" s="33">
        <v>0</v>
      </c>
      <c r="G30" s="33">
        <v>0</v>
      </c>
      <c r="H30" s="33">
        <v>0</v>
      </c>
      <c r="I30" s="33">
        <v>0</v>
      </c>
      <c r="J30" s="33">
        <v>0</v>
      </c>
      <c r="K30" s="33">
        <v>0</v>
      </c>
      <c r="L30" s="33">
        <v>0</v>
      </c>
      <c r="M30" s="33">
        <v>0</v>
      </c>
      <c r="N30" s="33">
        <v>0</v>
      </c>
      <c r="O30" s="32" t="s">
        <v>81</v>
      </c>
      <c r="P30" s="34" t="s">
        <v>32</v>
      </c>
      <c r="Q30" s="35" t="s">
        <v>82</v>
      </c>
    </row>
    <row r="31" spans="1:17" x14ac:dyDescent="0.25">
      <c r="A31" s="23" t="s">
        <v>83</v>
      </c>
      <c r="B31" s="24" t="s">
        <v>84</v>
      </c>
      <c r="C31" s="25"/>
      <c r="D31" s="25" t="s">
        <v>24</v>
      </c>
      <c r="E31" s="29">
        <v>0</v>
      </c>
      <c r="F31" s="29">
        <v>0</v>
      </c>
      <c r="G31" s="29">
        <v>0</v>
      </c>
      <c r="H31" s="29">
        <v>0</v>
      </c>
      <c r="I31" s="29">
        <v>0</v>
      </c>
      <c r="J31" s="29">
        <v>0</v>
      </c>
      <c r="K31" s="29">
        <v>0</v>
      </c>
      <c r="L31" s="29">
        <v>0</v>
      </c>
      <c r="M31" s="29">
        <v>0</v>
      </c>
      <c r="N31" s="29">
        <v>0</v>
      </c>
      <c r="O31" s="25"/>
      <c r="P31" s="27"/>
      <c r="Q31" s="28"/>
    </row>
    <row r="32" spans="1:17" x14ac:dyDescent="0.25">
      <c r="A32" s="23" t="s">
        <v>85</v>
      </c>
      <c r="B32" s="24" t="s">
        <v>86</v>
      </c>
      <c r="C32" s="25"/>
      <c r="D32" s="25" t="s">
        <v>24</v>
      </c>
      <c r="E32" s="29">
        <v>0</v>
      </c>
      <c r="F32" s="29">
        <v>0</v>
      </c>
      <c r="G32" s="29">
        <v>0</v>
      </c>
      <c r="H32" s="29">
        <v>0</v>
      </c>
      <c r="I32" s="29">
        <v>0</v>
      </c>
      <c r="J32" s="29">
        <v>0</v>
      </c>
      <c r="K32" s="29">
        <v>0</v>
      </c>
      <c r="L32" s="29">
        <v>0</v>
      </c>
      <c r="M32" s="29">
        <v>0</v>
      </c>
      <c r="N32" s="29">
        <v>0</v>
      </c>
      <c r="O32" s="25"/>
      <c r="P32" s="27"/>
      <c r="Q32" s="28"/>
    </row>
    <row r="33" spans="1:17" x14ac:dyDescent="0.25">
      <c r="A33" s="23" t="s">
        <v>87</v>
      </c>
      <c r="B33" s="24" t="s">
        <v>88</v>
      </c>
      <c r="C33" s="25"/>
      <c r="D33" s="25" t="s">
        <v>24</v>
      </c>
      <c r="E33" s="29">
        <v>0</v>
      </c>
      <c r="F33" s="29">
        <v>0</v>
      </c>
      <c r="G33" s="29">
        <v>0</v>
      </c>
      <c r="H33" s="29">
        <v>0</v>
      </c>
      <c r="I33" s="29">
        <v>0</v>
      </c>
      <c r="J33" s="29">
        <v>0</v>
      </c>
      <c r="K33" s="29">
        <v>0</v>
      </c>
      <c r="L33" s="29">
        <v>0</v>
      </c>
      <c r="M33" s="29">
        <v>0</v>
      </c>
      <c r="N33" s="29">
        <v>0</v>
      </c>
      <c r="O33" s="25"/>
      <c r="P33" s="27"/>
      <c r="Q33" s="28"/>
    </row>
    <row r="34" spans="1:17" ht="28.5" x14ac:dyDescent="0.25">
      <c r="A34" s="17" t="s">
        <v>89</v>
      </c>
      <c r="B34" s="18" t="s">
        <v>90</v>
      </c>
      <c r="C34" s="19"/>
      <c r="D34" s="19"/>
      <c r="E34" s="20">
        <f t="shared" ref="E34:N34" si="8">SUM(E35:E35)</f>
        <v>3000</v>
      </c>
      <c r="F34" s="20">
        <f t="shared" si="8"/>
        <v>0</v>
      </c>
      <c r="G34" s="20">
        <f t="shared" si="8"/>
        <v>0</v>
      </c>
      <c r="H34" s="20">
        <f t="shared" si="8"/>
        <v>0</v>
      </c>
      <c r="I34" s="20">
        <f t="shared" si="8"/>
        <v>0</v>
      </c>
      <c r="J34" s="20">
        <f t="shared" si="8"/>
        <v>0</v>
      </c>
      <c r="K34" s="20">
        <f t="shared" si="8"/>
        <v>0</v>
      </c>
      <c r="L34" s="20">
        <f t="shared" si="8"/>
        <v>3000</v>
      </c>
      <c r="M34" s="20">
        <f t="shared" si="8"/>
        <v>0</v>
      </c>
      <c r="N34" s="20">
        <f t="shared" si="8"/>
        <v>0</v>
      </c>
      <c r="O34" s="19"/>
      <c r="P34" s="21"/>
      <c r="Q34" s="22"/>
    </row>
    <row r="35" spans="1:17" ht="45" x14ac:dyDescent="0.25">
      <c r="A35" s="23" t="s">
        <v>91</v>
      </c>
      <c r="B35" s="24" t="s">
        <v>92</v>
      </c>
      <c r="C35" s="25" t="s">
        <v>23</v>
      </c>
      <c r="D35" s="25" t="s">
        <v>24</v>
      </c>
      <c r="E35" s="26">
        <f>SUM(E36:E36)+3000</f>
        <v>3000</v>
      </c>
      <c r="F35" s="26">
        <f t="shared" ref="F35:K35" si="9">SUM(F36:F36)</f>
        <v>0</v>
      </c>
      <c r="G35" s="26">
        <f t="shared" si="9"/>
        <v>0</v>
      </c>
      <c r="H35" s="26">
        <f t="shared" si="9"/>
        <v>0</v>
      </c>
      <c r="I35" s="26">
        <f t="shared" si="9"/>
        <v>0</v>
      </c>
      <c r="J35" s="26">
        <f t="shared" si="9"/>
        <v>0</v>
      </c>
      <c r="K35" s="26">
        <f t="shared" si="9"/>
        <v>0</v>
      </c>
      <c r="L35" s="26">
        <f>SUM(L36:L36)+3000</f>
        <v>3000</v>
      </c>
      <c r="M35" s="26">
        <f>SUM(M36:M36)</f>
        <v>0</v>
      </c>
      <c r="N35" s="26">
        <f>SUM(N36:N36)</f>
        <v>0</v>
      </c>
      <c r="O35" s="25" t="s">
        <v>93</v>
      </c>
      <c r="P35" s="27" t="s">
        <v>32</v>
      </c>
      <c r="Q35" s="28" t="s">
        <v>94</v>
      </c>
    </row>
    <row r="36" spans="1:17" ht="30" x14ac:dyDescent="0.25">
      <c r="A36" s="23" t="s">
        <v>95</v>
      </c>
      <c r="B36" s="24" t="s">
        <v>96</v>
      </c>
      <c r="C36" s="25"/>
      <c r="D36" s="25" t="s">
        <v>24</v>
      </c>
      <c r="E36" s="29">
        <v>0</v>
      </c>
      <c r="F36" s="29">
        <v>0</v>
      </c>
      <c r="G36" s="29">
        <v>0</v>
      </c>
      <c r="H36" s="29">
        <v>0</v>
      </c>
      <c r="I36" s="29">
        <v>0</v>
      </c>
      <c r="J36" s="29">
        <v>0</v>
      </c>
      <c r="K36" s="29">
        <v>0</v>
      </c>
      <c r="L36" s="29">
        <v>0</v>
      </c>
      <c r="M36" s="29">
        <v>0</v>
      </c>
      <c r="N36" s="29">
        <v>0</v>
      </c>
      <c r="O36" s="25"/>
      <c r="P36" s="27"/>
      <c r="Q36" s="28"/>
    </row>
    <row r="37" spans="1:17" x14ac:dyDescent="0.25">
      <c r="A37" s="11" t="s">
        <v>97</v>
      </c>
      <c r="B37" s="12" t="s">
        <v>98</v>
      </c>
      <c r="C37" s="13"/>
      <c r="D37" s="13"/>
      <c r="E37" s="14">
        <f t="shared" ref="E37:N38" si="10">SUM(E38:E38)</f>
        <v>2000</v>
      </c>
      <c r="F37" s="14">
        <f t="shared" si="10"/>
        <v>0</v>
      </c>
      <c r="G37" s="14">
        <f t="shared" si="10"/>
        <v>0</v>
      </c>
      <c r="H37" s="14">
        <f t="shared" si="10"/>
        <v>0</v>
      </c>
      <c r="I37" s="14">
        <f t="shared" si="10"/>
        <v>0</v>
      </c>
      <c r="J37" s="14">
        <f t="shared" si="10"/>
        <v>0</v>
      </c>
      <c r="K37" s="14">
        <f t="shared" si="10"/>
        <v>0</v>
      </c>
      <c r="L37" s="14">
        <f t="shared" si="10"/>
        <v>2000</v>
      </c>
      <c r="M37" s="14">
        <f t="shared" si="10"/>
        <v>0</v>
      </c>
      <c r="N37" s="14">
        <f t="shared" si="10"/>
        <v>0</v>
      </c>
      <c r="O37" s="13"/>
      <c r="P37" s="15"/>
      <c r="Q37" s="16"/>
    </row>
    <row r="38" spans="1:17" ht="28.5" x14ac:dyDescent="0.25">
      <c r="A38" s="17" t="s">
        <v>99</v>
      </c>
      <c r="B38" s="18" t="s">
        <v>100</v>
      </c>
      <c r="C38" s="19"/>
      <c r="D38" s="19"/>
      <c r="E38" s="20">
        <f t="shared" si="10"/>
        <v>2000</v>
      </c>
      <c r="F38" s="20">
        <f t="shared" si="10"/>
        <v>0</v>
      </c>
      <c r="G38" s="20">
        <f t="shared" si="10"/>
        <v>0</v>
      </c>
      <c r="H38" s="20">
        <f t="shared" si="10"/>
        <v>0</v>
      </c>
      <c r="I38" s="20">
        <f t="shared" si="10"/>
        <v>0</v>
      </c>
      <c r="J38" s="20">
        <f t="shared" si="10"/>
        <v>0</v>
      </c>
      <c r="K38" s="20">
        <f t="shared" si="10"/>
        <v>0</v>
      </c>
      <c r="L38" s="20">
        <f t="shared" si="10"/>
        <v>2000</v>
      </c>
      <c r="M38" s="20">
        <f t="shared" si="10"/>
        <v>0</v>
      </c>
      <c r="N38" s="20">
        <f t="shared" si="10"/>
        <v>0</v>
      </c>
      <c r="O38" s="19"/>
      <c r="P38" s="21"/>
      <c r="Q38" s="22"/>
    </row>
    <row r="39" spans="1:17" ht="30" x14ac:dyDescent="0.25">
      <c r="A39" s="23" t="s">
        <v>101</v>
      </c>
      <c r="B39" s="24" t="s">
        <v>102</v>
      </c>
      <c r="C39" s="25" t="s">
        <v>23</v>
      </c>
      <c r="D39" s="25" t="s">
        <v>24</v>
      </c>
      <c r="E39" s="26">
        <f>SUM(E40:E40)+2000</f>
        <v>2000</v>
      </c>
      <c r="F39" s="26">
        <f t="shared" ref="F39:K39" si="11">SUM(F40:F40)</f>
        <v>0</v>
      </c>
      <c r="G39" s="26">
        <f t="shared" si="11"/>
        <v>0</v>
      </c>
      <c r="H39" s="26">
        <f t="shared" si="11"/>
        <v>0</v>
      </c>
      <c r="I39" s="26">
        <f t="shared" si="11"/>
        <v>0</v>
      </c>
      <c r="J39" s="26">
        <f t="shared" si="11"/>
        <v>0</v>
      </c>
      <c r="K39" s="26">
        <f t="shared" si="11"/>
        <v>0</v>
      </c>
      <c r="L39" s="26">
        <f>SUM(L40:L40)+2000</f>
        <v>2000</v>
      </c>
      <c r="M39" s="26">
        <f>SUM(M40:M40)</f>
        <v>0</v>
      </c>
      <c r="N39" s="26">
        <f>SUM(N40:N40)</f>
        <v>0</v>
      </c>
      <c r="O39" s="25" t="s">
        <v>103</v>
      </c>
      <c r="P39" s="27" t="s">
        <v>32</v>
      </c>
      <c r="Q39" s="28" t="s">
        <v>104</v>
      </c>
    </row>
    <row r="40" spans="1:17" ht="30" x14ac:dyDescent="0.25">
      <c r="A40" s="23" t="s">
        <v>105</v>
      </c>
      <c r="B40" s="24" t="s">
        <v>106</v>
      </c>
      <c r="C40" s="25"/>
      <c r="D40" s="25" t="s">
        <v>24</v>
      </c>
      <c r="E40" s="29">
        <v>0</v>
      </c>
      <c r="F40" s="29">
        <v>0</v>
      </c>
      <c r="G40" s="29">
        <v>0</v>
      </c>
      <c r="H40" s="29">
        <v>0</v>
      </c>
      <c r="I40" s="29">
        <v>0</v>
      </c>
      <c r="J40" s="29">
        <v>0</v>
      </c>
      <c r="K40" s="29">
        <v>0</v>
      </c>
      <c r="L40" s="29">
        <v>0</v>
      </c>
      <c r="M40" s="29">
        <v>0</v>
      </c>
      <c r="N40" s="29">
        <v>0</v>
      </c>
      <c r="O40" s="25"/>
      <c r="P40" s="27"/>
      <c r="Q40" s="28"/>
    </row>
    <row r="41" spans="1:17" ht="28.5" x14ac:dyDescent="0.25">
      <c r="A41" s="11" t="s">
        <v>107</v>
      </c>
      <c r="B41" s="12" t="s">
        <v>108</v>
      </c>
      <c r="C41" s="13"/>
      <c r="D41" s="13"/>
      <c r="E41" s="14">
        <f t="shared" ref="E41:N42" si="12">SUM(E42:E42)</f>
        <v>16000</v>
      </c>
      <c r="F41" s="14">
        <f t="shared" si="12"/>
        <v>8000</v>
      </c>
      <c r="G41" s="14">
        <f t="shared" si="12"/>
        <v>0</v>
      </c>
      <c r="H41" s="14">
        <f t="shared" si="12"/>
        <v>0</v>
      </c>
      <c r="I41" s="14">
        <f t="shared" si="12"/>
        <v>0</v>
      </c>
      <c r="J41" s="14">
        <f t="shared" si="12"/>
        <v>0</v>
      </c>
      <c r="K41" s="14">
        <f t="shared" si="12"/>
        <v>0</v>
      </c>
      <c r="L41" s="14">
        <f t="shared" si="12"/>
        <v>8000</v>
      </c>
      <c r="M41" s="14">
        <f t="shared" si="12"/>
        <v>0</v>
      </c>
      <c r="N41" s="14">
        <f t="shared" si="12"/>
        <v>0</v>
      </c>
      <c r="O41" s="13"/>
      <c r="P41" s="15"/>
      <c r="Q41" s="16"/>
    </row>
    <row r="42" spans="1:17" ht="28.5" x14ac:dyDescent="0.25">
      <c r="A42" s="17" t="s">
        <v>109</v>
      </c>
      <c r="B42" s="18" t="s">
        <v>110</v>
      </c>
      <c r="C42" s="19"/>
      <c r="D42" s="19"/>
      <c r="E42" s="20">
        <f t="shared" si="12"/>
        <v>16000</v>
      </c>
      <c r="F42" s="20">
        <f t="shared" si="12"/>
        <v>8000</v>
      </c>
      <c r="G42" s="20">
        <f t="shared" si="12"/>
        <v>0</v>
      </c>
      <c r="H42" s="20">
        <f t="shared" si="12"/>
        <v>0</v>
      </c>
      <c r="I42" s="20">
        <f t="shared" si="12"/>
        <v>0</v>
      </c>
      <c r="J42" s="20">
        <f t="shared" si="12"/>
        <v>0</v>
      </c>
      <c r="K42" s="20">
        <f t="shared" si="12"/>
        <v>0</v>
      </c>
      <c r="L42" s="20">
        <f t="shared" si="12"/>
        <v>8000</v>
      </c>
      <c r="M42" s="20">
        <f t="shared" si="12"/>
        <v>0</v>
      </c>
      <c r="N42" s="20">
        <f t="shared" si="12"/>
        <v>0</v>
      </c>
      <c r="O42" s="19"/>
      <c r="P42" s="21"/>
      <c r="Q42" s="22"/>
    </row>
    <row r="43" spans="1:17" ht="30" x14ac:dyDescent="0.25">
      <c r="A43" s="23" t="s">
        <v>111</v>
      </c>
      <c r="B43" s="24" t="s">
        <v>112</v>
      </c>
      <c r="C43" s="25" t="s">
        <v>23</v>
      </c>
      <c r="D43" s="25" t="s">
        <v>24</v>
      </c>
      <c r="E43" s="26">
        <f>SUM(E44:E44)+16000</f>
        <v>16000</v>
      </c>
      <c r="F43" s="26">
        <f>SUM(F44:F44)+8000</f>
        <v>8000</v>
      </c>
      <c r="G43" s="26">
        <f>SUM(G44:G44)</f>
        <v>0</v>
      </c>
      <c r="H43" s="26">
        <f>SUM(H44:H44)</f>
        <v>0</v>
      </c>
      <c r="I43" s="26">
        <f>SUM(I44:I44)</f>
        <v>0</v>
      </c>
      <c r="J43" s="26">
        <f>SUM(J44:J44)</f>
        <v>0</v>
      </c>
      <c r="K43" s="26">
        <f>SUM(K44:K44)</f>
        <v>0</v>
      </c>
      <c r="L43" s="26">
        <f>SUM(L44:L44)+8000</f>
        <v>8000</v>
      </c>
      <c r="M43" s="26">
        <f>SUM(M44:M44)</f>
        <v>0</v>
      </c>
      <c r="N43" s="26">
        <f>SUM(N44:N44)</f>
        <v>0</v>
      </c>
      <c r="O43" s="25" t="s">
        <v>113</v>
      </c>
      <c r="P43" s="27" t="s">
        <v>32</v>
      </c>
      <c r="Q43" s="28" t="s">
        <v>114</v>
      </c>
    </row>
    <row r="44" spans="1:17" ht="30" x14ac:dyDescent="0.25">
      <c r="A44" s="23" t="s">
        <v>115</v>
      </c>
      <c r="B44" s="24" t="s">
        <v>116</v>
      </c>
      <c r="C44" s="25"/>
      <c r="D44" s="25" t="s">
        <v>24</v>
      </c>
      <c r="E44" s="29">
        <v>0</v>
      </c>
      <c r="F44" s="29">
        <v>0</v>
      </c>
      <c r="G44" s="29">
        <v>0</v>
      </c>
      <c r="H44" s="29">
        <v>0</v>
      </c>
      <c r="I44" s="29">
        <v>0</v>
      </c>
      <c r="J44" s="29">
        <v>0</v>
      </c>
      <c r="K44" s="29">
        <v>0</v>
      </c>
      <c r="L44" s="29">
        <v>0</v>
      </c>
      <c r="M44" s="29">
        <v>0</v>
      </c>
      <c r="N44" s="29">
        <v>0</v>
      </c>
      <c r="O44" s="25"/>
      <c r="P44" s="27"/>
      <c r="Q44" s="28"/>
    </row>
    <row r="45" spans="1:17" ht="28.5" x14ac:dyDescent="0.25">
      <c r="A45" s="11" t="s">
        <v>117</v>
      </c>
      <c r="B45" s="12" t="s">
        <v>118</v>
      </c>
      <c r="C45" s="13"/>
      <c r="D45" s="13"/>
      <c r="E45" s="14">
        <f t="shared" ref="E45:N45" si="13">SUM(E46:E46)</f>
        <v>24324.75</v>
      </c>
      <c r="F45" s="14">
        <f t="shared" si="13"/>
        <v>20831.75</v>
      </c>
      <c r="G45" s="14">
        <f t="shared" si="13"/>
        <v>0</v>
      </c>
      <c r="H45" s="14">
        <f t="shared" si="13"/>
        <v>0</v>
      </c>
      <c r="I45" s="14">
        <f t="shared" si="13"/>
        <v>0</v>
      </c>
      <c r="J45" s="14">
        <f t="shared" si="13"/>
        <v>0</v>
      </c>
      <c r="K45" s="14">
        <f t="shared" si="13"/>
        <v>0</v>
      </c>
      <c r="L45" s="14">
        <f t="shared" si="13"/>
        <v>3493</v>
      </c>
      <c r="M45" s="14">
        <f t="shared" si="13"/>
        <v>0</v>
      </c>
      <c r="N45" s="14">
        <f t="shared" si="13"/>
        <v>0</v>
      </c>
      <c r="O45" s="13"/>
      <c r="P45" s="15"/>
      <c r="Q45" s="16"/>
    </row>
    <row r="46" spans="1:17" ht="28.5" x14ac:dyDescent="0.25">
      <c r="A46" s="17" t="s">
        <v>119</v>
      </c>
      <c r="B46" s="18" t="s">
        <v>120</v>
      </c>
      <c r="C46" s="19"/>
      <c r="D46" s="19"/>
      <c r="E46" s="20">
        <f t="shared" ref="E46:N46" si="14">E47+E49</f>
        <v>24324.75</v>
      </c>
      <c r="F46" s="20">
        <f t="shared" si="14"/>
        <v>20831.75</v>
      </c>
      <c r="G46" s="20">
        <f t="shared" si="14"/>
        <v>0</v>
      </c>
      <c r="H46" s="20">
        <f t="shared" si="14"/>
        <v>0</v>
      </c>
      <c r="I46" s="20">
        <f t="shared" si="14"/>
        <v>0</v>
      </c>
      <c r="J46" s="20">
        <f t="shared" si="14"/>
        <v>0</v>
      </c>
      <c r="K46" s="20">
        <f t="shared" si="14"/>
        <v>0</v>
      </c>
      <c r="L46" s="20">
        <f t="shared" si="14"/>
        <v>3493</v>
      </c>
      <c r="M46" s="20">
        <f t="shared" si="14"/>
        <v>0</v>
      </c>
      <c r="N46" s="20">
        <f t="shared" si="14"/>
        <v>0</v>
      </c>
      <c r="O46" s="19"/>
      <c r="P46" s="21"/>
      <c r="Q46" s="22"/>
    </row>
    <row r="47" spans="1:17" ht="30" x14ac:dyDescent="0.25">
      <c r="A47" s="23" t="s">
        <v>121</v>
      </c>
      <c r="B47" s="24" t="s">
        <v>122</v>
      </c>
      <c r="C47" s="25" t="s">
        <v>23</v>
      </c>
      <c r="D47" s="25" t="s">
        <v>24</v>
      </c>
      <c r="E47" s="26">
        <f>SUM(E48:E48)+20000</f>
        <v>20000</v>
      </c>
      <c r="F47" s="26">
        <f>SUM(F48:F48)+20000</f>
        <v>20000</v>
      </c>
      <c r="G47" s="26">
        <f t="shared" ref="G47:N47" si="15">SUM(G48:G48)</f>
        <v>0</v>
      </c>
      <c r="H47" s="26">
        <f t="shared" si="15"/>
        <v>0</v>
      </c>
      <c r="I47" s="26">
        <f t="shared" si="15"/>
        <v>0</v>
      </c>
      <c r="J47" s="26">
        <f t="shared" si="15"/>
        <v>0</v>
      </c>
      <c r="K47" s="26">
        <f t="shared" si="15"/>
        <v>0</v>
      </c>
      <c r="L47" s="26">
        <f t="shared" si="15"/>
        <v>0</v>
      </c>
      <c r="M47" s="26">
        <f t="shared" si="15"/>
        <v>0</v>
      </c>
      <c r="N47" s="26">
        <f t="shared" si="15"/>
        <v>0</v>
      </c>
      <c r="O47" s="25" t="s">
        <v>123</v>
      </c>
      <c r="P47" s="27" t="s">
        <v>32</v>
      </c>
      <c r="Q47" s="28" t="s">
        <v>124</v>
      </c>
    </row>
    <row r="48" spans="1:17" ht="30" x14ac:dyDescent="0.25">
      <c r="A48" s="23" t="s">
        <v>125</v>
      </c>
      <c r="B48" s="24" t="s">
        <v>126</v>
      </c>
      <c r="C48" s="25"/>
      <c r="D48" s="25" t="s">
        <v>24</v>
      </c>
      <c r="E48" s="29">
        <v>0</v>
      </c>
      <c r="F48" s="29">
        <v>0</v>
      </c>
      <c r="G48" s="29">
        <v>0</v>
      </c>
      <c r="H48" s="29">
        <v>0</v>
      </c>
      <c r="I48" s="29">
        <v>0</v>
      </c>
      <c r="J48" s="29">
        <v>0</v>
      </c>
      <c r="K48" s="29">
        <v>0</v>
      </c>
      <c r="L48" s="29">
        <v>0</v>
      </c>
      <c r="M48" s="29">
        <v>0</v>
      </c>
      <c r="N48" s="29">
        <v>0</v>
      </c>
      <c r="O48" s="25"/>
      <c r="P48" s="27"/>
      <c r="Q48" s="28"/>
    </row>
    <row r="49" spans="1:17" ht="30" x14ac:dyDescent="0.25">
      <c r="A49" s="23" t="s">
        <v>127</v>
      </c>
      <c r="B49" s="24" t="s">
        <v>128</v>
      </c>
      <c r="C49" s="25" t="s">
        <v>23</v>
      </c>
      <c r="D49" s="25" t="s">
        <v>24</v>
      </c>
      <c r="E49" s="26">
        <f>SUM(E50:E50)+4324.75</f>
        <v>4324.75</v>
      </c>
      <c r="F49" s="26">
        <f>SUM(F50:F50)+831.75</f>
        <v>831.75</v>
      </c>
      <c r="G49" s="26">
        <f>SUM(G50:G50)</f>
        <v>0</v>
      </c>
      <c r="H49" s="26">
        <f>SUM(H50:H50)</f>
        <v>0</v>
      </c>
      <c r="I49" s="26">
        <f>SUM(I50:I50)</f>
        <v>0</v>
      </c>
      <c r="J49" s="26">
        <f>SUM(J50:J50)</f>
        <v>0</v>
      </c>
      <c r="K49" s="26">
        <f>SUM(K50:K50)</f>
        <v>0</v>
      </c>
      <c r="L49" s="26">
        <f>SUM(L50:L50)+3493</f>
        <v>3493</v>
      </c>
      <c r="M49" s="26">
        <f>SUM(M50:M50)</f>
        <v>0</v>
      </c>
      <c r="N49" s="26">
        <f>SUM(N50:N50)</f>
        <v>0</v>
      </c>
      <c r="O49" s="25" t="s">
        <v>129</v>
      </c>
      <c r="P49" s="27" t="s">
        <v>32</v>
      </c>
      <c r="Q49" s="28" t="s">
        <v>39</v>
      </c>
    </row>
    <row r="50" spans="1:17" ht="30" x14ac:dyDescent="0.25">
      <c r="A50" s="23" t="s">
        <v>130</v>
      </c>
      <c r="B50" s="24" t="s">
        <v>131</v>
      </c>
      <c r="C50" s="25"/>
      <c r="D50" s="25" t="s">
        <v>24</v>
      </c>
      <c r="E50" s="29">
        <v>0</v>
      </c>
      <c r="F50" s="29">
        <v>0</v>
      </c>
      <c r="G50" s="29">
        <v>0</v>
      </c>
      <c r="H50" s="29">
        <v>0</v>
      </c>
      <c r="I50" s="29">
        <v>0</v>
      </c>
      <c r="J50" s="29">
        <v>0</v>
      </c>
      <c r="K50" s="29">
        <v>0</v>
      </c>
      <c r="L50" s="29">
        <v>0</v>
      </c>
      <c r="M50" s="29">
        <v>0</v>
      </c>
      <c r="N50" s="29">
        <v>0</v>
      </c>
      <c r="O50" s="25"/>
      <c r="P50" s="27"/>
      <c r="Q50" s="28"/>
    </row>
    <row r="51" spans="1:17" ht="28.5" x14ac:dyDescent="0.25">
      <c r="A51" s="11" t="s">
        <v>132</v>
      </c>
      <c r="B51" s="12" t="s">
        <v>133</v>
      </c>
      <c r="C51" s="13" t="s">
        <v>134</v>
      </c>
      <c r="D51" s="13" t="s">
        <v>135</v>
      </c>
      <c r="E51" s="14">
        <f t="shared" ref="E51:N52" si="16">SUM(E52:E52)</f>
        <v>17230</v>
      </c>
      <c r="F51" s="14">
        <f t="shared" si="16"/>
        <v>17230</v>
      </c>
      <c r="G51" s="14">
        <f t="shared" si="16"/>
        <v>0</v>
      </c>
      <c r="H51" s="14">
        <f t="shared" si="16"/>
        <v>0</v>
      </c>
      <c r="I51" s="14">
        <f t="shared" si="16"/>
        <v>0</v>
      </c>
      <c r="J51" s="14">
        <f t="shared" si="16"/>
        <v>0</v>
      </c>
      <c r="K51" s="14">
        <f t="shared" si="16"/>
        <v>0</v>
      </c>
      <c r="L51" s="14">
        <f t="shared" si="16"/>
        <v>0</v>
      </c>
      <c r="M51" s="14">
        <f t="shared" si="16"/>
        <v>0</v>
      </c>
      <c r="N51" s="14">
        <f t="shared" si="16"/>
        <v>0</v>
      </c>
      <c r="O51" s="13"/>
      <c r="P51" s="15"/>
      <c r="Q51" s="16"/>
    </row>
    <row r="52" spans="1:17" ht="28.5" x14ac:dyDescent="0.25">
      <c r="A52" s="17" t="s">
        <v>136</v>
      </c>
      <c r="B52" s="18" t="s">
        <v>137</v>
      </c>
      <c r="C52" s="19" t="s">
        <v>134</v>
      </c>
      <c r="D52" s="19" t="s">
        <v>135</v>
      </c>
      <c r="E52" s="20">
        <f t="shared" si="16"/>
        <v>17230</v>
      </c>
      <c r="F52" s="20">
        <f t="shared" si="16"/>
        <v>17230</v>
      </c>
      <c r="G52" s="20">
        <f t="shared" si="16"/>
        <v>0</v>
      </c>
      <c r="H52" s="20">
        <f t="shared" si="16"/>
        <v>0</v>
      </c>
      <c r="I52" s="20">
        <f t="shared" si="16"/>
        <v>0</v>
      </c>
      <c r="J52" s="20">
        <f t="shared" si="16"/>
        <v>0</v>
      </c>
      <c r="K52" s="20">
        <f t="shared" si="16"/>
        <v>0</v>
      </c>
      <c r="L52" s="20">
        <f t="shared" si="16"/>
        <v>0</v>
      </c>
      <c r="M52" s="20">
        <f t="shared" si="16"/>
        <v>0</v>
      </c>
      <c r="N52" s="20">
        <f t="shared" si="16"/>
        <v>0</v>
      </c>
      <c r="O52" s="19"/>
      <c r="P52" s="21"/>
      <c r="Q52" s="22"/>
    </row>
    <row r="53" spans="1:17" ht="30" x14ac:dyDescent="0.25">
      <c r="A53" s="23" t="s">
        <v>138</v>
      </c>
      <c r="B53" s="24" t="s">
        <v>139</v>
      </c>
      <c r="C53" s="25" t="s">
        <v>134</v>
      </c>
      <c r="D53" s="25" t="s">
        <v>135</v>
      </c>
      <c r="E53" s="26">
        <f>SUM(E54:E62)+17230</f>
        <v>17230</v>
      </c>
      <c r="F53" s="26">
        <f>SUM(F54:F62)+17230</f>
        <v>17230</v>
      </c>
      <c r="G53" s="26">
        <f t="shared" ref="G53:N53" si="17">SUM(G54:G62)</f>
        <v>0</v>
      </c>
      <c r="H53" s="26">
        <f t="shared" si="17"/>
        <v>0</v>
      </c>
      <c r="I53" s="26">
        <f t="shared" si="17"/>
        <v>0</v>
      </c>
      <c r="J53" s="26">
        <f t="shared" si="17"/>
        <v>0</v>
      </c>
      <c r="K53" s="26">
        <f t="shared" si="17"/>
        <v>0</v>
      </c>
      <c r="L53" s="26">
        <f t="shared" si="17"/>
        <v>0</v>
      </c>
      <c r="M53" s="26">
        <f t="shared" si="17"/>
        <v>0</v>
      </c>
      <c r="N53" s="26">
        <f t="shared" si="17"/>
        <v>0</v>
      </c>
      <c r="O53" s="25" t="s">
        <v>140</v>
      </c>
      <c r="P53" s="27" t="s">
        <v>32</v>
      </c>
      <c r="Q53" s="28" t="s">
        <v>114</v>
      </c>
    </row>
    <row r="54" spans="1:17" ht="30" x14ac:dyDescent="0.25">
      <c r="A54" s="30"/>
      <c r="B54" s="31"/>
      <c r="C54" s="32"/>
      <c r="D54" s="32"/>
      <c r="E54" s="33">
        <v>0</v>
      </c>
      <c r="F54" s="33">
        <v>0</v>
      </c>
      <c r="G54" s="33">
        <v>0</v>
      </c>
      <c r="H54" s="33">
        <v>0</v>
      </c>
      <c r="I54" s="33">
        <v>0</v>
      </c>
      <c r="J54" s="33">
        <v>0</v>
      </c>
      <c r="K54" s="33">
        <v>0</v>
      </c>
      <c r="L54" s="33">
        <v>0</v>
      </c>
      <c r="M54" s="33">
        <v>0</v>
      </c>
      <c r="N54" s="33">
        <v>0</v>
      </c>
      <c r="O54" s="32" t="s">
        <v>141</v>
      </c>
      <c r="P54" s="34" t="s">
        <v>32</v>
      </c>
      <c r="Q54" s="35" t="s">
        <v>114</v>
      </c>
    </row>
    <row r="55" spans="1:17" ht="30" x14ac:dyDescent="0.25">
      <c r="A55" s="30"/>
      <c r="B55" s="31"/>
      <c r="C55" s="32"/>
      <c r="D55" s="32"/>
      <c r="E55" s="33">
        <v>0</v>
      </c>
      <c r="F55" s="33">
        <v>0</v>
      </c>
      <c r="G55" s="33">
        <v>0</v>
      </c>
      <c r="H55" s="33">
        <v>0</v>
      </c>
      <c r="I55" s="33">
        <v>0</v>
      </c>
      <c r="J55" s="33">
        <v>0</v>
      </c>
      <c r="K55" s="33">
        <v>0</v>
      </c>
      <c r="L55" s="33">
        <v>0</v>
      </c>
      <c r="M55" s="33">
        <v>0</v>
      </c>
      <c r="N55" s="33">
        <v>0</v>
      </c>
      <c r="O55" s="32" t="s">
        <v>142</v>
      </c>
      <c r="P55" s="34" t="s">
        <v>32</v>
      </c>
      <c r="Q55" s="35" t="s">
        <v>114</v>
      </c>
    </row>
    <row r="56" spans="1:17" ht="30" x14ac:dyDescent="0.25">
      <c r="A56" s="30"/>
      <c r="B56" s="31"/>
      <c r="C56" s="32"/>
      <c r="D56" s="32"/>
      <c r="E56" s="33">
        <v>0</v>
      </c>
      <c r="F56" s="33">
        <v>0</v>
      </c>
      <c r="G56" s="33">
        <v>0</v>
      </c>
      <c r="H56" s="33">
        <v>0</v>
      </c>
      <c r="I56" s="33">
        <v>0</v>
      </c>
      <c r="J56" s="33">
        <v>0</v>
      </c>
      <c r="K56" s="33">
        <v>0</v>
      </c>
      <c r="L56" s="33">
        <v>0</v>
      </c>
      <c r="M56" s="33">
        <v>0</v>
      </c>
      <c r="N56" s="33">
        <v>0</v>
      </c>
      <c r="O56" s="32" t="s">
        <v>143</v>
      </c>
      <c r="P56" s="34" t="s">
        <v>32</v>
      </c>
      <c r="Q56" s="35" t="s">
        <v>144</v>
      </c>
    </row>
    <row r="57" spans="1:17" x14ac:dyDescent="0.25">
      <c r="A57" s="30"/>
      <c r="B57" s="31"/>
      <c r="C57" s="32"/>
      <c r="D57" s="32"/>
      <c r="E57" s="33">
        <v>0</v>
      </c>
      <c r="F57" s="33">
        <v>0</v>
      </c>
      <c r="G57" s="33">
        <v>0</v>
      </c>
      <c r="H57" s="33">
        <v>0</v>
      </c>
      <c r="I57" s="33">
        <v>0</v>
      </c>
      <c r="J57" s="33">
        <v>0</v>
      </c>
      <c r="K57" s="33">
        <v>0</v>
      </c>
      <c r="L57" s="33">
        <v>0</v>
      </c>
      <c r="M57" s="33">
        <v>0</v>
      </c>
      <c r="N57" s="33">
        <v>0</v>
      </c>
      <c r="O57" s="32" t="s">
        <v>145</v>
      </c>
      <c r="P57" s="34" t="s">
        <v>32</v>
      </c>
      <c r="Q57" s="35" t="s">
        <v>71</v>
      </c>
    </row>
    <row r="58" spans="1:17" ht="30" x14ac:dyDescent="0.25">
      <c r="A58" s="30"/>
      <c r="B58" s="31"/>
      <c r="C58" s="32"/>
      <c r="D58" s="32"/>
      <c r="E58" s="33">
        <v>0</v>
      </c>
      <c r="F58" s="33">
        <v>0</v>
      </c>
      <c r="G58" s="33">
        <v>0</v>
      </c>
      <c r="H58" s="33">
        <v>0</v>
      </c>
      <c r="I58" s="33">
        <v>0</v>
      </c>
      <c r="J58" s="33">
        <v>0</v>
      </c>
      <c r="K58" s="33">
        <v>0</v>
      </c>
      <c r="L58" s="33">
        <v>0</v>
      </c>
      <c r="M58" s="33">
        <v>0</v>
      </c>
      <c r="N58" s="33">
        <v>0</v>
      </c>
      <c r="O58" s="32" t="s">
        <v>146</v>
      </c>
      <c r="P58" s="34" t="s">
        <v>32</v>
      </c>
      <c r="Q58" s="35" t="s">
        <v>147</v>
      </c>
    </row>
    <row r="59" spans="1:17" x14ac:dyDescent="0.25">
      <c r="A59" s="30"/>
      <c r="B59" s="31"/>
      <c r="C59" s="32"/>
      <c r="D59" s="32"/>
      <c r="E59" s="33">
        <v>0</v>
      </c>
      <c r="F59" s="33">
        <v>0</v>
      </c>
      <c r="G59" s="33">
        <v>0</v>
      </c>
      <c r="H59" s="33">
        <v>0</v>
      </c>
      <c r="I59" s="33">
        <v>0</v>
      </c>
      <c r="J59" s="33">
        <v>0</v>
      </c>
      <c r="K59" s="33">
        <v>0</v>
      </c>
      <c r="L59" s="33">
        <v>0</v>
      </c>
      <c r="M59" s="33">
        <v>0</v>
      </c>
      <c r="N59" s="33">
        <v>0</v>
      </c>
      <c r="O59" s="32" t="s">
        <v>148</v>
      </c>
      <c r="P59" s="34" t="s">
        <v>32</v>
      </c>
      <c r="Q59" s="35" t="s">
        <v>149</v>
      </c>
    </row>
    <row r="60" spans="1:17" ht="45" x14ac:dyDescent="0.25">
      <c r="A60" s="23" t="s">
        <v>150</v>
      </c>
      <c r="B60" s="24" t="s">
        <v>151</v>
      </c>
      <c r="C60" s="25" t="s">
        <v>134</v>
      </c>
      <c r="D60" s="25" t="s">
        <v>135</v>
      </c>
      <c r="E60" s="29">
        <v>0</v>
      </c>
      <c r="F60" s="29">
        <v>0</v>
      </c>
      <c r="G60" s="29">
        <v>0</v>
      </c>
      <c r="H60" s="29">
        <v>0</v>
      </c>
      <c r="I60" s="29">
        <v>0</v>
      </c>
      <c r="J60" s="29">
        <v>0</v>
      </c>
      <c r="K60" s="29">
        <v>0</v>
      </c>
      <c r="L60" s="29">
        <v>0</v>
      </c>
      <c r="M60" s="29">
        <v>0</v>
      </c>
      <c r="N60" s="29">
        <v>0</v>
      </c>
      <c r="O60" s="25"/>
      <c r="P60" s="27"/>
      <c r="Q60" s="28"/>
    </row>
    <row r="61" spans="1:17" ht="60" x14ac:dyDescent="0.25">
      <c r="A61" s="23" t="s">
        <v>152</v>
      </c>
      <c r="B61" s="24" t="s">
        <v>153</v>
      </c>
      <c r="C61" s="25" t="s">
        <v>134</v>
      </c>
      <c r="D61" s="25" t="s">
        <v>135</v>
      </c>
      <c r="E61" s="29">
        <v>0</v>
      </c>
      <c r="F61" s="29">
        <v>0</v>
      </c>
      <c r="G61" s="29">
        <v>0</v>
      </c>
      <c r="H61" s="29">
        <v>0</v>
      </c>
      <c r="I61" s="29">
        <v>0</v>
      </c>
      <c r="J61" s="29">
        <v>0</v>
      </c>
      <c r="K61" s="29">
        <v>0</v>
      </c>
      <c r="L61" s="29">
        <v>0</v>
      </c>
      <c r="M61" s="29">
        <v>0</v>
      </c>
      <c r="N61" s="29">
        <v>0</v>
      </c>
      <c r="O61" s="25"/>
      <c r="P61" s="27"/>
      <c r="Q61" s="28"/>
    </row>
    <row r="62" spans="1:17" ht="45" x14ac:dyDescent="0.25">
      <c r="A62" s="23" t="s">
        <v>154</v>
      </c>
      <c r="B62" s="24" t="s">
        <v>155</v>
      </c>
      <c r="C62" s="25" t="s">
        <v>134</v>
      </c>
      <c r="D62" s="25" t="s">
        <v>135</v>
      </c>
      <c r="E62" s="29">
        <v>0</v>
      </c>
      <c r="F62" s="29">
        <v>0</v>
      </c>
      <c r="G62" s="29">
        <v>0</v>
      </c>
      <c r="H62" s="29">
        <v>0</v>
      </c>
      <c r="I62" s="29">
        <v>0</v>
      </c>
      <c r="J62" s="29">
        <v>0</v>
      </c>
      <c r="K62" s="29">
        <v>0</v>
      </c>
      <c r="L62" s="29">
        <v>0</v>
      </c>
      <c r="M62" s="29">
        <v>0</v>
      </c>
      <c r="N62" s="29">
        <v>0</v>
      </c>
      <c r="O62" s="25"/>
      <c r="P62" s="27"/>
      <c r="Q62" s="28"/>
    </row>
    <row r="63" spans="1:17" ht="42.75" x14ac:dyDescent="0.25">
      <c r="A63" s="5" t="s">
        <v>156</v>
      </c>
      <c r="B63" s="6" t="s">
        <v>157</v>
      </c>
      <c r="C63" s="7" t="s">
        <v>158</v>
      </c>
      <c r="D63" s="7" t="s">
        <v>159</v>
      </c>
      <c r="E63" s="36">
        <v>5756303.6699999999</v>
      </c>
      <c r="F63" s="36">
        <v>324520</v>
      </c>
      <c r="G63" s="36">
        <v>0</v>
      </c>
      <c r="H63" s="36">
        <v>0</v>
      </c>
      <c r="I63" s="36">
        <v>0</v>
      </c>
      <c r="J63" s="36">
        <v>778042.05</v>
      </c>
      <c r="K63" s="36">
        <v>3655372.58</v>
      </c>
      <c r="L63" s="36">
        <v>470467.04</v>
      </c>
      <c r="M63" s="36">
        <v>0</v>
      </c>
      <c r="N63" s="36">
        <v>527902</v>
      </c>
      <c r="O63" s="7"/>
      <c r="P63" s="9"/>
      <c r="Q63" s="10"/>
    </row>
    <row r="64" spans="1:17" ht="42.75" x14ac:dyDescent="0.25">
      <c r="A64" s="5" t="s">
        <v>160</v>
      </c>
      <c r="B64" s="6" t="s">
        <v>161</v>
      </c>
      <c r="C64" s="7"/>
      <c r="D64" s="7" t="s">
        <v>162</v>
      </c>
      <c r="E64" s="8">
        <f t="shared" ref="E64:N64" si="18">E65+E73+E94+E109+E118</f>
        <v>183600</v>
      </c>
      <c r="F64" s="8">
        <f t="shared" si="18"/>
        <v>131850</v>
      </c>
      <c r="G64" s="8">
        <f t="shared" si="18"/>
        <v>0</v>
      </c>
      <c r="H64" s="8">
        <f t="shared" si="18"/>
        <v>0</v>
      </c>
      <c r="I64" s="8">
        <f t="shared" si="18"/>
        <v>0</v>
      </c>
      <c r="J64" s="8">
        <f t="shared" si="18"/>
        <v>0</v>
      </c>
      <c r="K64" s="8">
        <f t="shared" si="18"/>
        <v>0</v>
      </c>
      <c r="L64" s="8">
        <f t="shared" si="18"/>
        <v>51750</v>
      </c>
      <c r="M64" s="8">
        <f t="shared" si="18"/>
        <v>0</v>
      </c>
      <c r="N64" s="8">
        <f t="shared" si="18"/>
        <v>0</v>
      </c>
      <c r="O64" s="7"/>
      <c r="P64" s="9"/>
      <c r="Q64" s="10"/>
    </row>
    <row r="65" spans="1:17" ht="28.5" x14ac:dyDescent="0.25">
      <c r="A65" s="11" t="s">
        <v>163</v>
      </c>
      <c r="B65" s="12" t="s">
        <v>164</v>
      </c>
      <c r="C65" s="13"/>
      <c r="D65" s="13"/>
      <c r="E65" s="14">
        <f t="shared" ref="E65:N65" si="19">E66+E69</f>
        <v>13200</v>
      </c>
      <c r="F65" s="14">
        <f t="shared" si="19"/>
        <v>13200</v>
      </c>
      <c r="G65" s="14">
        <f t="shared" si="19"/>
        <v>0</v>
      </c>
      <c r="H65" s="14">
        <f t="shared" si="19"/>
        <v>0</v>
      </c>
      <c r="I65" s="14">
        <f t="shared" si="19"/>
        <v>0</v>
      </c>
      <c r="J65" s="14">
        <f t="shared" si="19"/>
        <v>0</v>
      </c>
      <c r="K65" s="14">
        <f t="shared" si="19"/>
        <v>0</v>
      </c>
      <c r="L65" s="14">
        <f t="shared" si="19"/>
        <v>0</v>
      </c>
      <c r="M65" s="14">
        <f t="shared" si="19"/>
        <v>0</v>
      </c>
      <c r="N65" s="14">
        <f t="shared" si="19"/>
        <v>0</v>
      </c>
      <c r="O65" s="13"/>
      <c r="P65" s="15"/>
      <c r="Q65" s="16"/>
    </row>
    <row r="66" spans="1:17" ht="28.5" x14ac:dyDescent="0.25">
      <c r="A66" s="17" t="s">
        <v>165</v>
      </c>
      <c r="B66" s="18" t="s">
        <v>166</v>
      </c>
      <c r="C66" s="19"/>
      <c r="D66" s="19"/>
      <c r="E66" s="20">
        <f t="shared" ref="E66:N66" si="20">SUM(E67:E67)</f>
        <v>9000</v>
      </c>
      <c r="F66" s="20">
        <f t="shared" si="20"/>
        <v>9000</v>
      </c>
      <c r="G66" s="20">
        <f t="shared" si="20"/>
        <v>0</v>
      </c>
      <c r="H66" s="20">
        <f t="shared" si="20"/>
        <v>0</v>
      </c>
      <c r="I66" s="20">
        <f t="shared" si="20"/>
        <v>0</v>
      </c>
      <c r="J66" s="20">
        <f t="shared" si="20"/>
        <v>0</v>
      </c>
      <c r="K66" s="20">
        <f t="shared" si="20"/>
        <v>0</v>
      </c>
      <c r="L66" s="20">
        <f t="shared" si="20"/>
        <v>0</v>
      </c>
      <c r="M66" s="20">
        <f t="shared" si="20"/>
        <v>0</v>
      </c>
      <c r="N66" s="20">
        <f t="shared" si="20"/>
        <v>0</v>
      </c>
      <c r="O66" s="19"/>
      <c r="P66" s="21"/>
      <c r="Q66" s="22"/>
    </row>
    <row r="67" spans="1:17" ht="75" x14ac:dyDescent="0.25">
      <c r="A67" s="23" t="s">
        <v>167</v>
      </c>
      <c r="B67" s="24" t="s">
        <v>168</v>
      </c>
      <c r="C67" s="25"/>
      <c r="D67" s="25" t="s">
        <v>169</v>
      </c>
      <c r="E67" s="26">
        <f>SUM(E68:E68)+9000</f>
        <v>9000</v>
      </c>
      <c r="F67" s="26">
        <f>SUM(F68:F68)+9000</f>
        <v>9000</v>
      </c>
      <c r="G67" s="26">
        <f t="shared" ref="G67:N67" si="21">SUM(G68:G68)</f>
        <v>0</v>
      </c>
      <c r="H67" s="26">
        <f t="shared" si="21"/>
        <v>0</v>
      </c>
      <c r="I67" s="26">
        <f t="shared" si="21"/>
        <v>0</v>
      </c>
      <c r="J67" s="26">
        <f t="shared" si="21"/>
        <v>0</v>
      </c>
      <c r="K67" s="26">
        <f t="shared" si="21"/>
        <v>0</v>
      </c>
      <c r="L67" s="26">
        <f t="shared" si="21"/>
        <v>0</v>
      </c>
      <c r="M67" s="26">
        <f t="shared" si="21"/>
        <v>0</v>
      </c>
      <c r="N67" s="26">
        <f t="shared" si="21"/>
        <v>0</v>
      </c>
      <c r="O67" s="25" t="s">
        <v>170</v>
      </c>
      <c r="P67" s="27" t="s">
        <v>32</v>
      </c>
      <c r="Q67" s="28" t="s">
        <v>171</v>
      </c>
    </row>
    <row r="68" spans="1:17" ht="30" x14ac:dyDescent="0.25">
      <c r="A68" s="23" t="s">
        <v>172</v>
      </c>
      <c r="B68" s="24" t="s">
        <v>173</v>
      </c>
      <c r="C68" s="25"/>
      <c r="D68" s="25" t="s">
        <v>169</v>
      </c>
      <c r="E68" s="29">
        <v>0</v>
      </c>
      <c r="F68" s="29">
        <v>0</v>
      </c>
      <c r="G68" s="29">
        <v>0</v>
      </c>
      <c r="H68" s="29">
        <v>0</v>
      </c>
      <c r="I68" s="29">
        <v>0</v>
      </c>
      <c r="J68" s="29">
        <v>0</v>
      </c>
      <c r="K68" s="29">
        <v>0</v>
      </c>
      <c r="L68" s="29">
        <v>0</v>
      </c>
      <c r="M68" s="29">
        <v>0</v>
      </c>
      <c r="N68" s="29">
        <v>0</v>
      </c>
      <c r="O68" s="25"/>
      <c r="P68" s="27"/>
      <c r="Q68" s="28"/>
    </row>
    <row r="69" spans="1:17" ht="28.5" x14ac:dyDescent="0.25">
      <c r="A69" s="17" t="s">
        <v>174</v>
      </c>
      <c r="B69" s="18" t="s">
        <v>175</v>
      </c>
      <c r="C69" s="19"/>
      <c r="D69" s="19"/>
      <c r="E69" s="20">
        <f t="shared" ref="E69:N69" si="22">SUM(E70:E70)</f>
        <v>4200</v>
      </c>
      <c r="F69" s="20">
        <f t="shared" si="22"/>
        <v>4200</v>
      </c>
      <c r="G69" s="20">
        <f t="shared" si="22"/>
        <v>0</v>
      </c>
      <c r="H69" s="20">
        <f t="shared" si="22"/>
        <v>0</v>
      </c>
      <c r="I69" s="20">
        <f t="shared" si="22"/>
        <v>0</v>
      </c>
      <c r="J69" s="20">
        <f t="shared" si="22"/>
        <v>0</v>
      </c>
      <c r="K69" s="20">
        <f t="shared" si="22"/>
        <v>0</v>
      </c>
      <c r="L69" s="20">
        <f t="shared" si="22"/>
        <v>0</v>
      </c>
      <c r="M69" s="20">
        <f t="shared" si="22"/>
        <v>0</v>
      </c>
      <c r="N69" s="20">
        <f t="shared" si="22"/>
        <v>0</v>
      </c>
      <c r="O69" s="19"/>
      <c r="P69" s="21"/>
      <c r="Q69" s="22"/>
    </row>
    <row r="70" spans="1:17" x14ac:dyDescent="0.25">
      <c r="A70" s="23" t="s">
        <v>176</v>
      </c>
      <c r="B70" s="24" t="s">
        <v>177</v>
      </c>
      <c r="C70" s="25"/>
      <c r="D70" s="25" t="s">
        <v>169</v>
      </c>
      <c r="E70" s="26">
        <f>SUM(E71:E72)+4200</f>
        <v>4200</v>
      </c>
      <c r="F70" s="26">
        <f>SUM(F71:F72)+4200</f>
        <v>4200</v>
      </c>
      <c r="G70" s="26">
        <f t="shared" ref="G70:N70" si="23">SUM(G71:G72)</f>
        <v>0</v>
      </c>
      <c r="H70" s="26">
        <f t="shared" si="23"/>
        <v>0</v>
      </c>
      <c r="I70" s="26">
        <f t="shared" si="23"/>
        <v>0</v>
      </c>
      <c r="J70" s="26">
        <f t="shared" si="23"/>
        <v>0</v>
      </c>
      <c r="K70" s="26">
        <f t="shared" si="23"/>
        <v>0</v>
      </c>
      <c r="L70" s="26">
        <f t="shared" si="23"/>
        <v>0</v>
      </c>
      <c r="M70" s="26">
        <f t="shared" si="23"/>
        <v>0</v>
      </c>
      <c r="N70" s="26">
        <f t="shared" si="23"/>
        <v>0</v>
      </c>
      <c r="O70" s="25" t="s">
        <v>178</v>
      </c>
      <c r="P70" s="27" t="s">
        <v>32</v>
      </c>
      <c r="Q70" s="28" t="s">
        <v>179</v>
      </c>
    </row>
    <row r="71" spans="1:17" x14ac:dyDescent="0.25">
      <c r="A71" s="30"/>
      <c r="B71" s="31"/>
      <c r="C71" s="32"/>
      <c r="D71" s="32"/>
      <c r="E71" s="33">
        <v>0</v>
      </c>
      <c r="F71" s="33">
        <v>0</v>
      </c>
      <c r="G71" s="33">
        <v>0</v>
      </c>
      <c r="H71" s="33">
        <v>0</v>
      </c>
      <c r="I71" s="33">
        <v>0</v>
      </c>
      <c r="J71" s="33">
        <v>0</v>
      </c>
      <c r="K71" s="33">
        <v>0</v>
      </c>
      <c r="L71" s="33">
        <v>0</v>
      </c>
      <c r="M71" s="33">
        <v>0</v>
      </c>
      <c r="N71" s="33">
        <v>0</v>
      </c>
      <c r="O71" s="32" t="s">
        <v>180</v>
      </c>
      <c r="P71" s="34" t="s">
        <v>32</v>
      </c>
      <c r="Q71" s="35" t="s">
        <v>181</v>
      </c>
    </row>
    <row r="72" spans="1:17" x14ac:dyDescent="0.25">
      <c r="A72" s="23" t="s">
        <v>182</v>
      </c>
      <c r="B72" s="24" t="s">
        <v>183</v>
      </c>
      <c r="C72" s="25"/>
      <c r="D72" s="25" t="s">
        <v>169</v>
      </c>
      <c r="E72" s="29">
        <v>0</v>
      </c>
      <c r="F72" s="29">
        <v>0</v>
      </c>
      <c r="G72" s="29">
        <v>0</v>
      </c>
      <c r="H72" s="29">
        <v>0</v>
      </c>
      <c r="I72" s="29">
        <v>0</v>
      </c>
      <c r="J72" s="29">
        <v>0</v>
      </c>
      <c r="K72" s="29">
        <v>0</v>
      </c>
      <c r="L72" s="29">
        <v>0</v>
      </c>
      <c r="M72" s="29">
        <v>0</v>
      </c>
      <c r="N72" s="29">
        <v>0</v>
      </c>
      <c r="O72" s="25"/>
      <c r="P72" s="27"/>
      <c r="Q72" s="28"/>
    </row>
    <row r="73" spans="1:17" ht="28.5" x14ac:dyDescent="0.25">
      <c r="A73" s="11" t="s">
        <v>184</v>
      </c>
      <c r="B73" s="12" t="s">
        <v>185</v>
      </c>
      <c r="C73" s="13"/>
      <c r="D73" s="13"/>
      <c r="E73" s="14">
        <f t="shared" ref="E73:N73" si="24">E74+E86</f>
        <v>84000</v>
      </c>
      <c r="F73" s="14">
        <f t="shared" si="24"/>
        <v>32250</v>
      </c>
      <c r="G73" s="14">
        <f t="shared" si="24"/>
        <v>0</v>
      </c>
      <c r="H73" s="14">
        <f t="shared" si="24"/>
        <v>0</v>
      </c>
      <c r="I73" s="14">
        <f t="shared" si="24"/>
        <v>0</v>
      </c>
      <c r="J73" s="14">
        <f t="shared" si="24"/>
        <v>0</v>
      </c>
      <c r="K73" s="14">
        <f t="shared" si="24"/>
        <v>0</v>
      </c>
      <c r="L73" s="14">
        <f t="shared" si="24"/>
        <v>51750</v>
      </c>
      <c r="M73" s="14">
        <f t="shared" si="24"/>
        <v>0</v>
      </c>
      <c r="N73" s="14">
        <f t="shared" si="24"/>
        <v>0</v>
      </c>
      <c r="O73" s="13"/>
      <c r="P73" s="15"/>
      <c r="Q73" s="16"/>
    </row>
    <row r="74" spans="1:17" ht="28.5" x14ac:dyDescent="0.25">
      <c r="A74" s="17" t="s">
        <v>186</v>
      </c>
      <c r="B74" s="18" t="s">
        <v>187</v>
      </c>
      <c r="C74" s="19"/>
      <c r="D74" s="19"/>
      <c r="E74" s="20">
        <f t="shared" ref="E74:N74" si="25">E75+E80+E83</f>
        <v>79000</v>
      </c>
      <c r="F74" s="20">
        <f t="shared" si="25"/>
        <v>27250</v>
      </c>
      <c r="G74" s="20">
        <f t="shared" si="25"/>
        <v>0</v>
      </c>
      <c r="H74" s="20">
        <f t="shared" si="25"/>
        <v>0</v>
      </c>
      <c r="I74" s="20">
        <f t="shared" si="25"/>
        <v>0</v>
      </c>
      <c r="J74" s="20">
        <f t="shared" si="25"/>
        <v>0</v>
      </c>
      <c r="K74" s="20">
        <f t="shared" si="25"/>
        <v>0</v>
      </c>
      <c r="L74" s="20">
        <f t="shared" si="25"/>
        <v>51750</v>
      </c>
      <c r="M74" s="20">
        <f t="shared" si="25"/>
        <v>0</v>
      </c>
      <c r="N74" s="20">
        <f t="shared" si="25"/>
        <v>0</v>
      </c>
      <c r="O74" s="19"/>
      <c r="P74" s="21"/>
      <c r="Q74" s="22"/>
    </row>
    <row r="75" spans="1:17" ht="45" x14ac:dyDescent="0.25">
      <c r="A75" s="23" t="s">
        <v>188</v>
      </c>
      <c r="B75" s="24" t="s">
        <v>189</v>
      </c>
      <c r="C75" s="25" t="s">
        <v>190</v>
      </c>
      <c r="D75" s="25" t="s">
        <v>191</v>
      </c>
      <c r="E75" s="26">
        <f>SUM(E76:E79)+67100</f>
        <v>67100</v>
      </c>
      <c r="F75" s="26">
        <f>SUM(F76:F79)+15350</f>
        <v>15350</v>
      </c>
      <c r="G75" s="26">
        <f>SUM(G76:G79)</f>
        <v>0</v>
      </c>
      <c r="H75" s="26">
        <f>SUM(H76:H79)</f>
        <v>0</v>
      </c>
      <c r="I75" s="26">
        <f>SUM(I76:I79)</f>
        <v>0</v>
      </c>
      <c r="J75" s="26">
        <f>SUM(J76:J79)</f>
        <v>0</v>
      </c>
      <c r="K75" s="26">
        <f>SUM(K76:K79)</f>
        <v>0</v>
      </c>
      <c r="L75" s="26">
        <f>SUM(L76:L79)+51750</f>
        <v>51750</v>
      </c>
      <c r="M75" s="26">
        <f>SUM(M76:M79)</f>
        <v>0</v>
      </c>
      <c r="N75" s="26">
        <f>SUM(N76:N79)</f>
        <v>0</v>
      </c>
      <c r="O75" s="25" t="s">
        <v>192</v>
      </c>
      <c r="P75" s="27" t="s">
        <v>32</v>
      </c>
      <c r="Q75" s="28" t="s">
        <v>39</v>
      </c>
    </row>
    <row r="76" spans="1:17" x14ac:dyDescent="0.25">
      <c r="A76" s="30"/>
      <c r="B76" s="31"/>
      <c r="C76" s="32"/>
      <c r="D76" s="32"/>
      <c r="E76" s="33">
        <v>0</v>
      </c>
      <c r="F76" s="33">
        <v>0</v>
      </c>
      <c r="G76" s="33">
        <v>0</v>
      </c>
      <c r="H76" s="33">
        <v>0</v>
      </c>
      <c r="I76" s="33">
        <v>0</v>
      </c>
      <c r="J76" s="33">
        <v>0</v>
      </c>
      <c r="K76" s="33">
        <v>0</v>
      </c>
      <c r="L76" s="33">
        <v>0</v>
      </c>
      <c r="M76" s="33">
        <v>0</v>
      </c>
      <c r="N76" s="33">
        <v>0</v>
      </c>
      <c r="O76" s="32" t="s">
        <v>193</v>
      </c>
      <c r="P76" s="34" t="s">
        <v>32</v>
      </c>
      <c r="Q76" s="35" t="s">
        <v>181</v>
      </c>
    </row>
    <row r="77" spans="1:17" x14ac:dyDescent="0.25">
      <c r="A77" s="30"/>
      <c r="B77" s="31"/>
      <c r="C77" s="32"/>
      <c r="D77" s="32"/>
      <c r="E77" s="33">
        <v>0</v>
      </c>
      <c r="F77" s="33">
        <v>0</v>
      </c>
      <c r="G77" s="33">
        <v>0</v>
      </c>
      <c r="H77" s="33">
        <v>0</v>
      </c>
      <c r="I77" s="33">
        <v>0</v>
      </c>
      <c r="J77" s="33">
        <v>0</v>
      </c>
      <c r="K77" s="33">
        <v>0</v>
      </c>
      <c r="L77" s="33">
        <v>0</v>
      </c>
      <c r="M77" s="33">
        <v>0</v>
      </c>
      <c r="N77" s="33">
        <v>0</v>
      </c>
      <c r="O77" s="32" t="s">
        <v>194</v>
      </c>
      <c r="P77" s="34" t="s">
        <v>32</v>
      </c>
      <c r="Q77" s="35" t="s">
        <v>39</v>
      </c>
    </row>
    <row r="78" spans="1:17" x14ac:dyDescent="0.25">
      <c r="A78" s="23" t="s">
        <v>195</v>
      </c>
      <c r="B78" s="24" t="s">
        <v>196</v>
      </c>
      <c r="C78" s="25"/>
      <c r="D78" s="25" t="s">
        <v>191</v>
      </c>
      <c r="E78" s="29">
        <v>0</v>
      </c>
      <c r="F78" s="29">
        <v>0</v>
      </c>
      <c r="G78" s="29">
        <v>0</v>
      </c>
      <c r="H78" s="29">
        <v>0</v>
      </c>
      <c r="I78" s="29">
        <v>0</v>
      </c>
      <c r="J78" s="29">
        <v>0</v>
      </c>
      <c r="K78" s="29">
        <v>0</v>
      </c>
      <c r="L78" s="29">
        <v>0</v>
      </c>
      <c r="M78" s="29">
        <v>0</v>
      </c>
      <c r="N78" s="29">
        <v>0</v>
      </c>
      <c r="O78" s="25"/>
      <c r="P78" s="27"/>
      <c r="Q78" s="28"/>
    </row>
    <row r="79" spans="1:17" x14ac:dyDescent="0.25">
      <c r="A79" s="23" t="s">
        <v>197</v>
      </c>
      <c r="B79" s="24" t="s">
        <v>198</v>
      </c>
      <c r="C79" s="25"/>
      <c r="D79" s="25" t="s">
        <v>191</v>
      </c>
      <c r="E79" s="29">
        <v>0</v>
      </c>
      <c r="F79" s="29">
        <v>0</v>
      </c>
      <c r="G79" s="29">
        <v>0</v>
      </c>
      <c r="H79" s="29">
        <v>0</v>
      </c>
      <c r="I79" s="29">
        <v>0</v>
      </c>
      <c r="J79" s="29">
        <v>0</v>
      </c>
      <c r="K79" s="29">
        <v>0</v>
      </c>
      <c r="L79" s="29">
        <v>0</v>
      </c>
      <c r="M79" s="29">
        <v>0</v>
      </c>
      <c r="N79" s="29">
        <v>0</v>
      </c>
      <c r="O79" s="25"/>
      <c r="P79" s="27"/>
      <c r="Q79" s="28"/>
    </row>
    <row r="80" spans="1:17" ht="30" x14ac:dyDescent="0.25">
      <c r="A80" s="23" t="s">
        <v>199</v>
      </c>
      <c r="B80" s="24" t="s">
        <v>200</v>
      </c>
      <c r="C80" s="25"/>
      <c r="D80" s="25" t="s">
        <v>191</v>
      </c>
      <c r="E80" s="26">
        <f>SUM(E81:E82)+4600</f>
        <v>4600</v>
      </c>
      <c r="F80" s="26">
        <f>SUM(F81:F82)+4600</f>
        <v>4600</v>
      </c>
      <c r="G80" s="26">
        <f t="shared" ref="G80:N80" si="26">SUM(G81:G82)</f>
        <v>0</v>
      </c>
      <c r="H80" s="26">
        <f t="shared" si="26"/>
        <v>0</v>
      </c>
      <c r="I80" s="26">
        <f t="shared" si="26"/>
        <v>0</v>
      </c>
      <c r="J80" s="26">
        <f t="shared" si="26"/>
        <v>0</v>
      </c>
      <c r="K80" s="26">
        <f t="shared" si="26"/>
        <v>0</v>
      </c>
      <c r="L80" s="26">
        <f t="shared" si="26"/>
        <v>0</v>
      </c>
      <c r="M80" s="26">
        <f t="shared" si="26"/>
        <v>0</v>
      </c>
      <c r="N80" s="26">
        <f t="shared" si="26"/>
        <v>0</v>
      </c>
      <c r="O80" s="25" t="s">
        <v>201</v>
      </c>
      <c r="P80" s="27" t="s">
        <v>32</v>
      </c>
      <c r="Q80" s="28" t="s">
        <v>39</v>
      </c>
    </row>
    <row r="81" spans="1:17" x14ac:dyDescent="0.25">
      <c r="A81" s="23" t="s">
        <v>202</v>
      </c>
      <c r="B81" s="24" t="s">
        <v>203</v>
      </c>
      <c r="C81" s="25"/>
      <c r="D81" s="25" t="s">
        <v>191</v>
      </c>
      <c r="E81" s="29">
        <v>0</v>
      </c>
      <c r="F81" s="29">
        <v>0</v>
      </c>
      <c r="G81" s="29">
        <v>0</v>
      </c>
      <c r="H81" s="29">
        <v>0</v>
      </c>
      <c r="I81" s="29">
        <v>0</v>
      </c>
      <c r="J81" s="29">
        <v>0</v>
      </c>
      <c r="K81" s="29">
        <v>0</v>
      </c>
      <c r="L81" s="29">
        <v>0</v>
      </c>
      <c r="M81" s="29">
        <v>0</v>
      </c>
      <c r="N81" s="29">
        <v>0</v>
      </c>
      <c r="O81" s="25"/>
      <c r="P81" s="27"/>
      <c r="Q81" s="28"/>
    </row>
    <row r="82" spans="1:17" ht="30" x14ac:dyDescent="0.25">
      <c r="A82" s="23" t="s">
        <v>204</v>
      </c>
      <c r="B82" s="24" t="s">
        <v>205</v>
      </c>
      <c r="C82" s="25"/>
      <c r="D82" s="25" t="s">
        <v>191</v>
      </c>
      <c r="E82" s="29">
        <v>0</v>
      </c>
      <c r="F82" s="29">
        <v>0</v>
      </c>
      <c r="G82" s="29">
        <v>0</v>
      </c>
      <c r="H82" s="29">
        <v>0</v>
      </c>
      <c r="I82" s="29">
        <v>0</v>
      </c>
      <c r="J82" s="29">
        <v>0</v>
      </c>
      <c r="K82" s="29">
        <v>0</v>
      </c>
      <c r="L82" s="29">
        <v>0</v>
      </c>
      <c r="M82" s="29">
        <v>0</v>
      </c>
      <c r="N82" s="29">
        <v>0</v>
      </c>
      <c r="O82" s="25"/>
      <c r="P82" s="27"/>
      <c r="Q82" s="28"/>
    </row>
    <row r="83" spans="1:17" ht="30" x14ac:dyDescent="0.25">
      <c r="A83" s="23" t="s">
        <v>206</v>
      </c>
      <c r="B83" s="24" t="s">
        <v>207</v>
      </c>
      <c r="C83" s="25"/>
      <c r="D83" s="25" t="s">
        <v>191</v>
      </c>
      <c r="E83" s="26">
        <f>SUM(E84:E85)+7300</f>
        <v>7300</v>
      </c>
      <c r="F83" s="26">
        <f>SUM(F84:F85)+7300</f>
        <v>7300</v>
      </c>
      <c r="G83" s="26">
        <f t="shared" ref="G83:N83" si="27">SUM(G84:G85)</f>
        <v>0</v>
      </c>
      <c r="H83" s="26">
        <f t="shared" si="27"/>
        <v>0</v>
      </c>
      <c r="I83" s="26">
        <f t="shared" si="27"/>
        <v>0</v>
      </c>
      <c r="J83" s="26">
        <f t="shared" si="27"/>
        <v>0</v>
      </c>
      <c r="K83" s="26">
        <f t="shared" si="27"/>
        <v>0</v>
      </c>
      <c r="L83" s="26">
        <f t="shared" si="27"/>
        <v>0</v>
      </c>
      <c r="M83" s="26">
        <f t="shared" si="27"/>
        <v>0</v>
      </c>
      <c r="N83" s="26">
        <f t="shared" si="27"/>
        <v>0</v>
      </c>
      <c r="O83" s="25" t="s">
        <v>201</v>
      </c>
      <c r="P83" s="27" t="s">
        <v>32</v>
      </c>
      <c r="Q83" s="28" t="s">
        <v>39</v>
      </c>
    </row>
    <row r="84" spans="1:17" x14ac:dyDescent="0.25">
      <c r="A84" s="23" t="s">
        <v>208</v>
      </c>
      <c r="B84" s="24" t="s">
        <v>209</v>
      </c>
      <c r="C84" s="25"/>
      <c r="D84" s="25" t="s">
        <v>191</v>
      </c>
      <c r="E84" s="29">
        <v>0</v>
      </c>
      <c r="F84" s="29">
        <v>0</v>
      </c>
      <c r="G84" s="29">
        <v>0</v>
      </c>
      <c r="H84" s="29">
        <v>0</v>
      </c>
      <c r="I84" s="29">
        <v>0</v>
      </c>
      <c r="J84" s="29">
        <v>0</v>
      </c>
      <c r="K84" s="29">
        <v>0</v>
      </c>
      <c r="L84" s="29">
        <v>0</v>
      </c>
      <c r="M84" s="29">
        <v>0</v>
      </c>
      <c r="N84" s="29">
        <v>0</v>
      </c>
      <c r="O84" s="25"/>
      <c r="P84" s="27"/>
      <c r="Q84" s="28"/>
    </row>
    <row r="85" spans="1:17" ht="30" x14ac:dyDescent="0.25">
      <c r="A85" s="23" t="s">
        <v>210</v>
      </c>
      <c r="B85" s="24" t="s">
        <v>211</v>
      </c>
      <c r="C85" s="25"/>
      <c r="D85" s="25" t="s">
        <v>191</v>
      </c>
      <c r="E85" s="29">
        <v>0</v>
      </c>
      <c r="F85" s="29">
        <v>0</v>
      </c>
      <c r="G85" s="29">
        <v>0</v>
      </c>
      <c r="H85" s="29">
        <v>0</v>
      </c>
      <c r="I85" s="29">
        <v>0</v>
      </c>
      <c r="J85" s="29">
        <v>0</v>
      </c>
      <c r="K85" s="29">
        <v>0</v>
      </c>
      <c r="L85" s="29">
        <v>0</v>
      </c>
      <c r="M85" s="29">
        <v>0</v>
      </c>
      <c r="N85" s="29">
        <v>0</v>
      </c>
      <c r="O85" s="25"/>
      <c r="P85" s="27"/>
      <c r="Q85" s="28"/>
    </row>
    <row r="86" spans="1:17" ht="28.5" x14ac:dyDescent="0.25">
      <c r="A86" s="17" t="s">
        <v>212</v>
      </c>
      <c r="B86" s="18" t="s">
        <v>213</v>
      </c>
      <c r="C86" s="19"/>
      <c r="D86" s="19"/>
      <c r="E86" s="20">
        <f t="shared" ref="E86:N86" si="28">SUM(E87:E87)</f>
        <v>5000</v>
      </c>
      <c r="F86" s="20">
        <f t="shared" si="28"/>
        <v>5000</v>
      </c>
      <c r="G86" s="20">
        <f t="shared" si="28"/>
        <v>0</v>
      </c>
      <c r="H86" s="20">
        <f t="shared" si="28"/>
        <v>0</v>
      </c>
      <c r="I86" s="20">
        <f t="shared" si="28"/>
        <v>0</v>
      </c>
      <c r="J86" s="20">
        <f t="shared" si="28"/>
        <v>0</v>
      </c>
      <c r="K86" s="20">
        <f t="shared" si="28"/>
        <v>0</v>
      </c>
      <c r="L86" s="20">
        <f t="shared" si="28"/>
        <v>0</v>
      </c>
      <c r="M86" s="20">
        <f t="shared" si="28"/>
        <v>0</v>
      </c>
      <c r="N86" s="20">
        <f t="shared" si="28"/>
        <v>0</v>
      </c>
      <c r="O86" s="19"/>
      <c r="P86" s="21"/>
      <c r="Q86" s="22"/>
    </row>
    <row r="87" spans="1:17" ht="30" x14ac:dyDescent="0.25">
      <c r="A87" s="23" t="s">
        <v>214</v>
      </c>
      <c r="B87" s="24" t="s">
        <v>215</v>
      </c>
      <c r="C87" s="25"/>
      <c r="D87" s="25" t="s">
        <v>191</v>
      </c>
      <c r="E87" s="26">
        <f>SUM(E88:E93)+5000</f>
        <v>5000</v>
      </c>
      <c r="F87" s="26">
        <f>SUM(F88:F93)+5000</f>
        <v>5000</v>
      </c>
      <c r="G87" s="26">
        <f t="shared" ref="G87:N87" si="29">SUM(G88:G93)</f>
        <v>0</v>
      </c>
      <c r="H87" s="26">
        <f t="shared" si="29"/>
        <v>0</v>
      </c>
      <c r="I87" s="26">
        <f t="shared" si="29"/>
        <v>0</v>
      </c>
      <c r="J87" s="26">
        <f t="shared" si="29"/>
        <v>0</v>
      </c>
      <c r="K87" s="26">
        <f t="shared" si="29"/>
        <v>0</v>
      </c>
      <c r="L87" s="26">
        <f t="shared" si="29"/>
        <v>0</v>
      </c>
      <c r="M87" s="26">
        <f t="shared" si="29"/>
        <v>0</v>
      </c>
      <c r="N87" s="26">
        <f t="shared" si="29"/>
        <v>0</v>
      </c>
      <c r="O87" s="25" t="s">
        <v>216</v>
      </c>
      <c r="P87" s="27" t="s">
        <v>32</v>
      </c>
      <c r="Q87" s="28" t="s">
        <v>39</v>
      </c>
    </row>
    <row r="88" spans="1:17" x14ac:dyDescent="0.25">
      <c r="A88" s="30"/>
      <c r="B88" s="31"/>
      <c r="C88" s="32"/>
      <c r="D88" s="32"/>
      <c r="E88" s="33">
        <v>0</v>
      </c>
      <c r="F88" s="33">
        <v>0</v>
      </c>
      <c r="G88" s="33">
        <v>0</v>
      </c>
      <c r="H88" s="33">
        <v>0</v>
      </c>
      <c r="I88" s="33">
        <v>0</v>
      </c>
      <c r="J88" s="33">
        <v>0</v>
      </c>
      <c r="K88" s="33">
        <v>0</v>
      </c>
      <c r="L88" s="33">
        <v>0</v>
      </c>
      <c r="M88" s="33">
        <v>0</v>
      </c>
      <c r="N88" s="33">
        <v>0</v>
      </c>
      <c r="O88" s="32" t="s">
        <v>217</v>
      </c>
      <c r="P88" s="34" t="s">
        <v>32</v>
      </c>
      <c r="Q88" s="35" t="s">
        <v>144</v>
      </c>
    </row>
    <row r="89" spans="1:17" x14ac:dyDescent="0.25">
      <c r="A89" s="23" t="s">
        <v>218</v>
      </c>
      <c r="B89" s="24" t="s">
        <v>219</v>
      </c>
      <c r="C89" s="25"/>
      <c r="D89" s="25" t="s">
        <v>191</v>
      </c>
      <c r="E89" s="29">
        <v>0</v>
      </c>
      <c r="F89" s="29">
        <v>0</v>
      </c>
      <c r="G89" s="29">
        <v>0</v>
      </c>
      <c r="H89" s="29">
        <v>0</v>
      </c>
      <c r="I89" s="29">
        <v>0</v>
      </c>
      <c r="J89" s="29">
        <v>0</v>
      </c>
      <c r="K89" s="29">
        <v>0</v>
      </c>
      <c r="L89" s="29">
        <v>0</v>
      </c>
      <c r="M89" s="29">
        <v>0</v>
      </c>
      <c r="N89" s="29">
        <v>0</v>
      </c>
      <c r="O89" s="25"/>
      <c r="P89" s="27"/>
      <c r="Q89" s="28"/>
    </row>
    <row r="90" spans="1:17" x14ac:dyDescent="0.25">
      <c r="A90" s="23" t="s">
        <v>220</v>
      </c>
      <c r="B90" s="24" t="s">
        <v>221</v>
      </c>
      <c r="C90" s="25"/>
      <c r="D90" s="25" t="s">
        <v>191</v>
      </c>
      <c r="E90" s="29">
        <v>0</v>
      </c>
      <c r="F90" s="29">
        <v>0</v>
      </c>
      <c r="G90" s="29">
        <v>0</v>
      </c>
      <c r="H90" s="29">
        <v>0</v>
      </c>
      <c r="I90" s="29">
        <v>0</v>
      </c>
      <c r="J90" s="29">
        <v>0</v>
      </c>
      <c r="K90" s="29">
        <v>0</v>
      </c>
      <c r="L90" s="29">
        <v>0</v>
      </c>
      <c r="M90" s="29">
        <v>0</v>
      </c>
      <c r="N90" s="29">
        <v>0</v>
      </c>
      <c r="O90" s="25"/>
      <c r="P90" s="27"/>
      <c r="Q90" s="28"/>
    </row>
    <row r="91" spans="1:17" ht="30" x14ac:dyDescent="0.25">
      <c r="A91" s="23" t="s">
        <v>222</v>
      </c>
      <c r="B91" s="24" t="s">
        <v>223</v>
      </c>
      <c r="C91" s="25"/>
      <c r="D91" s="25" t="s">
        <v>191</v>
      </c>
      <c r="E91" s="29">
        <v>0</v>
      </c>
      <c r="F91" s="29">
        <v>0</v>
      </c>
      <c r="G91" s="29">
        <v>0</v>
      </c>
      <c r="H91" s="29">
        <v>0</v>
      </c>
      <c r="I91" s="29">
        <v>0</v>
      </c>
      <c r="J91" s="29">
        <v>0</v>
      </c>
      <c r="K91" s="29">
        <v>0</v>
      </c>
      <c r="L91" s="29">
        <v>0</v>
      </c>
      <c r="M91" s="29">
        <v>0</v>
      </c>
      <c r="N91" s="29">
        <v>0</v>
      </c>
      <c r="O91" s="25"/>
      <c r="P91" s="27"/>
      <c r="Q91" s="28"/>
    </row>
    <row r="92" spans="1:17" ht="30" x14ac:dyDescent="0.25">
      <c r="A92" s="23" t="s">
        <v>224</v>
      </c>
      <c r="B92" s="24" t="s">
        <v>225</v>
      </c>
      <c r="C92" s="25"/>
      <c r="D92" s="25" t="s">
        <v>191</v>
      </c>
      <c r="E92" s="29">
        <v>0</v>
      </c>
      <c r="F92" s="29">
        <v>0</v>
      </c>
      <c r="G92" s="29">
        <v>0</v>
      </c>
      <c r="H92" s="29">
        <v>0</v>
      </c>
      <c r="I92" s="29">
        <v>0</v>
      </c>
      <c r="J92" s="29">
        <v>0</v>
      </c>
      <c r="K92" s="29">
        <v>0</v>
      </c>
      <c r="L92" s="29">
        <v>0</v>
      </c>
      <c r="M92" s="29">
        <v>0</v>
      </c>
      <c r="N92" s="29">
        <v>0</v>
      </c>
      <c r="O92" s="25"/>
      <c r="P92" s="27"/>
      <c r="Q92" s="28"/>
    </row>
    <row r="93" spans="1:17" x14ac:dyDescent="0.25">
      <c r="A93" s="23" t="s">
        <v>226</v>
      </c>
      <c r="B93" s="24" t="s">
        <v>227</v>
      </c>
      <c r="C93" s="25"/>
      <c r="D93" s="25" t="s">
        <v>191</v>
      </c>
      <c r="E93" s="29">
        <v>0</v>
      </c>
      <c r="F93" s="29">
        <v>0</v>
      </c>
      <c r="G93" s="29">
        <v>0</v>
      </c>
      <c r="H93" s="29">
        <v>0</v>
      </c>
      <c r="I93" s="29">
        <v>0</v>
      </c>
      <c r="J93" s="29">
        <v>0</v>
      </c>
      <c r="K93" s="29">
        <v>0</v>
      </c>
      <c r="L93" s="29">
        <v>0</v>
      </c>
      <c r="M93" s="29">
        <v>0</v>
      </c>
      <c r="N93" s="29">
        <v>0</v>
      </c>
      <c r="O93" s="25"/>
      <c r="P93" s="27"/>
      <c r="Q93" s="28"/>
    </row>
    <row r="94" spans="1:17" ht="42.75" x14ac:dyDescent="0.25">
      <c r="A94" s="11" t="s">
        <v>228</v>
      </c>
      <c r="B94" s="12" t="s">
        <v>229</v>
      </c>
      <c r="C94" s="13"/>
      <c r="D94" s="13"/>
      <c r="E94" s="14">
        <f t="shared" ref="E94:N94" si="30">E95+E106</f>
        <v>41400</v>
      </c>
      <c r="F94" s="14">
        <f t="shared" si="30"/>
        <v>41400</v>
      </c>
      <c r="G94" s="14">
        <f t="shared" si="30"/>
        <v>0</v>
      </c>
      <c r="H94" s="14">
        <f t="shared" si="30"/>
        <v>0</v>
      </c>
      <c r="I94" s="14">
        <f t="shared" si="30"/>
        <v>0</v>
      </c>
      <c r="J94" s="14">
        <f t="shared" si="30"/>
        <v>0</v>
      </c>
      <c r="K94" s="14">
        <f t="shared" si="30"/>
        <v>0</v>
      </c>
      <c r="L94" s="14">
        <f t="shared" si="30"/>
        <v>0</v>
      </c>
      <c r="M94" s="14">
        <f t="shared" si="30"/>
        <v>0</v>
      </c>
      <c r="N94" s="14">
        <f t="shared" si="30"/>
        <v>0</v>
      </c>
      <c r="O94" s="13"/>
      <c r="P94" s="15"/>
      <c r="Q94" s="16"/>
    </row>
    <row r="95" spans="1:17" ht="28.5" x14ac:dyDescent="0.25">
      <c r="A95" s="17" t="s">
        <v>230</v>
      </c>
      <c r="B95" s="18" t="s">
        <v>231</v>
      </c>
      <c r="C95" s="19"/>
      <c r="D95" s="19"/>
      <c r="E95" s="20">
        <f t="shared" ref="E95:N95" si="31">E96+E100+E102+E104</f>
        <v>36400</v>
      </c>
      <c r="F95" s="20">
        <f t="shared" si="31"/>
        <v>36400</v>
      </c>
      <c r="G95" s="20">
        <f t="shared" si="31"/>
        <v>0</v>
      </c>
      <c r="H95" s="20">
        <f t="shared" si="31"/>
        <v>0</v>
      </c>
      <c r="I95" s="20">
        <f t="shared" si="31"/>
        <v>0</v>
      </c>
      <c r="J95" s="20">
        <f t="shared" si="31"/>
        <v>0</v>
      </c>
      <c r="K95" s="20">
        <f t="shared" si="31"/>
        <v>0</v>
      </c>
      <c r="L95" s="20">
        <f t="shared" si="31"/>
        <v>0</v>
      </c>
      <c r="M95" s="20">
        <f t="shared" si="31"/>
        <v>0</v>
      </c>
      <c r="N95" s="20">
        <f t="shared" si="31"/>
        <v>0</v>
      </c>
      <c r="O95" s="19"/>
      <c r="P95" s="21"/>
      <c r="Q95" s="22"/>
    </row>
    <row r="96" spans="1:17" ht="30" x14ac:dyDescent="0.25">
      <c r="A96" s="23" t="s">
        <v>232</v>
      </c>
      <c r="B96" s="24" t="s">
        <v>233</v>
      </c>
      <c r="C96" s="25"/>
      <c r="D96" s="25" t="s">
        <v>234</v>
      </c>
      <c r="E96" s="26">
        <f>SUM(E97:E99)+8200</f>
        <v>8200</v>
      </c>
      <c r="F96" s="26">
        <f>SUM(F97:F99)+8200</f>
        <v>8200</v>
      </c>
      <c r="G96" s="26">
        <f t="shared" ref="G96:N96" si="32">SUM(G97:G99)</f>
        <v>0</v>
      </c>
      <c r="H96" s="26">
        <f t="shared" si="32"/>
        <v>0</v>
      </c>
      <c r="I96" s="26">
        <f t="shared" si="32"/>
        <v>0</v>
      </c>
      <c r="J96" s="26">
        <f t="shared" si="32"/>
        <v>0</v>
      </c>
      <c r="K96" s="26">
        <f t="shared" si="32"/>
        <v>0</v>
      </c>
      <c r="L96" s="26">
        <f t="shared" si="32"/>
        <v>0</v>
      </c>
      <c r="M96" s="26">
        <f t="shared" si="32"/>
        <v>0</v>
      </c>
      <c r="N96" s="26">
        <f t="shared" si="32"/>
        <v>0</v>
      </c>
      <c r="O96" s="25" t="s">
        <v>217</v>
      </c>
      <c r="P96" s="27" t="s">
        <v>32</v>
      </c>
      <c r="Q96" s="28" t="s">
        <v>235</v>
      </c>
    </row>
    <row r="97" spans="1:17" x14ac:dyDescent="0.25">
      <c r="A97" s="30"/>
      <c r="B97" s="31"/>
      <c r="C97" s="32"/>
      <c r="D97" s="32"/>
      <c r="E97" s="33">
        <v>0</v>
      </c>
      <c r="F97" s="33">
        <v>0</v>
      </c>
      <c r="G97" s="33">
        <v>0</v>
      </c>
      <c r="H97" s="33">
        <v>0</v>
      </c>
      <c r="I97" s="33">
        <v>0</v>
      </c>
      <c r="J97" s="33">
        <v>0</v>
      </c>
      <c r="K97" s="33">
        <v>0</v>
      </c>
      <c r="L97" s="33">
        <v>0</v>
      </c>
      <c r="M97" s="33">
        <v>0</v>
      </c>
      <c r="N97" s="33">
        <v>0</v>
      </c>
      <c r="O97" s="32" t="s">
        <v>236</v>
      </c>
      <c r="P97" s="34" t="s">
        <v>237</v>
      </c>
      <c r="Q97" s="35" t="s">
        <v>39</v>
      </c>
    </row>
    <row r="98" spans="1:17" x14ac:dyDescent="0.25">
      <c r="A98" s="23" t="s">
        <v>238</v>
      </c>
      <c r="B98" s="24" t="s">
        <v>239</v>
      </c>
      <c r="C98" s="25"/>
      <c r="D98" s="25" t="s">
        <v>234</v>
      </c>
      <c r="E98" s="29">
        <v>0</v>
      </c>
      <c r="F98" s="29">
        <v>0</v>
      </c>
      <c r="G98" s="29">
        <v>0</v>
      </c>
      <c r="H98" s="29">
        <v>0</v>
      </c>
      <c r="I98" s="29">
        <v>0</v>
      </c>
      <c r="J98" s="29">
        <v>0</v>
      </c>
      <c r="K98" s="29">
        <v>0</v>
      </c>
      <c r="L98" s="29">
        <v>0</v>
      </c>
      <c r="M98" s="29">
        <v>0</v>
      </c>
      <c r="N98" s="29">
        <v>0</v>
      </c>
      <c r="O98" s="25"/>
      <c r="P98" s="27"/>
      <c r="Q98" s="28"/>
    </row>
    <row r="99" spans="1:17" x14ac:dyDescent="0.25">
      <c r="A99" s="23" t="s">
        <v>240</v>
      </c>
      <c r="B99" s="24" t="s">
        <v>241</v>
      </c>
      <c r="C99" s="25"/>
      <c r="D99" s="25" t="s">
        <v>234</v>
      </c>
      <c r="E99" s="29">
        <v>0</v>
      </c>
      <c r="F99" s="29">
        <v>0</v>
      </c>
      <c r="G99" s="29">
        <v>0</v>
      </c>
      <c r="H99" s="29">
        <v>0</v>
      </c>
      <c r="I99" s="29">
        <v>0</v>
      </c>
      <c r="J99" s="29">
        <v>0</v>
      </c>
      <c r="K99" s="29">
        <v>0</v>
      </c>
      <c r="L99" s="29">
        <v>0</v>
      </c>
      <c r="M99" s="29">
        <v>0</v>
      </c>
      <c r="N99" s="29">
        <v>0</v>
      </c>
      <c r="O99" s="25"/>
      <c r="P99" s="27"/>
      <c r="Q99" s="28"/>
    </row>
    <row r="100" spans="1:17" ht="30" x14ac:dyDescent="0.25">
      <c r="A100" s="23" t="s">
        <v>242</v>
      </c>
      <c r="B100" s="24" t="s">
        <v>243</v>
      </c>
      <c r="C100" s="25"/>
      <c r="D100" s="25" t="s">
        <v>234</v>
      </c>
      <c r="E100" s="26">
        <f>SUM(E101:E101)+700</f>
        <v>700</v>
      </c>
      <c r="F100" s="26">
        <f>SUM(F101:F101)+700</f>
        <v>700</v>
      </c>
      <c r="G100" s="26">
        <f t="shared" ref="G100:N100" si="33">SUM(G101:G101)</f>
        <v>0</v>
      </c>
      <c r="H100" s="26">
        <f t="shared" si="33"/>
        <v>0</v>
      </c>
      <c r="I100" s="26">
        <f t="shared" si="33"/>
        <v>0</v>
      </c>
      <c r="J100" s="26">
        <f t="shared" si="33"/>
        <v>0</v>
      </c>
      <c r="K100" s="26">
        <f t="shared" si="33"/>
        <v>0</v>
      </c>
      <c r="L100" s="26">
        <f t="shared" si="33"/>
        <v>0</v>
      </c>
      <c r="M100" s="26">
        <f t="shared" si="33"/>
        <v>0</v>
      </c>
      <c r="N100" s="26">
        <f t="shared" si="33"/>
        <v>0</v>
      </c>
      <c r="O100" s="25" t="s">
        <v>244</v>
      </c>
      <c r="P100" s="27" t="s">
        <v>32</v>
      </c>
      <c r="Q100" s="28" t="s">
        <v>39</v>
      </c>
    </row>
    <row r="101" spans="1:17" x14ac:dyDescent="0.25">
      <c r="A101" s="23" t="s">
        <v>245</v>
      </c>
      <c r="B101" s="24" t="s">
        <v>246</v>
      </c>
      <c r="C101" s="25"/>
      <c r="D101" s="25" t="s">
        <v>234</v>
      </c>
      <c r="E101" s="29">
        <v>0</v>
      </c>
      <c r="F101" s="29">
        <v>0</v>
      </c>
      <c r="G101" s="29">
        <v>0</v>
      </c>
      <c r="H101" s="29">
        <v>0</v>
      </c>
      <c r="I101" s="29">
        <v>0</v>
      </c>
      <c r="J101" s="29">
        <v>0</v>
      </c>
      <c r="K101" s="29">
        <v>0</v>
      </c>
      <c r="L101" s="29">
        <v>0</v>
      </c>
      <c r="M101" s="29">
        <v>0</v>
      </c>
      <c r="N101" s="29">
        <v>0</v>
      </c>
      <c r="O101" s="25"/>
      <c r="P101" s="27"/>
      <c r="Q101" s="28"/>
    </row>
    <row r="102" spans="1:17" x14ac:dyDescent="0.25">
      <c r="A102" s="23" t="s">
        <v>247</v>
      </c>
      <c r="B102" s="24" t="s">
        <v>248</v>
      </c>
      <c r="C102" s="25"/>
      <c r="D102" s="25" t="s">
        <v>234</v>
      </c>
      <c r="E102" s="26">
        <f>SUM(E103:E103)+17500</f>
        <v>17500</v>
      </c>
      <c r="F102" s="26">
        <f>SUM(F103:F103)+17500</f>
        <v>17500</v>
      </c>
      <c r="G102" s="26">
        <f t="shared" ref="G102:N102" si="34">SUM(G103:G103)</f>
        <v>0</v>
      </c>
      <c r="H102" s="26">
        <f t="shared" si="34"/>
        <v>0</v>
      </c>
      <c r="I102" s="26">
        <f t="shared" si="34"/>
        <v>0</v>
      </c>
      <c r="J102" s="26">
        <f t="shared" si="34"/>
        <v>0</v>
      </c>
      <c r="K102" s="26">
        <f t="shared" si="34"/>
        <v>0</v>
      </c>
      <c r="L102" s="26">
        <f t="shared" si="34"/>
        <v>0</v>
      </c>
      <c r="M102" s="26">
        <f t="shared" si="34"/>
        <v>0</v>
      </c>
      <c r="N102" s="26">
        <f t="shared" si="34"/>
        <v>0</v>
      </c>
      <c r="O102" s="25" t="s">
        <v>249</v>
      </c>
      <c r="P102" s="27" t="s">
        <v>32</v>
      </c>
      <c r="Q102" s="28" t="s">
        <v>250</v>
      </c>
    </row>
    <row r="103" spans="1:17" x14ac:dyDescent="0.25">
      <c r="A103" s="23" t="s">
        <v>251</v>
      </c>
      <c r="B103" s="24" t="s">
        <v>252</v>
      </c>
      <c r="C103" s="25"/>
      <c r="D103" s="25" t="s">
        <v>234</v>
      </c>
      <c r="E103" s="29">
        <v>0</v>
      </c>
      <c r="F103" s="29">
        <v>0</v>
      </c>
      <c r="G103" s="29">
        <v>0</v>
      </c>
      <c r="H103" s="29">
        <v>0</v>
      </c>
      <c r="I103" s="29">
        <v>0</v>
      </c>
      <c r="J103" s="29">
        <v>0</v>
      </c>
      <c r="K103" s="29">
        <v>0</v>
      </c>
      <c r="L103" s="29">
        <v>0</v>
      </c>
      <c r="M103" s="29">
        <v>0</v>
      </c>
      <c r="N103" s="29">
        <v>0</v>
      </c>
      <c r="O103" s="25"/>
      <c r="P103" s="27"/>
      <c r="Q103" s="28"/>
    </row>
    <row r="104" spans="1:17" ht="30" x14ac:dyDescent="0.25">
      <c r="A104" s="23" t="s">
        <v>253</v>
      </c>
      <c r="B104" s="24" t="s">
        <v>254</v>
      </c>
      <c r="C104" s="25"/>
      <c r="D104" s="25" t="s">
        <v>234</v>
      </c>
      <c r="E104" s="26">
        <f>SUM(E105:E105)+10000</f>
        <v>10000</v>
      </c>
      <c r="F104" s="26">
        <f>SUM(F105:F105)+10000</f>
        <v>10000</v>
      </c>
      <c r="G104" s="26">
        <f t="shared" ref="G104:N104" si="35">SUM(G105:G105)</f>
        <v>0</v>
      </c>
      <c r="H104" s="26">
        <f t="shared" si="35"/>
        <v>0</v>
      </c>
      <c r="I104" s="26">
        <f t="shared" si="35"/>
        <v>0</v>
      </c>
      <c r="J104" s="26">
        <f t="shared" si="35"/>
        <v>0</v>
      </c>
      <c r="K104" s="26">
        <f t="shared" si="35"/>
        <v>0</v>
      </c>
      <c r="L104" s="26">
        <f t="shared" si="35"/>
        <v>0</v>
      </c>
      <c r="M104" s="26">
        <f t="shared" si="35"/>
        <v>0</v>
      </c>
      <c r="N104" s="26">
        <f t="shared" si="35"/>
        <v>0</v>
      </c>
      <c r="O104" s="25" t="s">
        <v>255</v>
      </c>
      <c r="P104" s="27" t="s">
        <v>32</v>
      </c>
      <c r="Q104" s="28" t="s">
        <v>39</v>
      </c>
    </row>
    <row r="105" spans="1:17" x14ac:dyDescent="0.25">
      <c r="A105" s="23" t="s">
        <v>256</v>
      </c>
      <c r="B105" s="24" t="s">
        <v>257</v>
      </c>
      <c r="C105" s="25"/>
      <c r="D105" s="25" t="s">
        <v>234</v>
      </c>
      <c r="E105" s="29">
        <v>0</v>
      </c>
      <c r="F105" s="29">
        <v>0</v>
      </c>
      <c r="G105" s="29">
        <v>0</v>
      </c>
      <c r="H105" s="29">
        <v>0</v>
      </c>
      <c r="I105" s="29">
        <v>0</v>
      </c>
      <c r="J105" s="29">
        <v>0</v>
      </c>
      <c r="K105" s="29">
        <v>0</v>
      </c>
      <c r="L105" s="29">
        <v>0</v>
      </c>
      <c r="M105" s="29">
        <v>0</v>
      </c>
      <c r="N105" s="29">
        <v>0</v>
      </c>
      <c r="O105" s="25"/>
      <c r="P105" s="27"/>
      <c r="Q105" s="28"/>
    </row>
    <row r="106" spans="1:17" ht="28.5" x14ac:dyDescent="0.25">
      <c r="A106" s="17" t="s">
        <v>258</v>
      </c>
      <c r="B106" s="18" t="s">
        <v>259</v>
      </c>
      <c r="C106" s="19"/>
      <c r="D106" s="19"/>
      <c r="E106" s="20">
        <f t="shared" ref="E106:N106" si="36">SUM(E107:E107)</f>
        <v>5000</v>
      </c>
      <c r="F106" s="20">
        <f t="shared" si="36"/>
        <v>5000</v>
      </c>
      <c r="G106" s="20">
        <f t="shared" si="36"/>
        <v>0</v>
      </c>
      <c r="H106" s="20">
        <f t="shared" si="36"/>
        <v>0</v>
      </c>
      <c r="I106" s="20">
        <f t="shared" si="36"/>
        <v>0</v>
      </c>
      <c r="J106" s="20">
        <f t="shared" si="36"/>
        <v>0</v>
      </c>
      <c r="K106" s="20">
        <f t="shared" si="36"/>
        <v>0</v>
      </c>
      <c r="L106" s="20">
        <f t="shared" si="36"/>
        <v>0</v>
      </c>
      <c r="M106" s="20">
        <f t="shared" si="36"/>
        <v>0</v>
      </c>
      <c r="N106" s="20">
        <f t="shared" si="36"/>
        <v>0</v>
      </c>
      <c r="O106" s="19"/>
      <c r="P106" s="21"/>
      <c r="Q106" s="22"/>
    </row>
    <row r="107" spans="1:17" x14ac:dyDescent="0.25">
      <c r="A107" s="23" t="s">
        <v>260</v>
      </c>
      <c r="B107" s="24" t="s">
        <v>261</v>
      </c>
      <c r="C107" s="25"/>
      <c r="D107" s="25" t="s">
        <v>234</v>
      </c>
      <c r="E107" s="26">
        <f>SUM(E108:E108)+5000</f>
        <v>5000</v>
      </c>
      <c r="F107" s="26">
        <f>SUM(F108:F108)+5000</f>
        <v>5000</v>
      </c>
      <c r="G107" s="26">
        <f t="shared" ref="G107:N107" si="37">SUM(G108:G108)</f>
        <v>0</v>
      </c>
      <c r="H107" s="26">
        <f t="shared" si="37"/>
        <v>0</v>
      </c>
      <c r="I107" s="26">
        <f t="shared" si="37"/>
        <v>0</v>
      </c>
      <c r="J107" s="26">
        <f t="shared" si="37"/>
        <v>0</v>
      </c>
      <c r="K107" s="26">
        <f t="shared" si="37"/>
        <v>0</v>
      </c>
      <c r="L107" s="26">
        <f t="shared" si="37"/>
        <v>0</v>
      </c>
      <c r="M107" s="26">
        <f t="shared" si="37"/>
        <v>0</v>
      </c>
      <c r="N107" s="26">
        <f t="shared" si="37"/>
        <v>0</v>
      </c>
      <c r="O107" s="25" t="s">
        <v>262</v>
      </c>
      <c r="P107" s="27" t="s">
        <v>32</v>
      </c>
      <c r="Q107" s="28" t="s">
        <v>171</v>
      </c>
    </row>
    <row r="108" spans="1:17" x14ac:dyDescent="0.25">
      <c r="A108" s="23" t="s">
        <v>263</v>
      </c>
      <c r="B108" s="24" t="s">
        <v>264</v>
      </c>
      <c r="C108" s="25"/>
      <c r="D108" s="25" t="s">
        <v>234</v>
      </c>
      <c r="E108" s="29">
        <v>0</v>
      </c>
      <c r="F108" s="29">
        <v>0</v>
      </c>
      <c r="G108" s="29">
        <v>0</v>
      </c>
      <c r="H108" s="29">
        <v>0</v>
      </c>
      <c r="I108" s="29">
        <v>0</v>
      </c>
      <c r="J108" s="29">
        <v>0</v>
      </c>
      <c r="K108" s="29">
        <v>0</v>
      </c>
      <c r="L108" s="29">
        <v>0</v>
      </c>
      <c r="M108" s="29">
        <v>0</v>
      </c>
      <c r="N108" s="29">
        <v>0</v>
      </c>
      <c r="O108" s="25"/>
      <c r="P108" s="27"/>
      <c r="Q108" s="28"/>
    </row>
    <row r="109" spans="1:17" x14ac:dyDescent="0.25">
      <c r="A109" s="11" t="s">
        <v>265</v>
      </c>
      <c r="B109" s="12" t="s">
        <v>266</v>
      </c>
      <c r="C109" s="13"/>
      <c r="D109" s="13" t="s">
        <v>267</v>
      </c>
      <c r="E109" s="14">
        <f t="shared" ref="E109:N110" si="38">SUM(E110:E110)</f>
        <v>30000</v>
      </c>
      <c r="F109" s="14">
        <f t="shared" si="38"/>
        <v>30000</v>
      </c>
      <c r="G109" s="14">
        <f t="shared" si="38"/>
        <v>0</v>
      </c>
      <c r="H109" s="14">
        <f t="shared" si="38"/>
        <v>0</v>
      </c>
      <c r="I109" s="14">
        <f t="shared" si="38"/>
        <v>0</v>
      </c>
      <c r="J109" s="14">
        <f t="shared" si="38"/>
        <v>0</v>
      </c>
      <c r="K109" s="14">
        <f t="shared" si="38"/>
        <v>0</v>
      </c>
      <c r="L109" s="14">
        <f t="shared" si="38"/>
        <v>0</v>
      </c>
      <c r="M109" s="14">
        <f t="shared" si="38"/>
        <v>0</v>
      </c>
      <c r="N109" s="14">
        <f t="shared" si="38"/>
        <v>0</v>
      </c>
      <c r="O109" s="13"/>
      <c r="P109" s="15"/>
      <c r="Q109" s="16"/>
    </row>
    <row r="110" spans="1:17" x14ac:dyDescent="0.25">
      <c r="A110" s="17" t="s">
        <v>268</v>
      </c>
      <c r="B110" s="18" t="s">
        <v>269</v>
      </c>
      <c r="C110" s="19"/>
      <c r="D110" s="19"/>
      <c r="E110" s="20">
        <f t="shared" si="38"/>
        <v>30000</v>
      </c>
      <c r="F110" s="20">
        <f t="shared" si="38"/>
        <v>30000</v>
      </c>
      <c r="G110" s="20">
        <f t="shared" si="38"/>
        <v>0</v>
      </c>
      <c r="H110" s="20">
        <f t="shared" si="38"/>
        <v>0</v>
      </c>
      <c r="I110" s="20">
        <f t="shared" si="38"/>
        <v>0</v>
      </c>
      <c r="J110" s="20">
        <f t="shared" si="38"/>
        <v>0</v>
      </c>
      <c r="K110" s="20">
        <f t="shared" si="38"/>
        <v>0</v>
      </c>
      <c r="L110" s="20">
        <f t="shared" si="38"/>
        <v>0</v>
      </c>
      <c r="M110" s="20">
        <f t="shared" si="38"/>
        <v>0</v>
      </c>
      <c r="N110" s="20">
        <f t="shared" si="38"/>
        <v>0</v>
      </c>
      <c r="O110" s="19"/>
      <c r="P110" s="21"/>
      <c r="Q110" s="22"/>
    </row>
    <row r="111" spans="1:17" ht="30" x14ac:dyDescent="0.25">
      <c r="A111" s="23" t="s">
        <v>270</v>
      </c>
      <c r="B111" s="24" t="s">
        <v>271</v>
      </c>
      <c r="C111" s="25"/>
      <c r="D111" s="25" t="s">
        <v>267</v>
      </c>
      <c r="E111" s="26">
        <f>SUM(E112:E117)+30000</f>
        <v>30000</v>
      </c>
      <c r="F111" s="26">
        <f>SUM(F112:F117)+30000</f>
        <v>30000</v>
      </c>
      <c r="G111" s="26">
        <f t="shared" ref="G111:N111" si="39">SUM(G112:G117)</f>
        <v>0</v>
      </c>
      <c r="H111" s="26">
        <f t="shared" si="39"/>
        <v>0</v>
      </c>
      <c r="I111" s="26">
        <f t="shared" si="39"/>
        <v>0</v>
      </c>
      <c r="J111" s="26">
        <f t="shared" si="39"/>
        <v>0</v>
      </c>
      <c r="K111" s="26">
        <f t="shared" si="39"/>
        <v>0</v>
      </c>
      <c r="L111" s="26">
        <f t="shared" si="39"/>
        <v>0</v>
      </c>
      <c r="M111" s="26">
        <f t="shared" si="39"/>
        <v>0</v>
      </c>
      <c r="N111" s="26">
        <f t="shared" si="39"/>
        <v>0</v>
      </c>
      <c r="O111" s="25" t="s">
        <v>272</v>
      </c>
      <c r="P111" s="27" t="s">
        <v>32</v>
      </c>
      <c r="Q111" s="28" t="s">
        <v>171</v>
      </c>
    </row>
    <row r="112" spans="1:17" x14ac:dyDescent="0.25">
      <c r="A112" s="30"/>
      <c r="B112" s="31"/>
      <c r="C112" s="32"/>
      <c r="D112" s="32"/>
      <c r="E112" s="33">
        <v>0</v>
      </c>
      <c r="F112" s="33">
        <v>0</v>
      </c>
      <c r="G112" s="33">
        <v>0</v>
      </c>
      <c r="H112" s="33">
        <v>0</v>
      </c>
      <c r="I112" s="33">
        <v>0</v>
      </c>
      <c r="J112" s="33">
        <v>0</v>
      </c>
      <c r="K112" s="33">
        <v>0</v>
      </c>
      <c r="L112" s="33">
        <v>0</v>
      </c>
      <c r="M112" s="33">
        <v>0</v>
      </c>
      <c r="N112" s="33">
        <v>0</v>
      </c>
      <c r="O112" s="32" t="s">
        <v>273</v>
      </c>
      <c r="P112" s="34" t="s">
        <v>32</v>
      </c>
      <c r="Q112" s="35" t="s">
        <v>144</v>
      </c>
    </row>
    <row r="113" spans="1:17" x14ac:dyDescent="0.25">
      <c r="A113" s="30"/>
      <c r="B113" s="31"/>
      <c r="C113" s="32"/>
      <c r="D113" s="32"/>
      <c r="E113" s="33">
        <v>0</v>
      </c>
      <c r="F113" s="33">
        <v>0</v>
      </c>
      <c r="G113" s="33">
        <v>0</v>
      </c>
      <c r="H113" s="33">
        <v>0</v>
      </c>
      <c r="I113" s="33">
        <v>0</v>
      </c>
      <c r="J113" s="33">
        <v>0</v>
      </c>
      <c r="K113" s="33">
        <v>0</v>
      </c>
      <c r="L113" s="33">
        <v>0</v>
      </c>
      <c r="M113" s="33">
        <v>0</v>
      </c>
      <c r="N113" s="33">
        <v>0</v>
      </c>
      <c r="O113" s="32" t="s">
        <v>274</v>
      </c>
      <c r="P113" s="34" t="s">
        <v>32</v>
      </c>
      <c r="Q113" s="35" t="s">
        <v>275</v>
      </c>
    </row>
    <row r="114" spans="1:17" x14ac:dyDescent="0.25">
      <c r="A114" s="30"/>
      <c r="B114" s="31"/>
      <c r="C114" s="32"/>
      <c r="D114" s="32"/>
      <c r="E114" s="33">
        <v>0</v>
      </c>
      <c r="F114" s="33">
        <v>0</v>
      </c>
      <c r="G114" s="33">
        <v>0</v>
      </c>
      <c r="H114" s="33">
        <v>0</v>
      </c>
      <c r="I114" s="33">
        <v>0</v>
      </c>
      <c r="J114" s="33">
        <v>0</v>
      </c>
      <c r="K114" s="33">
        <v>0</v>
      </c>
      <c r="L114" s="33">
        <v>0</v>
      </c>
      <c r="M114" s="33">
        <v>0</v>
      </c>
      <c r="N114" s="33">
        <v>0</v>
      </c>
      <c r="O114" s="32" t="s">
        <v>276</v>
      </c>
      <c r="P114" s="34" t="s">
        <v>32</v>
      </c>
      <c r="Q114" s="35" t="s">
        <v>144</v>
      </c>
    </row>
    <row r="115" spans="1:17" x14ac:dyDescent="0.25">
      <c r="A115" s="23" t="s">
        <v>277</v>
      </c>
      <c r="B115" s="24" t="s">
        <v>278</v>
      </c>
      <c r="C115" s="25"/>
      <c r="D115" s="25"/>
      <c r="E115" s="29">
        <v>0</v>
      </c>
      <c r="F115" s="29">
        <v>0</v>
      </c>
      <c r="G115" s="29">
        <v>0</v>
      </c>
      <c r="H115" s="29">
        <v>0</v>
      </c>
      <c r="I115" s="29">
        <v>0</v>
      </c>
      <c r="J115" s="29">
        <v>0</v>
      </c>
      <c r="K115" s="29">
        <v>0</v>
      </c>
      <c r="L115" s="29">
        <v>0</v>
      </c>
      <c r="M115" s="29">
        <v>0</v>
      </c>
      <c r="N115" s="29">
        <v>0</v>
      </c>
      <c r="O115" s="25"/>
      <c r="P115" s="27"/>
      <c r="Q115" s="28"/>
    </row>
    <row r="116" spans="1:17" x14ac:dyDescent="0.25">
      <c r="A116" s="23" t="s">
        <v>279</v>
      </c>
      <c r="B116" s="24" t="s">
        <v>280</v>
      </c>
      <c r="C116" s="25"/>
      <c r="D116" s="25"/>
      <c r="E116" s="29">
        <v>0</v>
      </c>
      <c r="F116" s="29">
        <v>0</v>
      </c>
      <c r="G116" s="29">
        <v>0</v>
      </c>
      <c r="H116" s="29">
        <v>0</v>
      </c>
      <c r="I116" s="29">
        <v>0</v>
      </c>
      <c r="J116" s="29">
        <v>0</v>
      </c>
      <c r="K116" s="29">
        <v>0</v>
      </c>
      <c r="L116" s="29">
        <v>0</v>
      </c>
      <c r="M116" s="29">
        <v>0</v>
      </c>
      <c r="N116" s="29">
        <v>0</v>
      </c>
      <c r="O116" s="25"/>
      <c r="P116" s="27"/>
      <c r="Q116" s="28"/>
    </row>
    <row r="117" spans="1:17" x14ac:dyDescent="0.25">
      <c r="A117" s="23" t="s">
        <v>281</v>
      </c>
      <c r="B117" s="24" t="s">
        <v>282</v>
      </c>
      <c r="C117" s="25"/>
      <c r="D117" s="25"/>
      <c r="E117" s="29">
        <v>0</v>
      </c>
      <c r="F117" s="29">
        <v>0</v>
      </c>
      <c r="G117" s="29">
        <v>0</v>
      </c>
      <c r="H117" s="29">
        <v>0</v>
      </c>
      <c r="I117" s="29">
        <v>0</v>
      </c>
      <c r="J117" s="29">
        <v>0</v>
      </c>
      <c r="K117" s="29">
        <v>0</v>
      </c>
      <c r="L117" s="29">
        <v>0</v>
      </c>
      <c r="M117" s="29">
        <v>0</v>
      </c>
      <c r="N117" s="29">
        <v>0</v>
      </c>
      <c r="O117" s="25"/>
      <c r="P117" s="27"/>
      <c r="Q117" s="28"/>
    </row>
    <row r="118" spans="1:17" ht="28.5" x14ac:dyDescent="0.25">
      <c r="A118" s="11" t="s">
        <v>283</v>
      </c>
      <c r="B118" s="12" t="s">
        <v>284</v>
      </c>
      <c r="C118" s="13"/>
      <c r="D118" s="13" t="s">
        <v>267</v>
      </c>
      <c r="E118" s="14">
        <f t="shared" ref="E118:N119" si="40">SUM(E119:E119)</f>
        <v>15000</v>
      </c>
      <c r="F118" s="14">
        <f t="shared" si="40"/>
        <v>15000</v>
      </c>
      <c r="G118" s="14">
        <f t="shared" si="40"/>
        <v>0</v>
      </c>
      <c r="H118" s="14">
        <f t="shared" si="40"/>
        <v>0</v>
      </c>
      <c r="I118" s="14">
        <f t="shared" si="40"/>
        <v>0</v>
      </c>
      <c r="J118" s="14">
        <f t="shared" si="40"/>
        <v>0</v>
      </c>
      <c r="K118" s="14">
        <f t="shared" si="40"/>
        <v>0</v>
      </c>
      <c r="L118" s="14">
        <f t="shared" si="40"/>
        <v>0</v>
      </c>
      <c r="M118" s="14">
        <f t="shared" si="40"/>
        <v>0</v>
      </c>
      <c r="N118" s="14">
        <f t="shared" si="40"/>
        <v>0</v>
      </c>
      <c r="O118" s="13"/>
      <c r="P118" s="15"/>
      <c r="Q118" s="16"/>
    </row>
    <row r="119" spans="1:17" x14ac:dyDescent="0.25">
      <c r="A119" s="17" t="s">
        <v>285</v>
      </c>
      <c r="B119" s="18" t="s">
        <v>286</v>
      </c>
      <c r="C119" s="19"/>
      <c r="D119" s="19"/>
      <c r="E119" s="20">
        <f t="shared" si="40"/>
        <v>15000</v>
      </c>
      <c r="F119" s="20">
        <f t="shared" si="40"/>
        <v>15000</v>
      </c>
      <c r="G119" s="20">
        <f t="shared" si="40"/>
        <v>0</v>
      </c>
      <c r="H119" s="20">
        <f t="shared" si="40"/>
        <v>0</v>
      </c>
      <c r="I119" s="20">
        <f t="shared" si="40"/>
        <v>0</v>
      </c>
      <c r="J119" s="20">
        <f t="shared" si="40"/>
        <v>0</v>
      </c>
      <c r="K119" s="20">
        <f t="shared" si="40"/>
        <v>0</v>
      </c>
      <c r="L119" s="20">
        <f t="shared" si="40"/>
        <v>0</v>
      </c>
      <c r="M119" s="20">
        <f t="shared" si="40"/>
        <v>0</v>
      </c>
      <c r="N119" s="20">
        <f t="shared" si="40"/>
        <v>0</v>
      </c>
      <c r="O119" s="19"/>
      <c r="P119" s="21"/>
      <c r="Q119" s="22"/>
    </row>
    <row r="120" spans="1:17" ht="30" x14ac:dyDescent="0.25">
      <c r="A120" s="23" t="s">
        <v>287</v>
      </c>
      <c r="B120" s="24" t="s">
        <v>288</v>
      </c>
      <c r="C120" s="25"/>
      <c r="D120" s="25" t="s">
        <v>267</v>
      </c>
      <c r="E120" s="26">
        <f>SUM(E121:E129)+15000</f>
        <v>15000</v>
      </c>
      <c r="F120" s="26">
        <f>SUM(F121:F129)+15000</f>
        <v>15000</v>
      </c>
      <c r="G120" s="26">
        <f t="shared" ref="G120:N120" si="41">SUM(G121:G129)</f>
        <v>0</v>
      </c>
      <c r="H120" s="26">
        <f t="shared" si="41"/>
        <v>0</v>
      </c>
      <c r="I120" s="26">
        <f t="shared" si="41"/>
        <v>0</v>
      </c>
      <c r="J120" s="26">
        <f t="shared" si="41"/>
        <v>0</v>
      </c>
      <c r="K120" s="26">
        <f t="shared" si="41"/>
        <v>0</v>
      </c>
      <c r="L120" s="26">
        <f t="shared" si="41"/>
        <v>0</v>
      </c>
      <c r="M120" s="26">
        <f t="shared" si="41"/>
        <v>0</v>
      </c>
      <c r="N120" s="26">
        <f t="shared" si="41"/>
        <v>0</v>
      </c>
      <c r="O120" s="25" t="s">
        <v>289</v>
      </c>
      <c r="P120" s="27" t="s">
        <v>32</v>
      </c>
      <c r="Q120" s="28" t="s">
        <v>69</v>
      </c>
    </row>
    <row r="121" spans="1:17" x14ac:dyDescent="0.25">
      <c r="A121" s="30"/>
      <c r="B121" s="31"/>
      <c r="C121" s="32"/>
      <c r="D121" s="32"/>
      <c r="E121" s="33">
        <v>0</v>
      </c>
      <c r="F121" s="33">
        <v>0</v>
      </c>
      <c r="G121" s="33">
        <v>0</v>
      </c>
      <c r="H121" s="33">
        <v>0</v>
      </c>
      <c r="I121" s="33">
        <v>0</v>
      </c>
      <c r="J121" s="33">
        <v>0</v>
      </c>
      <c r="K121" s="33">
        <v>0</v>
      </c>
      <c r="L121" s="33">
        <v>0</v>
      </c>
      <c r="M121" s="33">
        <v>0</v>
      </c>
      <c r="N121" s="33">
        <v>0</v>
      </c>
      <c r="O121" s="32" t="s">
        <v>290</v>
      </c>
      <c r="P121" s="34" t="s">
        <v>32</v>
      </c>
      <c r="Q121" s="35" t="s">
        <v>114</v>
      </c>
    </row>
    <row r="122" spans="1:17" x14ac:dyDescent="0.25">
      <c r="A122" s="30"/>
      <c r="B122" s="31"/>
      <c r="C122" s="32"/>
      <c r="D122" s="32"/>
      <c r="E122" s="33">
        <v>0</v>
      </c>
      <c r="F122" s="33">
        <v>0</v>
      </c>
      <c r="G122" s="33">
        <v>0</v>
      </c>
      <c r="H122" s="33">
        <v>0</v>
      </c>
      <c r="I122" s="33">
        <v>0</v>
      </c>
      <c r="J122" s="33">
        <v>0</v>
      </c>
      <c r="K122" s="33">
        <v>0</v>
      </c>
      <c r="L122" s="33">
        <v>0</v>
      </c>
      <c r="M122" s="33">
        <v>0</v>
      </c>
      <c r="N122" s="33">
        <v>0</v>
      </c>
      <c r="O122" s="32" t="s">
        <v>291</v>
      </c>
      <c r="P122" s="34" t="s">
        <v>32</v>
      </c>
      <c r="Q122" s="35" t="s">
        <v>275</v>
      </c>
    </row>
    <row r="123" spans="1:17" x14ac:dyDescent="0.25">
      <c r="A123" s="30"/>
      <c r="B123" s="31"/>
      <c r="C123" s="32"/>
      <c r="D123" s="32"/>
      <c r="E123" s="33">
        <v>0</v>
      </c>
      <c r="F123" s="33">
        <v>0</v>
      </c>
      <c r="G123" s="33">
        <v>0</v>
      </c>
      <c r="H123" s="33">
        <v>0</v>
      </c>
      <c r="I123" s="33">
        <v>0</v>
      </c>
      <c r="J123" s="33">
        <v>0</v>
      </c>
      <c r="K123" s="33">
        <v>0</v>
      </c>
      <c r="L123" s="33">
        <v>0</v>
      </c>
      <c r="M123" s="33">
        <v>0</v>
      </c>
      <c r="N123" s="33">
        <v>0</v>
      </c>
      <c r="O123" s="32" t="s">
        <v>292</v>
      </c>
      <c r="P123" s="34" t="s">
        <v>32</v>
      </c>
      <c r="Q123" s="35" t="s">
        <v>293</v>
      </c>
    </row>
    <row r="124" spans="1:17" x14ac:dyDescent="0.25">
      <c r="A124" s="30"/>
      <c r="B124" s="31"/>
      <c r="C124" s="32"/>
      <c r="D124" s="32"/>
      <c r="E124" s="33">
        <v>0</v>
      </c>
      <c r="F124" s="33">
        <v>0</v>
      </c>
      <c r="G124" s="33">
        <v>0</v>
      </c>
      <c r="H124" s="33">
        <v>0</v>
      </c>
      <c r="I124" s="33">
        <v>0</v>
      </c>
      <c r="J124" s="33">
        <v>0</v>
      </c>
      <c r="K124" s="33">
        <v>0</v>
      </c>
      <c r="L124" s="33">
        <v>0</v>
      </c>
      <c r="M124" s="33">
        <v>0</v>
      </c>
      <c r="N124" s="33">
        <v>0</v>
      </c>
      <c r="O124" s="32" t="s">
        <v>294</v>
      </c>
      <c r="P124" s="34" t="s">
        <v>32</v>
      </c>
      <c r="Q124" s="35" t="s">
        <v>114</v>
      </c>
    </row>
    <row r="125" spans="1:17" ht="30" x14ac:dyDescent="0.25">
      <c r="A125" s="23" t="s">
        <v>295</v>
      </c>
      <c r="B125" s="24" t="s">
        <v>296</v>
      </c>
      <c r="C125" s="25"/>
      <c r="D125" s="25"/>
      <c r="E125" s="29">
        <v>0</v>
      </c>
      <c r="F125" s="29">
        <v>0</v>
      </c>
      <c r="G125" s="29">
        <v>0</v>
      </c>
      <c r="H125" s="29">
        <v>0</v>
      </c>
      <c r="I125" s="29">
        <v>0</v>
      </c>
      <c r="J125" s="29">
        <v>0</v>
      </c>
      <c r="K125" s="29">
        <v>0</v>
      </c>
      <c r="L125" s="29">
        <v>0</v>
      </c>
      <c r="M125" s="29">
        <v>0</v>
      </c>
      <c r="N125" s="29">
        <v>0</v>
      </c>
      <c r="O125" s="25"/>
      <c r="P125" s="27"/>
      <c r="Q125" s="28"/>
    </row>
    <row r="126" spans="1:17" x14ac:dyDescent="0.25">
      <c r="A126" s="23" t="s">
        <v>297</v>
      </c>
      <c r="B126" s="24" t="s">
        <v>298</v>
      </c>
      <c r="C126" s="25"/>
      <c r="D126" s="25"/>
      <c r="E126" s="29">
        <v>0</v>
      </c>
      <c r="F126" s="29">
        <v>0</v>
      </c>
      <c r="G126" s="29">
        <v>0</v>
      </c>
      <c r="H126" s="29">
        <v>0</v>
      </c>
      <c r="I126" s="29">
        <v>0</v>
      </c>
      <c r="J126" s="29">
        <v>0</v>
      </c>
      <c r="K126" s="29">
        <v>0</v>
      </c>
      <c r="L126" s="29">
        <v>0</v>
      </c>
      <c r="M126" s="29">
        <v>0</v>
      </c>
      <c r="N126" s="29">
        <v>0</v>
      </c>
      <c r="O126" s="25"/>
      <c r="P126" s="27"/>
      <c r="Q126" s="28"/>
    </row>
    <row r="127" spans="1:17" x14ac:dyDescent="0.25">
      <c r="A127" s="23" t="s">
        <v>299</v>
      </c>
      <c r="B127" s="24" t="s">
        <v>300</v>
      </c>
      <c r="C127" s="25"/>
      <c r="D127" s="25"/>
      <c r="E127" s="29">
        <v>0</v>
      </c>
      <c r="F127" s="29">
        <v>0</v>
      </c>
      <c r="G127" s="29">
        <v>0</v>
      </c>
      <c r="H127" s="29">
        <v>0</v>
      </c>
      <c r="I127" s="29">
        <v>0</v>
      </c>
      <c r="J127" s="29">
        <v>0</v>
      </c>
      <c r="K127" s="29">
        <v>0</v>
      </c>
      <c r="L127" s="29">
        <v>0</v>
      </c>
      <c r="M127" s="29">
        <v>0</v>
      </c>
      <c r="N127" s="29">
        <v>0</v>
      </c>
      <c r="O127" s="25"/>
      <c r="P127" s="27"/>
      <c r="Q127" s="28"/>
    </row>
    <row r="128" spans="1:17" x14ac:dyDescent="0.25">
      <c r="A128" s="23" t="s">
        <v>301</v>
      </c>
      <c r="B128" s="24" t="s">
        <v>302</v>
      </c>
      <c r="C128" s="25"/>
      <c r="D128" s="25"/>
      <c r="E128" s="29">
        <v>0</v>
      </c>
      <c r="F128" s="29">
        <v>0</v>
      </c>
      <c r="G128" s="29">
        <v>0</v>
      </c>
      <c r="H128" s="29">
        <v>0</v>
      </c>
      <c r="I128" s="29">
        <v>0</v>
      </c>
      <c r="J128" s="29">
        <v>0</v>
      </c>
      <c r="K128" s="29">
        <v>0</v>
      </c>
      <c r="L128" s="29">
        <v>0</v>
      </c>
      <c r="M128" s="29">
        <v>0</v>
      </c>
      <c r="N128" s="29">
        <v>0</v>
      </c>
      <c r="O128" s="25"/>
      <c r="P128" s="27"/>
      <c r="Q128" s="28"/>
    </row>
    <row r="129" spans="1:17" x14ac:dyDescent="0.25">
      <c r="A129" s="23" t="s">
        <v>303</v>
      </c>
      <c r="B129" s="24" t="s">
        <v>304</v>
      </c>
      <c r="C129" s="25"/>
      <c r="D129" s="25"/>
      <c r="E129" s="29">
        <v>0</v>
      </c>
      <c r="F129" s="29">
        <v>0</v>
      </c>
      <c r="G129" s="29">
        <v>0</v>
      </c>
      <c r="H129" s="29">
        <v>0</v>
      </c>
      <c r="I129" s="29">
        <v>0</v>
      </c>
      <c r="J129" s="29">
        <v>0</v>
      </c>
      <c r="K129" s="29">
        <v>0</v>
      </c>
      <c r="L129" s="29">
        <v>0</v>
      </c>
      <c r="M129" s="29">
        <v>0</v>
      </c>
      <c r="N129" s="29">
        <v>0</v>
      </c>
      <c r="O129" s="25"/>
      <c r="P129" s="27"/>
      <c r="Q129" s="28"/>
    </row>
    <row r="130" spans="1:17" x14ac:dyDescent="0.25">
      <c r="A130" s="5" t="s">
        <v>305</v>
      </c>
      <c r="B130" s="6" t="s">
        <v>306</v>
      </c>
      <c r="C130" s="7"/>
      <c r="D130" s="7" t="s">
        <v>307</v>
      </c>
      <c r="E130" s="8">
        <f t="shared" ref="E130:N130" si="42">SUM(E131:E131)</f>
        <v>4334720</v>
      </c>
      <c r="F130" s="8">
        <f t="shared" si="42"/>
        <v>3993376</v>
      </c>
      <c r="G130" s="8">
        <f t="shared" si="42"/>
        <v>8600</v>
      </c>
      <c r="H130" s="8">
        <f t="shared" si="42"/>
        <v>0</v>
      </c>
      <c r="I130" s="8">
        <f t="shared" si="42"/>
        <v>332744</v>
      </c>
      <c r="J130" s="8">
        <f t="shared" si="42"/>
        <v>0</v>
      </c>
      <c r="K130" s="8">
        <f t="shared" si="42"/>
        <v>0</v>
      </c>
      <c r="L130" s="8">
        <f t="shared" si="42"/>
        <v>0</v>
      </c>
      <c r="M130" s="8">
        <f t="shared" si="42"/>
        <v>0</v>
      </c>
      <c r="N130" s="8">
        <f t="shared" si="42"/>
        <v>0</v>
      </c>
      <c r="O130" s="7"/>
      <c r="P130" s="9"/>
      <c r="Q130" s="10"/>
    </row>
    <row r="131" spans="1:17" ht="28.5" x14ac:dyDescent="0.25">
      <c r="A131" s="11" t="s">
        <v>308</v>
      </c>
      <c r="B131" s="12" t="s">
        <v>309</v>
      </c>
      <c r="C131" s="13"/>
      <c r="D131" s="13"/>
      <c r="E131" s="14">
        <f t="shared" ref="E131:N131" si="43">E132+E142+E145+E150+E153+E156+E161</f>
        <v>4334720</v>
      </c>
      <c r="F131" s="14">
        <f t="shared" si="43"/>
        <v>3993376</v>
      </c>
      <c r="G131" s="14">
        <f t="shared" si="43"/>
        <v>8600</v>
      </c>
      <c r="H131" s="14">
        <f t="shared" si="43"/>
        <v>0</v>
      </c>
      <c r="I131" s="14">
        <f t="shared" si="43"/>
        <v>332744</v>
      </c>
      <c r="J131" s="14">
        <f t="shared" si="43"/>
        <v>0</v>
      </c>
      <c r="K131" s="14">
        <f t="shared" si="43"/>
        <v>0</v>
      </c>
      <c r="L131" s="14">
        <f t="shared" si="43"/>
        <v>0</v>
      </c>
      <c r="M131" s="14">
        <f t="shared" si="43"/>
        <v>0</v>
      </c>
      <c r="N131" s="14">
        <f t="shared" si="43"/>
        <v>0</v>
      </c>
      <c r="O131" s="13"/>
      <c r="P131" s="15"/>
      <c r="Q131" s="16"/>
    </row>
    <row r="132" spans="1:17" ht="28.5" x14ac:dyDescent="0.25">
      <c r="A132" s="17" t="s">
        <v>310</v>
      </c>
      <c r="B132" s="18" t="s">
        <v>311</v>
      </c>
      <c r="C132" s="19"/>
      <c r="D132" s="19"/>
      <c r="E132" s="20">
        <f t="shared" ref="E132:N132" si="44">E133+E135+E137+E139</f>
        <v>3067239</v>
      </c>
      <c r="F132" s="20">
        <f t="shared" si="44"/>
        <v>2725895</v>
      </c>
      <c r="G132" s="20">
        <f t="shared" si="44"/>
        <v>8600</v>
      </c>
      <c r="H132" s="20">
        <f t="shared" si="44"/>
        <v>0</v>
      </c>
      <c r="I132" s="20">
        <f t="shared" si="44"/>
        <v>332744</v>
      </c>
      <c r="J132" s="20">
        <f t="shared" si="44"/>
        <v>0</v>
      </c>
      <c r="K132" s="20">
        <f t="shared" si="44"/>
        <v>0</v>
      </c>
      <c r="L132" s="20">
        <f t="shared" si="44"/>
        <v>0</v>
      </c>
      <c r="M132" s="20">
        <f t="shared" si="44"/>
        <v>0</v>
      </c>
      <c r="N132" s="20">
        <f t="shared" si="44"/>
        <v>0</v>
      </c>
      <c r="O132" s="19"/>
      <c r="P132" s="21"/>
      <c r="Q132" s="22"/>
    </row>
    <row r="133" spans="1:17" ht="30" x14ac:dyDescent="0.25">
      <c r="A133" s="23" t="s">
        <v>312</v>
      </c>
      <c r="B133" s="24" t="s">
        <v>313</v>
      </c>
      <c r="C133" s="25" t="s">
        <v>314</v>
      </c>
      <c r="D133" s="25" t="s">
        <v>307</v>
      </c>
      <c r="E133" s="26">
        <f>SUM(E134:E134)+233070</f>
        <v>233070</v>
      </c>
      <c r="F133" s="26">
        <f>SUM(F134:F134)+233070</f>
        <v>233070</v>
      </c>
      <c r="G133" s="26">
        <f t="shared" ref="G133:N133" si="45">SUM(G134:G134)</f>
        <v>0</v>
      </c>
      <c r="H133" s="26">
        <f t="shared" si="45"/>
        <v>0</v>
      </c>
      <c r="I133" s="26">
        <f t="shared" si="45"/>
        <v>0</v>
      </c>
      <c r="J133" s="26">
        <f t="shared" si="45"/>
        <v>0</v>
      </c>
      <c r="K133" s="26">
        <f t="shared" si="45"/>
        <v>0</v>
      </c>
      <c r="L133" s="26">
        <f t="shared" si="45"/>
        <v>0</v>
      </c>
      <c r="M133" s="26">
        <f t="shared" si="45"/>
        <v>0</v>
      </c>
      <c r="N133" s="26">
        <f t="shared" si="45"/>
        <v>0</v>
      </c>
      <c r="O133" s="25" t="s">
        <v>315</v>
      </c>
      <c r="P133" s="27" t="s">
        <v>32</v>
      </c>
      <c r="Q133" s="28" t="s">
        <v>275</v>
      </c>
    </row>
    <row r="134" spans="1:17" ht="45" x14ac:dyDescent="0.25">
      <c r="A134" s="23" t="s">
        <v>316</v>
      </c>
      <c r="B134" s="24" t="s">
        <v>317</v>
      </c>
      <c r="C134" s="25"/>
      <c r="D134" s="25" t="s">
        <v>318</v>
      </c>
      <c r="E134" s="29">
        <v>0</v>
      </c>
      <c r="F134" s="29">
        <v>0</v>
      </c>
      <c r="G134" s="29">
        <v>0</v>
      </c>
      <c r="H134" s="29">
        <v>0</v>
      </c>
      <c r="I134" s="29">
        <v>0</v>
      </c>
      <c r="J134" s="29">
        <v>0</v>
      </c>
      <c r="K134" s="29">
        <v>0</v>
      </c>
      <c r="L134" s="29">
        <v>0</v>
      </c>
      <c r="M134" s="29">
        <v>0</v>
      </c>
      <c r="N134" s="29">
        <v>0</v>
      </c>
      <c r="O134" s="25"/>
      <c r="P134" s="27"/>
      <c r="Q134" s="28"/>
    </row>
    <row r="135" spans="1:17" ht="30" x14ac:dyDescent="0.25">
      <c r="A135" s="23" t="s">
        <v>319</v>
      </c>
      <c r="B135" s="24" t="s">
        <v>320</v>
      </c>
      <c r="C135" s="25"/>
      <c r="D135" s="25" t="s">
        <v>307</v>
      </c>
      <c r="E135" s="26">
        <f>SUM(E136:E136)+72185</f>
        <v>72185</v>
      </c>
      <c r="F135" s="26">
        <f>SUM(F136:F136)+72185</f>
        <v>72185</v>
      </c>
      <c r="G135" s="26">
        <f t="shared" ref="G135:N135" si="46">SUM(G136:G136)</f>
        <v>0</v>
      </c>
      <c r="H135" s="26">
        <f t="shared" si="46"/>
        <v>0</v>
      </c>
      <c r="I135" s="26">
        <f t="shared" si="46"/>
        <v>0</v>
      </c>
      <c r="J135" s="26">
        <f t="shared" si="46"/>
        <v>0</v>
      </c>
      <c r="K135" s="26">
        <f t="shared" si="46"/>
        <v>0</v>
      </c>
      <c r="L135" s="26">
        <f t="shared" si="46"/>
        <v>0</v>
      </c>
      <c r="M135" s="26">
        <f t="shared" si="46"/>
        <v>0</v>
      </c>
      <c r="N135" s="26">
        <f t="shared" si="46"/>
        <v>0</v>
      </c>
      <c r="O135" s="25" t="s">
        <v>321</v>
      </c>
      <c r="P135" s="27" t="s">
        <v>32</v>
      </c>
      <c r="Q135" s="28" t="s">
        <v>144</v>
      </c>
    </row>
    <row r="136" spans="1:17" ht="45" x14ac:dyDescent="0.25">
      <c r="A136" s="23" t="s">
        <v>322</v>
      </c>
      <c r="B136" s="24" t="s">
        <v>323</v>
      </c>
      <c r="C136" s="25"/>
      <c r="D136" s="25" t="s">
        <v>307</v>
      </c>
      <c r="E136" s="29">
        <v>0</v>
      </c>
      <c r="F136" s="29">
        <v>0</v>
      </c>
      <c r="G136" s="29">
        <v>0</v>
      </c>
      <c r="H136" s="29">
        <v>0</v>
      </c>
      <c r="I136" s="29">
        <v>0</v>
      </c>
      <c r="J136" s="29">
        <v>0</v>
      </c>
      <c r="K136" s="29">
        <v>0</v>
      </c>
      <c r="L136" s="29">
        <v>0</v>
      </c>
      <c r="M136" s="29">
        <v>0</v>
      </c>
      <c r="N136" s="29">
        <v>0</v>
      </c>
      <c r="O136" s="25"/>
      <c r="P136" s="27"/>
      <c r="Q136" s="28"/>
    </row>
    <row r="137" spans="1:17" ht="30" x14ac:dyDescent="0.25">
      <c r="A137" s="23" t="s">
        <v>324</v>
      </c>
      <c r="B137" s="24" t="s">
        <v>325</v>
      </c>
      <c r="C137" s="25" t="s">
        <v>314</v>
      </c>
      <c r="D137" s="25" t="s">
        <v>307</v>
      </c>
      <c r="E137" s="26">
        <f>SUM(E138:E138)+2627933</f>
        <v>2627933</v>
      </c>
      <c r="F137" s="26">
        <f>SUM(F138:F138)+2294489</f>
        <v>2294489</v>
      </c>
      <c r="G137" s="26">
        <f>SUM(G138:G138)+700</f>
        <v>700</v>
      </c>
      <c r="H137" s="26">
        <f>SUM(H138:H138)</f>
        <v>0</v>
      </c>
      <c r="I137" s="26">
        <f>SUM(I138:I138)+332744</f>
        <v>332744</v>
      </c>
      <c r="J137" s="26">
        <f>SUM(J138:J138)</f>
        <v>0</v>
      </c>
      <c r="K137" s="26">
        <f>SUM(K138:K138)</f>
        <v>0</v>
      </c>
      <c r="L137" s="26">
        <f>SUM(L138:L138)</f>
        <v>0</v>
      </c>
      <c r="M137" s="26">
        <f>SUM(M138:M138)</f>
        <v>0</v>
      </c>
      <c r="N137" s="26">
        <f>SUM(N138:N138)</f>
        <v>0</v>
      </c>
      <c r="O137" s="25" t="s">
        <v>326</v>
      </c>
      <c r="P137" s="27" t="s">
        <v>32</v>
      </c>
      <c r="Q137" s="28" t="s">
        <v>327</v>
      </c>
    </row>
    <row r="138" spans="1:17" ht="45" x14ac:dyDescent="0.25">
      <c r="A138" s="23" t="s">
        <v>328</v>
      </c>
      <c r="B138" s="24" t="s">
        <v>329</v>
      </c>
      <c r="C138" s="25"/>
      <c r="D138" s="25" t="s">
        <v>330</v>
      </c>
      <c r="E138" s="29">
        <v>0</v>
      </c>
      <c r="F138" s="29">
        <v>0</v>
      </c>
      <c r="G138" s="29">
        <v>0</v>
      </c>
      <c r="H138" s="29">
        <v>0</v>
      </c>
      <c r="I138" s="29">
        <v>0</v>
      </c>
      <c r="J138" s="29">
        <v>0</v>
      </c>
      <c r="K138" s="29">
        <v>0</v>
      </c>
      <c r="L138" s="29">
        <v>0</v>
      </c>
      <c r="M138" s="29">
        <v>0</v>
      </c>
      <c r="N138" s="29">
        <v>0</v>
      </c>
      <c r="O138" s="25"/>
      <c r="P138" s="27"/>
      <c r="Q138" s="28"/>
    </row>
    <row r="139" spans="1:17" ht="75" x14ac:dyDescent="0.25">
      <c r="A139" s="23" t="s">
        <v>331</v>
      </c>
      <c r="B139" s="24" t="s">
        <v>332</v>
      </c>
      <c r="C139" s="25"/>
      <c r="D139" s="25" t="s">
        <v>333</v>
      </c>
      <c r="E139" s="26">
        <f>SUM(E140:E141)+134051</f>
        <v>134051</v>
      </c>
      <c r="F139" s="26">
        <f>SUM(F140:F141)+126151</f>
        <v>126151</v>
      </c>
      <c r="G139" s="26">
        <f>SUM(G140:G141)+7900</f>
        <v>7900</v>
      </c>
      <c r="H139" s="26">
        <f t="shared" ref="H139:N139" si="47">SUM(H140:H141)</f>
        <v>0</v>
      </c>
      <c r="I139" s="26">
        <f t="shared" si="47"/>
        <v>0</v>
      </c>
      <c r="J139" s="26">
        <f t="shared" si="47"/>
        <v>0</v>
      </c>
      <c r="K139" s="26">
        <f t="shared" si="47"/>
        <v>0</v>
      </c>
      <c r="L139" s="26">
        <f t="shared" si="47"/>
        <v>0</v>
      </c>
      <c r="M139" s="26">
        <f t="shared" si="47"/>
        <v>0</v>
      </c>
      <c r="N139" s="26">
        <f t="shared" si="47"/>
        <v>0</v>
      </c>
      <c r="O139" s="25" t="s">
        <v>334</v>
      </c>
      <c r="P139" s="27" t="s">
        <v>32</v>
      </c>
      <c r="Q139" s="28" t="s">
        <v>335</v>
      </c>
    </row>
    <row r="140" spans="1:17" ht="90" x14ac:dyDescent="0.25">
      <c r="A140" s="23" t="s">
        <v>336</v>
      </c>
      <c r="B140" s="24" t="s">
        <v>337</v>
      </c>
      <c r="C140" s="25"/>
      <c r="D140" s="25" t="s">
        <v>338</v>
      </c>
      <c r="E140" s="29">
        <v>0</v>
      </c>
      <c r="F140" s="29">
        <v>0</v>
      </c>
      <c r="G140" s="29">
        <v>0</v>
      </c>
      <c r="H140" s="29">
        <v>0</v>
      </c>
      <c r="I140" s="29">
        <v>0</v>
      </c>
      <c r="J140" s="29">
        <v>0</v>
      </c>
      <c r="K140" s="29">
        <v>0</v>
      </c>
      <c r="L140" s="29">
        <v>0</v>
      </c>
      <c r="M140" s="29">
        <v>0</v>
      </c>
      <c r="N140" s="29">
        <v>0</v>
      </c>
      <c r="O140" s="25"/>
      <c r="P140" s="27"/>
      <c r="Q140" s="28"/>
    </row>
    <row r="141" spans="1:17" ht="90" x14ac:dyDescent="0.25">
      <c r="A141" s="23" t="s">
        <v>339</v>
      </c>
      <c r="B141" s="24" t="s">
        <v>340</v>
      </c>
      <c r="C141" s="25"/>
      <c r="D141" s="25" t="s">
        <v>338</v>
      </c>
      <c r="E141" s="29">
        <v>0</v>
      </c>
      <c r="F141" s="29">
        <v>0</v>
      </c>
      <c r="G141" s="29">
        <v>0</v>
      </c>
      <c r="H141" s="29">
        <v>0</v>
      </c>
      <c r="I141" s="29">
        <v>0</v>
      </c>
      <c r="J141" s="29">
        <v>0</v>
      </c>
      <c r="K141" s="29">
        <v>0</v>
      </c>
      <c r="L141" s="29">
        <v>0</v>
      </c>
      <c r="M141" s="29">
        <v>0</v>
      </c>
      <c r="N141" s="29">
        <v>0</v>
      </c>
      <c r="O141" s="25"/>
      <c r="P141" s="27"/>
      <c r="Q141" s="28"/>
    </row>
    <row r="142" spans="1:17" ht="28.5" x14ac:dyDescent="0.25">
      <c r="A142" s="17" t="s">
        <v>341</v>
      </c>
      <c r="B142" s="18" t="s">
        <v>342</v>
      </c>
      <c r="C142" s="19"/>
      <c r="D142" s="19"/>
      <c r="E142" s="20">
        <f t="shared" ref="E142:N142" si="48">SUM(E143:E143)</f>
        <v>203000</v>
      </c>
      <c r="F142" s="20">
        <f t="shared" si="48"/>
        <v>203000</v>
      </c>
      <c r="G142" s="20">
        <f t="shared" si="48"/>
        <v>0</v>
      </c>
      <c r="H142" s="20">
        <f t="shared" si="48"/>
        <v>0</v>
      </c>
      <c r="I142" s="20">
        <f t="shared" si="48"/>
        <v>0</v>
      </c>
      <c r="J142" s="20">
        <f t="shared" si="48"/>
        <v>0</v>
      </c>
      <c r="K142" s="20">
        <f t="shared" si="48"/>
        <v>0</v>
      </c>
      <c r="L142" s="20">
        <f t="shared" si="48"/>
        <v>0</v>
      </c>
      <c r="M142" s="20">
        <f t="shared" si="48"/>
        <v>0</v>
      </c>
      <c r="N142" s="20">
        <f t="shared" si="48"/>
        <v>0</v>
      </c>
      <c r="O142" s="19"/>
      <c r="P142" s="21"/>
      <c r="Q142" s="22"/>
    </row>
    <row r="143" spans="1:17" ht="30" x14ac:dyDescent="0.25">
      <c r="A143" s="23" t="s">
        <v>343</v>
      </c>
      <c r="B143" s="24" t="s">
        <v>344</v>
      </c>
      <c r="C143" s="25"/>
      <c r="D143" s="25" t="s">
        <v>307</v>
      </c>
      <c r="E143" s="26">
        <f>SUM(E144:E144)+203000</f>
        <v>203000</v>
      </c>
      <c r="F143" s="26">
        <f>SUM(F144:F144)+203000</f>
        <v>203000</v>
      </c>
      <c r="G143" s="26">
        <f t="shared" ref="G143:N143" si="49">SUM(G144:G144)</f>
        <v>0</v>
      </c>
      <c r="H143" s="26">
        <f t="shared" si="49"/>
        <v>0</v>
      </c>
      <c r="I143" s="26">
        <f t="shared" si="49"/>
        <v>0</v>
      </c>
      <c r="J143" s="26">
        <f t="shared" si="49"/>
        <v>0</v>
      </c>
      <c r="K143" s="26">
        <f t="shared" si="49"/>
        <v>0</v>
      </c>
      <c r="L143" s="26">
        <f t="shared" si="49"/>
        <v>0</v>
      </c>
      <c r="M143" s="26">
        <f t="shared" si="49"/>
        <v>0</v>
      </c>
      <c r="N143" s="26">
        <f t="shared" si="49"/>
        <v>0</v>
      </c>
      <c r="O143" s="25" t="s">
        <v>345</v>
      </c>
      <c r="P143" s="27" t="s">
        <v>346</v>
      </c>
      <c r="Q143" s="28" t="s">
        <v>347</v>
      </c>
    </row>
    <row r="144" spans="1:17" x14ac:dyDescent="0.25">
      <c r="A144" s="23" t="s">
        <v>348</v>
      </c>
      <c r="B144" s="24" t="s">
        <v>349</v>
      </c>
      <c r="C144" s="25"/>
      <c r="D144" s="25" t="s">
        <v>307</v>
      </c>
      <c r="E144" s="29">
        <v>0</v>
      </c>
      <c r="F144" s="29">
        <v>0</v>
      </c>
      <c r="G144" s="29">
        <v>0</v>
      </c>
      <c r="H144" s="29">
        <v>0</v>
      </c>
      <c r="I144" s="29">
        <v>0</v>
      </c>
      <c r="J144" s="29">
        <v>0</v>
      </c>
      <c r="K144" s="29">
        <v>0</v>
      </c>
      <c r="L144" s="29">
        <v>0</v>
      </c>
      <c r="M144" s="29">
        <v>0</v>
      </c>
      <c r="N144" s="29">
        <v>0</v>
      </c>
      <c r="O144" s="25"/>
      <c r="P144" s="27"/>
      <c r="Q144" s="28"/>
    </row>
    <row r="145" spans="1:17" x14ac:dyDescent="0.25">
      <c r="A145" s="17" t="s">
        <v>350</v>
      </c>
      <c r="B145" s="18" t="s">
        <v>351</v>
      </c>
      <c r="C145" s="19"/>
      <c r="D145" s="19"/>
      <c r="E145" s="20">
        <f t="shared" ref="E145:N145" si="50">E146+E148</f>
        <v>53121</v>
      </c>
      <c r="F145" s="20">
        <f t="shared" si="50"/>
        <v>53121</v>
      </c>
      <c r="G145" s="20">
        <f t="shared" si="50"/>
        <v>0</v>
      </c>
      <c r="H145" s="20">
        <f t="shared" si="50"/>
        <v>0</v>
      </c>
      <c r="I145" s="20">
        <f t="shared" si="50"/>
        <v>0</v>
      </c>
      <c r="J145" s="20">
        <f t="shared" si="50"/>
        <v>0</v>
      </c>
      <c r="K145" s="20">
        <f t="shared" si="50"/>
        <v>0</v>
      </c>
      <c r="L145" s="20">
        <f t="shared" si="50"/>
        <v>0</v>
      </c>
      <c r="M145" s="20">
        <f t="shared" si="50"/>
        <v>0</v>
      </c>
      <c r="N145" s="20">
        <f t="shared" si="50"/>
        <v>0</v>
      </c>
      <c r="O145" s="19"/>
      <c r="P145" s="21"/>
      <c r="Q145" s="22"/>
    </row>
    <row r="146" spans="1:17" ht="30" x14ac:dyDescent="0.25">
      <c r="A146" s="23" t="s">
        <v>352</v>
      </c>
      <c r="B146" s="24" t="s">
        <v>353</v>
      </c>
      <c r="C146" s="25"/>
      <c r="D146" s="25" t="s">
        <v>318</v>
      </c>
      <c r="E146" s="26">
        <f>SUM(E147:E147)+33121</f>
        <v>33121</v>
      </c>
      <c r="F146" s="26">
        <f>SUM(F147:F147)+33121</f>
        <v>33121</v>
      </c>
      <c r="G146" s="26">
        <f t="shared" ref="G146:N146" si="51">SUM(G147:G147)</f>
        <v>0</v>
      </c>
      <c r="H146" s="26">
        <f t="shared" si="51"/>
        <v>0</v>
      </c>
      <c r="I146" s="26">
        <f t="shared" si="51"/>
        <v>0</v>
      </c>
      <c r="J146" s="26">
        <f t="shared" si="51"/>
        <v>0</v>
      </c>
      <c r="K146" s="26">
        <f t="shared" si="51"/>
        <v>0</v>
      </c>
      <c r="L146" s="26">
        <f t="shared" si="51"/>
        <v>0</v>
      </c>
      <c r="M146" s="26">
        <f t="shared" si="51"/>
        <v>0</v>
      </c>
      <c r="N146" s="26">
        <f t="shared" si="51"/>
        <v>0</v>
      </c>
      <c r="O146" s="25" t="s">
        <v>354</v>
      </c>
      <c r="P146" s="27" t="s">
        <v>32</v>
      </c>
      <c r="Q146" s="28" t="s">
        <v>355</v>
      </c>
    </row>
    <row r="147" spans="1:17" ht="30" x14ac:dyDescent="0.25">
      <c r="A147" s="23" t="s">
        <v>356</v>
      </c>
      <c r="B147" s="24" t="s">
        <v>357</v>
      </c>
      <c r="C147" s="25"/>
      <c r="D147" s="25" t="s">
        <v>318</v>
      </c>
      <c r="E147" s="29">
        <v>0</v>
      </c>
      <c r="F147" s="29">
        <v>0</v>
      </c>
      <c r="G147" s="29">
        <v>0</v>
      </c>
      <c r="H147" s="29">
        <v>0</v>
      </c>
      <c r="I147" s="29">
        <v>0</v>
      </c>
      <c r="J147" s="29">
        <v>0</v>
      </c>
      <c r="K147" s="29">
        <v>0</v>
      </c>
      <c r="L147" s="29">
        <v>0</v>
      </c>
      <c r="M147" s="29">
        <v>0</v>
      </c>
      <c r="N147" s="29">
        <v>0</v>
      </c>
      <c r="O147" s="25"/>
      <c r="P147" s="27"/>
      <c r="Q147" s="28"/>
    </row>
    <row r="148" spans="1:17" ht="30" x14ac:dyDescent="0.25">
      <c r="A148" s="23" t="s">
        <v>358</v>
      </c>
      <c r="B148" s="24" t="s">
        <v>359</v>
      </c>
      <c r="C148" s="25"/>
      <c r="D148" s="25" t="s">
        <v>318</v>
      </c>
      <c r="E148" s="26">
        <f>SUM(E149:E149)+20000</f>
        <v>20000</v>
      </c>
      <c r="F148" s="26">
        <f>SUM(F149:F149)+20000</f>
        <v>20000</v>
      </c>
      <c r="G148" s="26">
        <f t="shared" ref="G148:N148" si="52">SUM(G149:G149)</f>
        <v>0</v>
      </c>
      <c r="H148" s="26">
        <f t="shared" si="52"/>
        <v>0</v>
      </c>
      <c r="I148" s="26">
        <f t="shared" si="52"/>
        <v>0</v>
      </c>
      <c r="J148" s="26">
        <f t="shared" si="52"/>
        <v>0</v>
      </c>
      <c r="K148" s="26">
        <f t="shared" si="52"/>
        <v>0</v>
      </c>
      <c r="L148" s="26">
        <f t="shared" si="52"/>
        <v>0</v>
      </c>
      <c r="M148" s="26">
        <f t="shared" si="52"/>
        <v>0</v>
      </c>
      <c r="N148" s="26">
        <f t="shared" si="52"/>
        <v>0</v>
      </c>
      <c r="O148" s="25" t="s">
        <v>354</v>
      </c>
      <c r="P148" s="27" t="s">
        <v>32</v>
      </c>
      <c r="Q148" s="28" t="s">
        <v>355</v>
      </c>
    </row>
    <row r="149" spans="1:17" ht="30" x14ac:dyDescent="0.25">
      <c r="A149" s="23" t="s">
        <v>360</v>
      </c>
      <c r="B149" s="24" t="s">
        <v>361</v>
      </c>
      <c r="C149" s="25"/>
      <c r="D149" s="25" t="s">
        <v>318</v>
      </c>
      <c r="E149" s="29">
        <v>0</v>
      </c>
      <c r="F149" s="29">
        <v>0</v>
      </c>
      <c r="G149" s="29">
        <v>0</v>
      </c>
      <c r="H149" s="29">
        <v>0</v>
      </c>
      <c r="I149" s="29">
        <v>0</v>
      </c>
      <c r="J149" s="29">
        <v>0</v>
      </c>
      <c r="K149" s="29">
        <v>0</v>
      </c>
      <c r="L149" s="29">
        <v>0</v>
      </c>
      <c r="M149" s="29">
        <v>0</v>
      </c>
      <c r="N149" s="29">
        <v>0</v>
      </c>
      <c r="O149" s="25"/>
      <c r="P149" s="27"/>
      <c r="Q149" s="28"/>
    </row>
    <row r="150" spans="1:17" x14ac:dyDescent="0.25">
      <c r="A150" s="17" t="s">
        <v>362</v>
      </c>
      <c r="B150" s="18" t="s">
        <v>363</v>
      </c>
      <c r="C150" s="19"/>
      <c r="D150" s="19"/>
      <c r="E150" s="20">
        <f t="shared" ref="E150:N150" si="53">SUM(E151:E151)</f>
        <v>50000</v>
      </c>
      <c r="F150" s="20">
        <f t="shared" si="53"/>
        <v>50000</v>
      </c>
      <c r="G150" s="20">
        <f t="shared" si="53"/>
        <v>0</v>
      </c>
      <c r="H150" s="20">
        <f t="shared" si="53"/>
        <v>0</v>
      </c>
      <c r="I150" s="20">
        <f t="shared" si="53"/>
        <v>0</v>
      </c>
      <c r="J150" s="20">
        <f t="shared" si="53"/>
        <v>0</v>
      </c>
      <c r="K150" s="20">
        <f t="shared" si="53"/>
        <v>0</v>
      </c>
      <c r="L150" s="20">
        <f t="shared" si="53"/>
        <v>0</v>
      </c>
      <c r="M150" s="20">
        <f t="shared" si="53"/>
        <v>0</v>
      </c>
      <c r="N150" s="20">
        <f t="shared" si="53"/>
        <v>0</v>
      </c>
      <c r="O150" s="19"/>
      <c r="P150" s="21"/>
      <c r="Q150" s="22"/>
    </row>
    <row r="151" spans="1:17" x14ac:dyDescent="0.25">
      <c r="A151" s="23" t="s">
        <v>364</v>
      </c>
      <c r="B151" s="24" t="s">
        <v>365</v>
      </c>
      <c r="C151" s="25"/>
      <c r="D151" s="25" t="s">
        <v>307</v>
      </c>
      <c r="E151" s="26">
        <f>SUM(E152:E152)+50000</f>
        <v>50000</v>
      </c>
      <c r="F151" s="26">
        <f>SUM(F152:F152)+50000</f>
        <v>50000</v>
      </c>
      <c r="G151" s="26">
        <f t="shared" ref="G151:N151" si="54">SUM(G152:G152)</f>
        <v>0</v>
      </c>
      <c r="H151" s="26">
        <f t="shared" si="54"/>
        <v>0</v>
      </c>
      <c r="I151" s="26">
        <f t="shared" si="54"/>
        <v>0</v>
      </c>
      <c r="J151" s="26">
        <f t="shared" si="54"/>
        <v>0</v>
      </c>
      <c r="K151" s="26">
        <f t="shared" si="54"/>
        <v>0</v>
      </c>
      <c r="L151" s="26">
        <f t="shared" si="54"/>
        <v>0</v>
      </c>
      <c r="M151" s="26">
        <f t="shared" si="54"/>
        <v>0</v>
      </c>
      <c r="N151" s="26">
        <f t="shared" si="54"/>
        <v>0</v>
      </c>
      <c r="O151" s="25" t="s">
        <v>366</v>
      </c>
      <c r="P151" s="27" t="s">
        <v>32</v>
      </c>
      <c r="Q151" s="28" t="s">
        <v>114</v>
      </c>
    </row>
    <row r="152" spans="1:17" x14ac:dyDescent="0.25">
      <c r="A152" s="23" t="s">
        <v>367</v>
      </c>
      <c r="B152" s="24" t="s">
        <v>368</v>
      </c>
      <c r="C152" s="25"/>
      <c r="D152" s="25" t="s">
        <v>307</v>
      </c>
      <c r="E152" s="29">
        <v>0</v>
      </c>
      <c r="F152" s="29">
        <v>0</v>
      </c>
      <c r="G152" s="29">
        <v>0</v>
      </c>
      <c r="H152" s="29">
        <v>0</v>
      </c>
      <c r="I152" s="29">
        <v>0</v>
      </c>
      <c r="J152" s="29">
        <v>0</v>
      </c>
      <c r="K152" s="29">
        <v>0</v>
      </c>
      <c r="L152" s="29">
        <v>0</v>
      </c>
      <c r="M152" s="29">
        <v>0</v>
      </c>
      <c r="N152" s="29">
        <v>0</v>
      </c>
      <c r="O152" s="25"/>
      <c r="P152" s="27"/>
      <c r="Q152" s="28"/>
    </row>
    <row r="153" spans="1:17" ht="28.5" x14ac:dyDescent="0.25">
      <c r="A153" s="17" t="s">
        <v>369</v>
      </c>
      <c r="B153" s="18" t="s">
        <v>370</v>
      </c>
      <c r="C153" s="19"/>
      <c r="D153" s="19"/>
      <c r="E153" s="20">
        <f t="shared" ref="E153:N153" si="55">SUM(E154:E154)</f>
        <v>46997</v>
      </c>
      <c r="F153" s="20">
        <f t="shared" si="55"/>
        <v>46997</v>
      </c>
      <c r="G153" s="20">
        <f t="shared" si="55"/>
        <v>0</v>
      </c>
      <c r="H153" s="20">
        <f t="shared" si="55"/>
        <v>0</v>
      </c>
      <c r="I153" s="20">
        <f t="shared" si="55"/>
        <v>0</v>
      </c>
      <c r="J153" s="20">
        <f t="shared" si="55"/>
        <v>0</v>
      </c>
      <c r="K153" s="20">
        <f t="shared" si="55"/>
        <v>0</v>
      </c>
      <c r="L153" s="20">
        <f t="shared" si="55"/>
        <v>0</v>
      </c>
      <c r="M153" s="20">
        <f t="shared" si="55"/>
        <v>0</v>
      </c>
      <c r="N153" s="20">
        <f t="shared" si="55"/>
        <v>0</v>
      </c>
      <c r="O153" s="19"/>
      <c r="P153" s="21"/>
      <c r="Q153" s="22"/>
    </row>
    <row r="154" spans="1:17" ht="60" x14ac:dyDescent="0.25">
      <c r="A154" s="23" t="s">
        <v>371</v>
      </c>
      <c r="B154" s="24" t="s">
        <v>372</v>
      </c>
      <c r="C154" s="25"/>
      <c r="D154" s="25" t="s">
        <v>373</v>
      </c>
      <c r="E154" s="26">
        <f>SUM(E155:E155)+46997</f>
        <v>46997</v>
      </c>
      <c r="F154" s="26">
        <f>SUM(F155:F155)+46997</f>
        <v>46997</v>
      </c>
      <c r="G154" s="26">
        <f t="shared" ref="G154:N154" si="56">SUM(G155:G155)</f>
        <v>0</v>
      </c>
      <c r="H154" s="26">
        <f t="shared" si="56"/>
        <v>0</v>
      </c>
      <c r="I154" s="26">
        <f t="shared" si="56"/>
        <v>0</v>
      </c>
      <c r="J154" s="26">
        <f t="shared" si="56"/>
        <v>0</v>
      </c>
      <c r="K154" s="26">
        <f t="shared" si="56"/>
        <v>0</v>
      </c>
      <c r="L154" s="26">
        <f t="shared" si="56"/>
        <v>0</v>
      </c>
      <c r="M154" s="26">
        <f t="shared" si="56"/>
        <v>0</v>
      </c>
      <c r="N154" s="26">
        <f t="shared" si="56"/>
        <v>0</v>
      </c>
      <c r="O154" s="25" t="s">
        <v>374</v>
      </c>
      <c r="P154" s="27" t="s">
        <v>32</v>
      </c>
      <c r="Q154" s="28" t="s">
        <v>375</v>
      </c>
    </row>
    <row r="155" spans="1:17" ht="75" x14ac:dyDescent="0.25">
      <c r="A155" s="23" t="s">
        <v>376</v>
      </c>
      <c r="B155" s="24" t="s">
        <v>377</v>
      </c>
      <c r="C155" s="25"/>
      <c r="D155" s="25" t="s">
        <v>373</v>
      </c>
      <c r="E155" s="29">
        <v>0</v>
      </c>
      <c r="F155" s="29">
        <v>0</v>
      </c>
      <c r="G155" s="29">
        <v>0</v>
      </c>
      <c r="H155" s="29">
        <v>0</v>
      </c>
      <c r="I155" s="29">
        <v>0</v>
      </c>
      <c r="J155" s="29">
        <v>0</v>
      </c>
      <c r="K155" s="29">
        <v>0</v>
      </c>
      <c r="L155" s="29">
        <v>0</v>
      </c>
      <c r="M155" s="29">
        <v>0</v>
      </c>
      <c r="N155" s="29">
        <v>0</v>
      </c>
      <c r="O155" s="25"/>
      <c r="P155" s="27"/>
      <c r="Q155" s="28"/>
    </row>
    <row r="156" spans="1:17" ht="28.5" x14ac:dyDescent="0.25">
      <c r="A156" s="17" t="s">
        <v>378</v>
      </c>
      <c r="B156" s="18" t="s">
        <v>379</v>
      </c>
      <c r="C156" s="19"/>
      <c r="D156" s="19"/>
      <c r="E156" s="20">
        <f t="shared" ref="E156:N156" si="57">E157+E159</f>
        <v>914363</v>
      </c>
      <c r="F156" s="20">
        <f t="shared" si="57"/>
        <v>914363</v>
      </c>
      <c r="G156" s="20">
        <f t="shared" si="57"/>
        <v>0</v>
      </c>
      <c r="H156" s="20">
        <f t="shared" si="57"/>
        <v>0</v>
      </c>
      <c r="I156" s="20">
        <f t="shared" si="57"/>
        <v>0</v>
      </c>
      <c r="J156" s="20">
        <f t="shared" si="57"/>
        <v>0</v>
      </c>
      <c r="K156" s="20">
        <f t="shared" si="57"/>
        <v>0</v>
      </c>
      <c r="L156" s="20">
        <f t="shared" si="57"/>
        <v>0</v>
      </c>
      <c r="M156" s="20">
        <f t="shared" si="57"/>
        <v>0</v>
      </c>
      <c r="N156" s="20">
        <f t="shared" si="57"/>
        <v>0</v>
      </c>
      <c r="O156" s="19"/>
      <c r="P156" s="21"/>
      <c r="Q156" s="22"/>
    </row>
    <row r="157" spans="1:17" ht="30" x14ac:dyDescent="0.25">
      <c r="A157" s="23" t="s">
        <v>380</v>
      </c>
      <c r="B157" s="24" t="s">
        <v>381</v>
      </c>
      <c r="C157" s="25"/>
      <c r="D157" s="25" t="s">
        <v>382</v>
      </c>
      <c r="E157" s="26">
        <f>SUM(E158:E158)+825463</f>
        <v>825463</v>
      </c>
      <c r="F157" s="26">
        <f>SUM(F158:F158)+825463</f>
        <v>825463</v>
      </c>
      <c r="G157" s="26">
        <f t="shared" ref="G157:N157" si="58">SUM(G158:G158)</f>
        <v>0</v>
      </c>
      <c r="H157" s="26">
        <f t="shared" si="58"/>
        <v>0</v>
      </c>
      <c r="I157" s="26">
        <f t="shared" si="58"/>
        <v>0</v>
      </c>
      <c r="J157" s="26">
        <f t="shared" si="58"/>
        <v>0</v>
      </c>
      <c r="K157" s="26">
        <f t="shared" si="58"/>
        <v>0</v>
      </c>
      <c r="L157" s="26">
        <f t="shared" si="58"/>
        <v>0</v>
      </c>
      <c r="M157" s="26">
        <f t="shared" si="58"/>
        <v>0</v>
      </c>
      <c r="N157" s="26">
        <f t="shared" si="58"/>
        <v>0</v>
      </c>
      <c r="O157" s="25" t="s">
        <v>383</v>
      </c>
      <c r="P157" s="27" t="s">
        <v>384</v>
      </c>
      <c r="Q157" s="28" t="s">
        <v>375</v>
      </c>
    </row>
    <row r="158" spans="1:17" ht="30" x14ac:dyDescent="0.25">
      <c r="A158" s="23" t="s">
        <v>385</v>
      </c>
      <c r="B158" s="24" t="s">
        <v>386</v>
      </c>
      <c r="C158" s="25"/>
      <c r="D158" s="25" t="s">
        <v>382</v>
      </c>
      <c r="E158" s="29">
        <v>0</v>
      </c>
      <c r="F158" s="29">
        <v>0</v>
      </c>
      <c r="G158" s="29">
        <v>0</v>
      </c>
      <c r="H158" s="29">
        <v>0</v>
      </c>
      <c r="I158" s="29">
        <v>0</v>
      </c>
      <c r="J158" s="29">
        <v>0</v>
      </c>
      <c r="K158" s="29">
        <v>0</v>
      </c>
      <c r="L158" s="29">
        <v>0</v>
      </c>
      <c r="M158" s="29">
        <v>0</v>
      </c>
      <c r="N158" s="29">
        <v>0</v>
      </c>
      <c r="O158" s="25"/>
      <c r="P158" s="27"/>
      <c r="Q158" s="28"/>
    </row>
    <row r="159" spans="1:17" ht="30" x14ac:dyDescent="0.25">
      <c r="A159" s="23" t="s">
        <v>387</v>
      </c>
      <c r="B159" s="24" t="s">
        <v>388</v>
      </c>
      <c r="C159" s="25"/>
      <c r="D159" s="25" t="s">
        <v>382</v>
      </c>
      <c r="E159" s="26">
        <f>SUM(E160:E160)+88900</f>
        <v>88900</v>
      </c>
      <c r="F159" s="26">
        <f>SUM(F160:F160)+88900</f>
        <v>88900</v>
      </c>
      <c r="G159" s="26">
        <f t="shared" ref="G159:N159" si="59">SUM(G160:G160)</f>
        <v>0</v>
      </c>
      <c r="H159" s="26">
        <f t="shared" si="59"/>
        <v>0</v>
      </c>
      <c r="I159" s="26">
        <f t="shared" si="59"/>
        <v>0</v>
      </c>
      <c r="J159" s="26">
        <f t="shared" si="59"/>
        <v>0</v>
      </c>
      <c r="K159" s="26">
        <f t="shared" si="59"/>
        <v>0</v>
      </c>
      <c r="L159" s="26">
        <f t="shared" si="59"/>
        <v>0</v>
      </c>
      <c r="M159" s="26">
        <f t="shared" si="59"/>
        <v>0</v>
      </c>
      <c r="N159" s="26">
        <f t="shared" si="59"/>
        <v>0</v>
      </c>
      <c r="O159" s="25" t="s">
        <v>383</v>
      </c>
      <c r="P159" s="27" t="s">
        <v>384</v>
      </c>
      <c r="Q159" s="28" t="s">
        <v>375</v>
      </c>
    </row>
    <row r="160" spans="1:17" ht="30" x14ac:dyDescent="0.25">
      <c r="A160" s="23" t="s">
        <v>389</v>
      </c>
      <c r="B160" s="24" t="s">
        <v>390</v>
      </c>
      <c r="C160" s="25"/>
      <c r="D160" s="25" t="s">
        <v>382</v>
      </c>
      <c r="E160" s="29">
        <v>0</v>
      </c>
      <c r="F160" s="29">
        <v>0</v>
      </c>
      <c r="G160" s="29">
        <v>0</v>
      </c>
      <c r="H160" s="29">
        <v>0</v>
      </c>
      <c r="I160" s="29">
        <v>0</v>
      </c>
      <c r="J160" s="29">
        <v>0</v>
      </c>
      <c r="K160" s="29">
        <v>0</v>
      </c>
      <c r="L160" s="29">
        <v>0</v>
      </c>
      <c r="M160" s="29">
        <v>0</v>
      </c>
      <c r="N160" s="29">
        <v>0</v>
      </c>
      <c r="O160" s="25"/>
      <c r="P160" s="27"/>
      <c r="Q160" s="28"/>
    </row>
    <row r="161" spans="1:17" ht="28.5" x14ac:dyDescent="0.25">
      <c r="A161" s="17" t="s">
        <v>391</v>
      </c>
      <c r="B161" s="18" t="s">
        <v>392</v>
      </c>
      <c r="C161" s="19"/>
      <c r="D161" s="19" t="s">
        <v>393</v>
      </c>
      <c r="E161" s="20">
        <f t="shared" ref="E161:N161" si="60">E162+E164+E166+E168</f>
        <v>0</v>
      </c>
      <c r="F161" s="20">
        <f t="shared" si="60"/>
        <v>0</v>
      </c>
      <c r="G161" s="20">
        <f t="shared" si="60"/>
        <v>0</v>
      </c>
      <c r="H161" s="20">
        <f t="shared" si="60"/>
        <v>0</v>
      </c>
      <c r="I161" s="20">
        <f t="shared" si="60"/>
        <v>0</v>
      </c>
      <c r="J161" s="20">
        <f t="shared" si="60"/>
        <v>0</v>
      </c>
      <c r="K161" s="20">
        <f t="shared" si="60"/>
        <v>0</v>
      </c>
      <c r="L161" s="20">
        <f t="shared" si="60"/>
        <v>0</v>
      </c>
      <c r="M161" s="20">
        <f t="shared" si="60"/>
        <v>0</v>
      </c>
      <c r="N161" s="20">
        <f t="shared" si="60"/>
        <v>0</v>
      </c>
      <c r="O161" s="19"/>
      <c r="P161" s="21"/>
      <c r="Q161" s="22"/>
    </row>
    <row r="162" spans="1:17" ht="45" x14ac:dyDescent="0.25">
      <c r="A162" s="23" t="s">
        <v>394</v>
      </c>
      <c r="B162" s="24" t="s">
        <v>395</v>
      </c>
      <c r="C162" s="25" t="s">
        <v>396</v>
      </c>
      <c r="D162" s="25" t="s">
        <v>393</v>
      </c>
      <c r="E162" s="26">
        <f t="shared" ref="E162:N162" si="61">SUM(E163:E163)</f>
        <v>0</v>
      </c>
      <c r="F162" s="26">
        <f t="shared" si="61"/>
        <v>0</v>
      </c>
      <c r="G162" s="26">
        <f t="shared" si="61"/>
        <v>0</v>
      </c>
      <c r="H162" s="26">
        <f t="shared" si="61"/>
        <v>0</v>
      </c>
      <c r="I162" s="26">
        <f t="shared" si="61"/>
        <v>0</v>
      </c>
      <c r="J162" s="26">
        <f t="shared" si="61"/>
        <v>0</v>
      </c>
      <c r="K162" s="26">
        <f t="shared" si="61"/>
        <v>0</v>
      </c>
      <c r="L162" s="26">
        <f t="shared" si="61"/>
        <v>0</v>
      </c>
      <c r="M162" s="26">
        <f t="shared" si="61"/>
        <v>0</v>
      </c>
      <c r="N162" s="26">
        <f t="shared" si="61"/>
        <v>0</v>
      </c>
      <c r="O162" s="25" t="s">
        <v>397</v>
      </c>
      <c r="P162" s="27" t="s">
        <v>237</v>
      </c>
      <c r="Q162" s="28" t="s">
        <v>39</v>
      </c>
    </row>
    <row r="163" spans="1:17" ht="30" x14ac:dyDescent="0.25">
      <c r="A163" s="23" t="s">
        <v>398</v>
      </c>
      <c r="B163" s="24" t="s">
        <v>399</v>
      </c>
      <c r="C163" s="25"/>
      <c r="D163" s="25" t="s">
        <v>393</v>
      </c>
      <c r="E163" s="29">
        <v>0</v>
      </c>
      <c r="F163" s="29">
        <v>0</v>
      </c>
      <c r="G163" s="29">
        <v>0</v>
      </c>
      <c r="H163" s="29">
        <v>0</v>
      </c>
      <c r="I163" s="29">
        <v>0</v>
      </c>
      <c r="J163" s="29">
        <v>0</v>
      </c>
      <c r="K163" s="29">
        <v>0</v>
      </c>
      <c r="L163" s="29">
        <v>0</v>
      </c>
      <c r="M163" s="29">
        <v>0</v>
      </c>
      <c r="N163" s="29">
        <v>0</v>
      </c>
      <c r="O163" s="25"/>
      <c r="P163" s="27"/>
      <c r="Q163" s="28"/>
    </row>
    <row r="164" spans="1:17" ht="45" x14ac:dyDescent="0.25">
      <c r="A164" s="23" t="s">
        <v>400</v>
      </c>
      <c r="B164" s="24" t="s">
        <v>401</v>
      </c>
      <c r="C164" s="25" t="s">
        <v>396</v>
      </c>
      <c r="D164" s="25" t="s">
        <v>393</v>
      </c>
      <c r="E164" s="26">
        <f t="shared" ref="E164:N164" si="62">SUM(E165:E165)</f>
        <v>0</v>
      </c>
      <c r="F164" s="26">
        <f t="shared" si="62"/>
        <v>0</v>
      </c>
      <c r="G164" s="26">
        <f t="shared" si="62"/>
        <v>0</v>
      </c>
      <c r="H164" s="26">
        <f t="shared" si="62"/>
        <v>0</v>
      </c>
      <c r="I164" s="26">
        <f t="shared" si="62"/>
        <v>0</v>
      </c>
      <c r="J164" s="26">
        <f t="shared" si="62"/>
        <v>0</v>
      </c>
      <c r="K164" s="26">
        <f t="shared" si="62"/>
        <v>0</v>
      </c>
      <c r="L164" s="26">
        <f t="shared" si="62"/>
        <v>0</v>
      </c>
      <c r="M164" s="26">
        <f t="shared" si="62"/>
        <v>0</v>
      </c>
      <c r="N164" s="26">
        <f t="shared" si="62"/>
        <v>0</v>
      </c>
      <c r="O164" s="25" t="s">
        <v>402</v>
      </c>
      <c r="P164" s="27" t="s">
        <v>237</v>
      </c>
      <c r="Q164" s="28" t="s">
        <v>39</v>
      </c>
    </row>
    <row r="165" spans="1:17" ht="30" x14ac:dyDescent="0.25">
      <c r="A165" s="23" t="s">
        <v>403</v>
      </c>
      <c r="B165" s="24" t="s">
        <v>404</v>
      </c>
      <c r="C165" s="25"/>
      <c r="D165" s="25" t="s">
        <v>393</v>
      </c>
      <c r="E165" s="29">
        <v>0</v>
      </c>
      <c r="F165" s="29">
        <v>0</v>
      </c>
      <c r="G165" s="29">
        <v>0</v>
      </c>
      <c r="H165" s="29">
        <v>0</v>
      </c>
      <c r="I165" s="29">
        <v>0</v>
      </c>
      <c r="J165" s="29">
        <v>0</v>
      </c>
      <c r="K165" s="29">
        <v>0</v>
      </c>
      <c r="L165" s="29">
        <v>0</v>
      </c>
      <c r="M165" s="29">
        <v>0</v>
      </c>
      <c r="N165" s="29">
        <v>0</v>
      </c>
      <c r="O165" s="25"/>
      <c r="P165" s="27"/>
      <c r="Q165" s="28"/>
    </row>
    <row r="166" spans="1:17" ht="30" x14ac:dyDescent="0.25">
      <c r="A166" s="23" t="s">
        <v>405</v>
      </c>
      <c r="B166" s="24" t="s">
        <v>406</v>
      </c>
      <c r="C166" s="25" t="s">
        <v>396</v>
      </c>
      <c r="D166" s="25" t="s">
        <v>393</v>
      </c>
      <c r="E166" s="26">
        <f t="shared" ref="E166:N166" si="63">SUM(E167:E167)</f>
        <v>0</v>
      </c>
      <c r="F166" s="26">
        <f t="shared" si="63"/>
        <v>0</v>
      </c>
      <c r="G166" s="26">
        <f t="shared" si="63"/>
        <v>0</v>
      </c>
      <c r="H166" s="26">
        <f t="shared" si="63"/>
        <v>0</v>
      </c>
      <c r="I166" s="26">
        <f t="shared" si="63"/>
        <v>0</v>
      </c>
      <c r="J166" s="26">
        <f t="shared" si="63"/>
        <v>0</v>
      </c>
      <c r="K166" s="26">
        <f t="shared" si="63"/>
        <v>0</v>
      </c>
      <c r="L166" s="26">
        <f t="shared" si="63"/>
        <v>0</v>
      </c>
      <c r="M166" s="26">
        <f t="shared" si="63"/>
        <v>0</v>
      </c>
      <c r="N166" s="26">
        <f t="shared" si="63"/>
        <v>0</v>
      </c>
      <c r="O166" s="25" t="s">
        <v>407</v>
      </c>
      <c r="P166" s="27" t="s">
        <v>32</v>
      </c>
      <c r="Q166" s="28" t="s">
        <v>408</v>
      </c>
    </row>
    <row r="167" spans="1:17" ht="45" x14ac:dyDescent="0.25">
      <c r="A167" s="23" t="s">
        <v>409</v>
      </c>
      <c r="B167" s="24" t="s">
        <v>410</v>
      </c>
      <c r="C167" s="25"/>
      <c r="D167" s="25" t="s">
        <v>393</v>
      </c>
      <c r="E167" s="29">
        <v>0</v>
      </c>
      <c r="F167" s="29">
        <v>0</v>
      </c>
      <c r="G167" s="29">
        <v>0</v>
      </c>
      <c r="H167" s="29">
        <v>0</v>
      </c>
      <c r="I167" s="29">
        <v>0</v>
      </c>
      <c r="J167" s="29">
        <v>0</v>
      </c>
      <c r="K167" s="29">
        <v>0</v>
      </c>
      <c r="L167" s="29">
        <v>0</v>
      </c>
      <c r="M167" s="29">
        <v>0</v>
      </c>
      <c r="N167" s="29">
        <v>0</v>
      </c>
      <c r="O167" s="25"/>
      <c r="P167" s="27"/>
      <c r="Q167" s="28"/>
    </row>
    <row r="168" spans="1:17" ht="75" x14ac:dyDescent="0.25">
      <c r="A168" s="23" t="s">
        <v>411</v>
      </c>
      <c r="B168" s="24" t="s">
        <v>412</v>
      </c>
      <c r="C168" s="25" t="s">
        <v>396</v>
      </c>
      <c r="D168" s="25" t="s">
        <v>393</v>
      </c>
      <c r="E168" s="26">
        <f t="shared" ref="E168:N168" si="64">SUM(E169:E169)</f>
        <v>0</v>
      </c>
      <c r="F168" s="26">
        <f t="shared" si="64"/>
        <v>0</v>
      </c>
      <c r="G168" s="26">
        <f t="shared" si="64"/>
        <v>0</v>
      </c>
      <c r="H168" s="26">
        <f t="shared" si="64"/>
        <v>0</v>
      </c>
      <c r="I168" s="26">
        <f t="shared" si="64"/>
        <v>0</v>
      </c>
      <c r="J168" s="26">
        <f t="shared" si="64"/>
        <v>0</v>
      </c>
      <c r="K168" s="26">
        <f t="shared" si="64"/>
        <v>0</v>
      </c>
      <c r="L168" s="26">
        <f t="shared" si="64"/>
        <v>0</v>
      </c>
      <c r="M168" s="26">
        <f t="shared" si="64"/>
        <v>0</v>
      </c>
      <c r="N168" s="26">
        <f t="shared" si="64"/>
        <v>0</v>
      </c>
      <c r="O168" s="25" t="s">
        <v>413</v>
      </c>
      <c r="P168" s="27" t="s">
        <v>32</v>
      </c>
      <c r="Q168" s="28" t="s">
        <v>39</v>
      </c>
    </row>
    <row r="169" spans="1:17" ht="60" x14ac:dyDescent="0.25">
      <c r="A169" s="23" t="s">
        <v>414</v>
      </c>
      <c r="B169" s="24" t="s">
        <v>415</v>
      </c>
      <c r="C169" s="25"/>
      <c r="D169" s="25" t="s">
        <v>393</v>
      </c>
      <c r="E169" s="29">
        <v>0</v>
      </c>
      <c r="F169" s="29">
        <v>0</v>
      </c>
      <c r="G169" s="29">
        <v>0</v>
      </c>
      <c r="H169" s="29">
        <v>0</v>
      </c>
      <c r="I169" s="29">
        <v>0</v>
      </c>
      <c r="J169" s="29">
        <v>0</v>
      </c>
      <c r="K169" s="29">
        <v>0</v>
      </c>
      <c r="L169" s="29">
        <v>0</v>
      </c>
      <c r="M169" s="29">
        <v>0</v>
      </c>
      <c r="N169" s="29">
        <v>0</v>
      </c>
      <c r="O169" s="25"/>
      <c r="P169" s="27"/>
      <c r="Q169" s="28"/>
    </row>
    <row r="170" spans="1:17" ht="42.75" x14ac:dyDescent="0.25">
      <c r="A170" s="5" t="s">
        <v>416</v>
      </c>
      <c r="B170" s="6" t="s">
        <v>417</v>
      </c>
      <c r="C170" s="7" t="s">
        <v>158</v>
      </c>
      <c r="D170" s="7" t="s">
        <v>418</v>
      </c>
      <c r="E170" s="8">
        <f t="shared" ref="E170:N170" si="65">E171+E216+E227+E248+E252+E258+E265+E277+E289</f>
        <v>2456291</v>
      </c>
      <c r="F170" s="8">
        <f t="shared" si="65"/>
        <v>2050501</v>
      </c>
      <c r="G170" s="8">
        <f t="shared" si="65"/>
        <v>0</v>
      </c>
      <c r="H170" s="8">
        <f t="shared" si="65"/>
        <v>0</v>
      </c>
      <c r="I170" s="8">
        <f t="shared" si="65"/>
        <v>379100</v>
      </c>
      <c r="J170" s="8">
        <f t="shared" si="65"/>
        <v>0</v>
      </c>
      <c r="K170" s="8">
        <f t="shared" si="65"/>
        <v>0</v>
      </c>
      <c r="L170" s="8">
        <f t="shared" si="65"/>
        <v>10290</v>
      </c>
      <c r="M170" s="8">
        <f t="shared" si="65"/>
        <v>0</v>
      </c>
      <c r="N170" s="8">
        <f t="shared" si="65"/>
        <v>16400</v>
      </c>
      <c r="O170" s="7"/>
      <c r="P170" s="9"/>
      <c r="Q170" s="10"/>
    </row>
    <row r="171" spans="1:17" x14ac:dyDescent="0.25">
      <c r="A171" s="11" t="s">
        <v>419</v>
      </c>
      <c r="B171" s="12" t="s">
        <v>420</v>
      </c>
      <c r="C171" s="13"/>
      <c r="D171" s="13"/>
      <c r="E171" s="14">
        <f t="shared" ref="E171:N171" si="66">E172+E187+E192+E199+E206+E213</f>
        <v>1301791</v>
      </c>
      <c r="F171" s="14">
        <f t="shared" si="66"/>
        <v>1291501</v>
      </c>
      <c r="G171" s="14">
        <f t="shared" si="66"/>
        <v>0</v>
      </c>
      <c r="H171" s="14">
        <f t="shared" si="66"/>
        <v>0</v>
      </c>
      <c r="I171" s="14">
        <f t="shared" si="66"/>
        <v>0</v>
      </c>
      <c r="J171" s="14">
        <f t="shared" si="66"/>
        <v>0</v>
      </c>
      <c r="K171" s="14">
        <f t="shared" si="66"/>
        <v>0</v>
      </c>
      <c r="L171" s="14">
        <f t="shared" si="66"/>
        <v>10290</v>
      </c>
      <c r="M171" s="14">
        <f t="shared" si="66"/>
        <v>0</v>
      </c>
      <c r="N171" s="14">
        <f t="shared" si="66"/>
        <v>0</v>
      </c>
      <c r="O171" s="13"/>
      <c r="P171" s="15"/>
      <c r="Q171" s="16"/>
    </row>
    <row r="172" spans="1:17" ht="28.5" x14ac:dyDescent="0.25">
      <c r="A172" s="17" t="s">
        <v>421</v>
      </c>
      <c r="B172" s="18" t="s">
        <v>422</v>
      </c>
      <c r="C172" s="19"/>
      <c r="D172" s="19"/>
      <c r="E172" s="20">
        <f t="shared" ref="E172:N172" si="67">SUM(E173:E173)</f>
        <v>30000</v>
      </c>
      <c r="F172" s="20">
        <f t="shared" si="67"/>
        <v>30000</v>
      </c>
      <c r="G172" s="20">
        <f t="shared" si="67"/>
        <v>0</v>
      </c>
      <c r="H172" s="20">
        <f t="shared" si="67"/>
        <v>0</v>
      </c>
      <c r="I172" s="20">
        <f t="shared" si="67"/>
        <v>0</v>
      </c>
      <c r="J172" s="20">
        <f t="shared" si="67"/>
        <v>0</v>
      </c>
      <c r="K172" s="20">
        <f t="shared" si="67"/>
        <v>0</v>
      </c>
      <c r="L172" s="20">
        <f t="shared" si="67"/>
        <v>0</v>
      </c>
      <c r="M172" s="20">
        <f t="shared" si="67"/>
        <v>0</v>
      </c>
      <c r="N172" s="20">
        <f t="shared" si="67"/>
        <v>0</v>
      </c>
      <c r="O172" s="19"/>
      <c r="P172" s="21"/>
      <c r="Q172" s="22"/>
    </row>
    <row r="173" spans="1:17" ht="30" x14ac:dyDescent="0.25">
      <c r="A173" s="23" t="s">
        <v>423</v>
      </c>
      <c r="B173" s="24" t="s">
        <v>424</v>
      </c>
      <c r="C173" s="25" t="s">
        <v>158</v>
      </c>
      <c r="D173" s="25" t="s">
        <v>425</v>
      </c>
      <c r="E173" s="26">
        <f>SUM(E174:E186)+30000</f>
        <v>30000</v>
      </c>
      <c r="F173" s="26">
        <f>SUM(F174:F186)+30000</f>
        <v>30000</v>
      </c>
      <c r="G173" s="26">
        <f t="shared" ref="G173:N173" si="68">SUM(G174:G186)</f>
        <v>0</v>
      </c>
      <c r="H173" s="26">
        <f t="shared" si="68"/>
        <v>0</v>
      </c>
      <c r="I173" s="26">
        <f t="shared" si="68"/>
        <v>0</v>
      </c>
      <c r="J173" s="26">
        <f t="shared" si="68"/>
        <v>0</v>
      </c>
      <c r="K173" s="26">
        <f t="shared" si="68"/>
        <v>0</v>
      </c>
      <c r="L173" s="26">
        <f t="shared" si="68"/>
        <v>0</v>
      </c>
      <c r="M173" s="26">
        <f t="shared" si="68"/>
        <v>0</v>
      </c>
      <c r="N173" s="26">
        <f t="shared" si="68"/>
        <v>0</v>
      </c>
      <c r="O173" s="25" t="s">
        <v>426</v>
      </c>
      <c r="P173" s="27" t="s">
        <v>32</v>
      </c>
      <c r="Q173" s="28" t="s">
        <v>275</v>
      </c>
    </row>
    <row r="174" spans="1:17" ht="30" x14ac:dyDescent="0.25">
      <c r="A174" s="30"/>
      <c r="B174" s="31"/>
      <c r="C174" s="32"/>
      <c r="D174" s="32"/>
      <c r="E174" s="33">
        <v>0</v>
      </c>
      <c r="F174" s="33">
        <v>0</v>
      </c>
      <c r="G174" s="33">
        <v>0</v>
      </c>
      <c r="H174" s="33">
        <v>0</v>
      </c>
      <c r="I174" s="33">
        <v>0</v>
      </c>
      <c r="J174" s="33">
        <v>0</v>
      </c>
      <c r="K174" s="33">
        <v>0</v>
      </c>
      <c r="L174" s="33">
        <v>0</v>
      </c>
      <c r="M174" s="33">
        <v>0</v>
      </c>
      <c r="N174" s="33">
        <v>0</v>
      </c>
      <c r="O174" s="32" t="s">
        <v>427</v>
      </c>
      <c r="P174" s="34" t="s">
        <v>32</v>
      </c>
      <c r="Q174" s="35" t="s">
        <v>171</v>
      </c>
    </row>
    <row r="175" spans="1:17" x14ac:dyDescent="0.25">
      <c r="A175" s="30"/>
      <c r="B175" s="31"/>
      <c r="C175" s="32"/>
      <c r="D175" s="32"/>
      <c r="E175" s="33">
        <v>0</v>
      </c>
      <c r="F175" s="33">
        <v>0</v>
      </c>
      <c r="G175" s="33">
        <v>0</v>
      </c>
      <c r="H175" s="33">
        <v>0</v>
      </c>
      <c r="I175" s="33">
        <v>0</v>
      </c>
      <c r="J175" s="33">
        <v>0</v>
      </c>
      <c r="K175" s="33">
        <v>0</v>
      </c>
      <c r="L175" s="33">
        <v>0</v>
      </c>
      <c r="M175" s="33">
        <v>0</v>
      </c>
      <c r="N175" s="33">
        <v>0</v>
      </c>
      <c r="O175" s="32" t="s">
        <v>428</v>
      </c>
      <c r="P175" s="34" t="s">
        <v>429</v>
      </c>
      <c r="Q175" s="35" t="s">
        <v>430</v>
      </c>
    </row>
    <row r="176" spans="1:17" ht="30" x14ac:dyDescent="0.25">
      <c r="A176" s="30"/>
      <c r="B176" s="31"/>
      <c r="C176" s="32"/>
      <c r="D176" s="32"/>
      <c r="E176" s="33">
        <v>0</v>
      </c>
      <c r="F176" s="33">
        <v>0</v>
      </c>
      <c r="G176" s="33">
        <v>0</v>
      </c>
      <c r="H176" s="33">
        <v>0</v>
      </c>
      <c r="I176" s="33">
        <v>0</v>
      </c>
      <c r="J176" s="33">
        <v>0</v>
      </c>
      <c r="K176" s="33">
        <v>0</v>
      </c>
      <c r="L176" s="33">
        <v>0</v>
      </c>
      <c r="M176" s="33">
        <v>0</v>
      </c>
      <c r="N176" s="33">
        <v>0</v>
      </c>
      <c r="O176" s="32" t="s">
        <v>431</v>
      </c>
      <c r="P176" s="34" t="s">
        <v>429</v>
      </c>
      <c r="Q176" s="35" t="s">
        <v>430</v>
      </c>
    </row>
    <row r="177" spans="1:17" ht="30" x14ac:dyDescent="0.25">
      <c r="A177" s="30"/>
      <c r="B177" s="31"/>
      <c r="C177" s="32"/>
      <c r="D177" s="32"/>
      <c r="E177" s="33">
        <v>0</v>
      </c>
      <c r="F177" s="33">
        <v>0</v>
      </c>
      <c r="G177" s="33">
        <v>0</v>
      </c>
      <c r="H177" s="33">
        <v>0</v>
      </c>
      <c r="I177" s="33">
        <v>0</v>
      </c>
      <c r="J177" s="33">
        <v>0</v>
      </c>
      <c r="K177" s="33">
        <v>0</v>
      </c>
      <c r="L177" s="33">
        <v>0</v>
      </c>
      <c r="M177" s="33">
        <v>0</v>
      </c>
      <c r="N177" s="33">
        <v>0</v>
      </c>
      <c r="O177" s="32" t="s">
        <v>432</v>
      </c>
      <c r="P177" s="34" t="s">
        <v>32</v>
      </c>
      <c r="Q177" s="35" t="s">
        <v>433</v>
      </c>
    </row>
    <row r="178" spans="1:17" x14ac:dyDescent="0.25">
      <c r="A178" s="30"/>
      <c r="B178" s="31"/>
      <c r="C178" s="32"/>
      <c r="D178" s="32"/>
      <c r="E178" s="33">
        <v>0</v>
      </c>
      <c r="F178" s="33">
        <v>0</v>
      </c>
      <c r="G178" s="33">
        <v>0</v>
      </c>
      <c r="H178" s="33">
        <v>0</v>
      </c>
      <c r="I178" s="33">
        <v>0</v>
      </c>
      <c r="J178" s="33">
        <v>0</v>
      </c>
      <c r="K178" s="33">
        <v>0</v>
      </c>
      <c r="L178" s="33">
        <v>0</v>
      </c>
      <c r="M178" s="33">
        <v>0</v>
      </c>
      <c r="N178" s="33">
        <v>0</v>
      </c>
      <c r="O178" s="32" t="s">
        <v>434</v>
      </c>
      <c r="P178" s="34" t="s">
        <v>32</v>
      </c>
      <c r="Q178" s="35" t="s">
        <v>435</v>
      </c>
    </row>
    <row r="179" spans="1:17" ht="30" x14ac:dyDescent="0.25">
      <c r="A179" s="30"/>
      <c r="B179" s="31"/>
      <c r="C179" s="32"/>
      <c r="D179" s="32"/>
      <c r="E179" s="33">
        <v>0</v>
      </c>
      <c r="F179" s="33">
        <v>0</v>
      </c>
      <c r="G179" s="33">
        <v>0</v>
      </c>
      <c r="H179" s="33">
        <v>0</v>
      </c>
      <c r="I179" s="33">
        <v>0</v>
      </c>
      <c r="J179" s="33">
        <v>0</v>
      </c>
      <c r="K179" s="33">
        <v>0</v>
      </c>
      <c r="L179" s="33">
        <v>0</v>
      </c>
      <c r="M179" s="33">
        <v>0</v>
      </c>
      <c r="N179" s="33">
        <v>0</v>
      </c>
      <c r="O179" s="32" t="s">
        <v>436</v>
      </c>
      <c r="P179" s="34" t="s">
        <v>32</v>
      </c>
      <c r="Q179" s="35" t="s">
        <v>430</v>
      </c>
    </row>
    <row r="180" spans="1:17" x14ac:dyDescent="0.25">
      <c r="A180" s="23" t="s">
        <v>437</v>
      </c>
      <c r="B180" s="24" t="s">
        <v>438</v>
      </c>
      <c r="C180" s="25"/>
      <c r="D180" s="25" t="s">
        <v>425</v>
      </c>
      <c r="E180" s="29">
        <v>0</v>
      </c>
      <c r="F180" s="29">
        <v>0</v>
      </c>
      <c r="G180" s="29">
        <v>0</v>
      </c>
      <c r="H180" s="29">
        <v>0</v>
      </c>
      <c r="I180" s="29">
        <v>0</v>
      </c>
      <c r="J180" s="29">
        <v>0</v>
      </c>
      <c r="K180" s="29">
        <v>0</v>
      </c>
      <c r="L180" s="29">
        <v>0</v>
      </c>
      <c r="M180" s="29">
        <v>0</v>
      </c>
      <c r="N180" s="29">
        <v>0</v>
      </c>
      <c r="O180" s="25"/>
      <c r="P180" s="27"/>
      <c r="Q180" s="28"/>
    </row>
    <row r="181" spans="1:17" ht="30" x14ac:dyDescent="0.25">
      <c r="A181" s="23" t="s">
        <v>439</v>
      </c>
      <c r="B181" s="24" t="s">
        <v>440</v>
      </c>
      <c r="C181" s="25"/>
      <c r="D181" s="25" t="s">
        <v>425</v>
      </c>
      <c r="E181" s="29">
        <v>0</v>
      </c>
      <c r="F181" s="29">
        <v>0</v>
      </c>
      <c r="G181" s="29">
        <v>0</v>
      </c>
      <c r="H181" s="29">
        <v>0</v>
      </c>
      <c r="I181" s="29">
        <v>0</v>
      </c>
      <c r="J181" s="29">
        <v>0</v>
      </c>
      <c r="K181" s="29">
        <v>0</v>
      </c>
      <c r="L181" s="29">
        <v>0</v>
      </c>
      <c r="M181" s="29">
        <v>0</v>
      </c>
      <c r="N181" s="29">
        <v>0</v>
      </c>
      <c r="O181" s="25"/>
      <c r="P181" s="27"/>
      <c r="Q181" s="28"/>
    </row>
    <row r="182" spans="1:17" ht="30" x14ac:dyDescent="0.25">
      <c r="A182" s="23" t="s">
        <v>441</v>
      </c>
      <c r="B182" s="24" t="s">
        <v>442</v>
      </c>
      <c r="C182" s="25"/>
      <c r="D182" s="25" t="s">
        <v>425</v>
      </c>
      <c r="E182" s="29">
        <v>0</v>
      </c>
      <c r="F182" s="29">
        <v>0</v>
      </c>
      <c r="G182" s="29">
        <v>0</v>
      </c>
      <c r="H182" s="29">
        <v>0</v>
      </c>
      <c r="I182" s="29">
        <v>0</v>
      </c>
      <c r="J182" s="29">
        <v>0</v>
      </c>
      <c r="K182" s="29">
        <v>0</v>
      </c>
      <c r="L182" s="29">
        <v>0</v>
      </c>
      <c r="M182" s="29">
        <v>0</v>
      </c>
      <c r="N182" s="29">
        <v>0</v>
      </c>
      <c r="O182" s="25"/>
      <c r="P182" s="27"/>
      <c r="Q182" s="28"/>
    </row>
    <row r="183" spans="1:17" ht="30" x14ac:dyDescent="0.25">
      <c r="A183" s="23" t="s">
        <v>443</v>
      </c>
      <c r="B183" s="24" t="s">
        <v>444</v>
      </c>
      <c r="C183" s="25"/>
      <c r="D183" s="25" t="s">
        <v>425</v>
      </c>
      <c r="E183" s="29">
        <v>0</v>
      </c>
      <c r="F183" s="29">
        <v>0</v>
      </c>
      <c r="G183" s="29">
        <v>0</v>
      </c>
      <c r="H183" s="29">
        <v>0</v>
      </c>
      <c r="I183" s="29">
        <v>0</v>
      </c>
      <c r="J183" s="29">
        <v>0</v>
      </c>
      <c r="K183" s="29">
        <v>0</v>
      </c>
      <c r="L183" s="29">
        <v>0</v>
      </c>
      <c r="M183" s="29">
        <v>0</v>
      </c>
      <c r="N183" s="29">
        <v>0</v>
      </c>
      <c r="O183" s="25"/>
      <c r="P183" s="27"/>
      <c r="Q183" s="28"/>
    </row>
    <row r="184" spans="1:17" ht="30" x14ac:dyDescent="0.25">
      <c r="A184" s="23" t="s">
        <v>445</v>
      </c>
      <c r="B184" s="24" t="s">
        <v>446</v>
      </c>
      <c r="C184" s="25"/>
      <c r="D184" s="25" t="s">
        <v>425</v>
      </c>
      <c r="E184" s="29">
        <v>0</v>
      </c>
      <c r="F184" s="29">
        <v>0</v>
      </c>
      <c r="G184" s="29">
        <v>0</v>
      </c>
      <c r="H184" s="29">
        <v>0</v>
      </c>
      <c r="I184" s="29">
        <v>0</v>
      </c>
      <c r="J184" s="29">
        <v>0</v>
      </c>
      <c r="K184" s="29">
        <v>0</v>
      </c>
      <c r="L184" s="29">
        <v>0</v>
      </c>
      <c r="M184" s="29">
        <v>0</v>
      </c>
      <c r="N184" s="29">
        <v>0</v>
      </c>
      <c r="O184" s="25"/>
      <c r="P184" s="27"/>
      <c r="Q184" s="28"/>
    </row>
    <row r="185" spans="1:17" ht="30" x14ac:dyDescent="0.25">
      <c r="A185" s="23" t="s">
        <v>447</v>
      </c>
      <c r="B185" s="24" t="s">
        <v>448</v>
      </c>
      <c r="C185" s="25"/>
      <c r="D185" s="25" t="s">
        <v>425</v>
      </c>
      <c r="E185" s="29">
        <v>0</v>
      </c>
      <c r="F185" s="29">
        <v>0</v>
      </c>
      <c r="G185" s="29">
        <v>0</v>
      </c>
      <c r="H185" s="29">
        <v>0</v>
      </c>
      <c r="I185" s="29">
        <v>0</v>
      </c>
      <c r="J185" s="29">
        <v>0</v>
      </c>
      <c r="K185" s="29">
        <v>0</v>
      </c>
      <c r="L185" s="29">
        <v>0</v>
      </c>
      <c r="M185" s="29">
        <v>0</v>
      </c>
      <c r="N185" s="29">
        <v>0</v>
      </c>
      <c r="O185" s="25"/>
      <c r="P185" s="27"/>
      <c r="Q185" s="28"/>
    </row>
    <row r="186" spans="1:17" ht="45" x14ac:dyDescent="0.25">
      <c r="A186" s="23" t="s">
        <v>449</v>
      </c>
      <c r="B186" s="24" t="s">
        <v>450</v>
      </c>
      <c r="C186" s="25"/>
      <c r="D186" s="25" t="s">
        <v>425</v>
      </c>
      <c r="E186" s="29">
        <v>0</v>
      </c>
      <c r="F186" s="29">
        <v>0</v>
      </c>
      <c r="G186" s="29">
        <v>0</v>
      </c>
      <c r="H186" s="29">
        <v>0</v>
      </c>
      <c r="I186" s="29">
        <v>0</v>
      </c>
      <c r="J186" s="29">
        <v>0</v>
      </c>
      <c r="K186" s="29">
        <v>0</v>
      </c>
      <c r="L186" s="29">
        <v>0</v>
      </c>
      <c r="M186" s="29">
        <v>0</v>
      </c>
      <c r="N186" s="29">
        <v>0</v>
      </c>
      <c r="O186" s="25"/>
      <c r="P186" s="27"/>
      <c r="Q186" s="28"/>
    </row>
    <row r="187" spans="1:17" ht="42.75" x14ac:dyDescent="0.25">
      <c r="A187" s="17" t="s">
        <v>451</v>
      </c>
      <c r="B187" s="18" t="s">
        <v>452</v>
      </c>
      <c r="C187" s="19"/>
      <c r="D187" s="19"/>
      <c r="E187" s="20">
        <f t="shared" ref="E187:N187" si="69">E188+E190</f>
        <v>1146239</v>
      </c>
      <c r="F187" s="20">
        <f t="shared" si="69"/>
        <v>1146239</v>
      </c>
      <c r="G187" s="20">
        <f t="shared" si="69"/>
        <v>0</v>
      </c>
      <c r="H187" s="20">
        <f t="shared" si="69"/>
        <v>0</v>
      </c>
      <c r="I187" s="20">
        <f t="shared" si="69"/>
        <v>0</v>
      </c>
      <c r="J187" s="20">
        <f t="shared" si="69"/>
        <v>0</v>
      </c>
      <c r="K187" s="20">
        <f t="shared" si="69"/>
        <v>0</v>
      </c>
      <c r="L187" s="20">
        <f t="shared" si="69"/>
        <v>0</v>
      </c>
      <c r="M187" s="20">
        <f t="shared" si="69"/>
        <v>0</v>
      </c>
      <c r="N187" s="20">
        <f t="shared" si="69"/>
        <v>0</v>
      </c>
      <c r="O187" s="19"/>
      <c r="P187" s="21"/>
      <c r="Q187" s="22"/>
    </row>
    <row r="188" spans="1:17" ht="30" x14ac:dyDescent="0.25">
      <c r="A188" s="23" t="s">
        <v>453</v>
      </c>
      <c r="B188" s="24" t="s">
        <v>454</v>
      </c>
      <c r="C188" s="25" t="s">
        <v>158</v>
      </c>
      <c r="D188" s="25" t="s">
        <v>425</v>
      </c>
      <c r="E188" s="26">
        <f>SUM(E189:E189)+1141239</f>
        <v>1141239</v>
      </c>
      <c r="F188" s="26">
        <f>SUM(F189:F189)+1141239</f>
        <v>1141239</v>
      </c>
      <c r="G188" s="26">
        <f t="shared" ref="G188:N188" si="70">SUM(G189:G189)</f>
        <v>0</v>
      </c>
      <c r="H188" s="26">
        <f t="shared" si="70"/>
        <v>0</v>
      </c>
      <c r="I188" s="26">
        <f t="shared" si="70"/>
        <v>0</v>
      </c>
      <c r="J188" s="26">
        <f t="shared" si="70"/>
        <v>0</v>
      </c>
      <c r="K188" s="26">
        <f t="shared" si="70"/>
        <v>0</v>
      </c>
      <c r="L188" s="26">
        <f t="shared" si="70"/>
        <v>0</v>
      </c>
      <c r="M188" s="26">
        <f t="shared" si="70"/>
        <v>0</v>
      </c>
      <c r="N188" s="26">
        <f t="shared" si="70"/>
        <v>0</v>
      </c>
      <c r="O188" s="25" t="s">
        <v>455</v>
      </c>
      <c r="P188" s="27" t="s">
        <v>32</v>
      </c>
      <c r="Q188" s="28" t="s">
        <v>456</v>
      </c>
    </row>
    <row r="189" spans="1:17" ht="45" x14ac:dyDescent="0.25">
      <c r="A189" s="23" t="s">
        <v>457</v>
      </c>
      <c r="B189" s="24" t="s">
        <v>458</v>
      </c>
      <c r="C189" s="25"/>
      <c r="D189" s="25" t="s">
        <v>425</v>
      </c>
      <c r="E189" s="29">
        <v>0</v>
      </c>
      <c r="F189" s="29">
        <v>0</v>
      </c>
      <c r="G189" s="29">
        <v>0</v>
      </c>
      <c r="H189" s="29">
        <v>0</v>
      </c>
      <c r="I189" s="29">
        <v>0</v>
      </c>
      <c r="J189" s="29">
        <v>0</v>
      </c>
      <c r="K189" s="29">
        <v>0</v>
      </c>
      <c r="L189" s="29">
        <v>0</v>
      </c>
      <c r="M189" s="29">
        <v>0</v>
      </c>
      <c r="N189" s="29">
        <v>0</v>
      </c>
      <c r="O189" s="25"/>
      <c r="P189" s="27"/>
      <c r="Q189" s="28"/>
    </row>
    <row r="190" spans="1:17" ht="30" x14ac:dyDescent="0.25">
      <c r="A190" s="23" t="s">
        <v>459</v>
      </c>
      <c r="B190" s="24" t="s">
        <v>460</v>
      </c>
      <c r="C190" s="25" t="s">
        <v>158</v>
      </c>
      <c r="D190" s="25" t="s">
        <v>425</v>
      </c>
      <c r="E190" s="26">
        <f>SUM(E191:E191)+5000</f>
        <v>5000</v>
      </c>
      <c r="F190" s="26">
        <f>SUM(F191:F191)+5000</f>
        <v>5000</v>
      </c>
      <c r="G190" s="26">
        <f t="shared" ref="G190:N190" si="71">SUM(G191:G191)</f>
        <v>0</v>
      </c>
      <c r="H190" s="26">
        <f t="shared" si="71"/>
        <v>0</v>
      </c>
      <c r="I190" s="26">
        <f t="shared" si="71"/>
        <v>0</v>
      </c>
      <c r="J190" s="26">
        <f t="shared" si="71"/>
        <v>0</v>
      </c>
      <c r="K190" s="26">
        <f t="shared" si="71"/>
        <v>0</v>
      </c>
      <c r="L190" s="26">
        <f t="shared" si="71"/>
        <v>0</v>
      </c>
      <c r="M190" s="26">
        <f t="shared" si="71"/>
        <v>0</v>
      </c>
      <c r="N190" s="26">
        <f t="shared" si="71"/>
        <v>0</v>
      </c>
      <c r="O190" s="25" t="s">
        <v>461</v>
      </c>
      <c r="P190" s="27" t="s">
        <v>32</v>
      </c>
      <c r="Q190" s="28" t="s">
        <v>430</v>
      </c>
    </row>
    <row r="191" spans="1:17" ht="45" x14ac:dyDescent="0.25">
      <c r="A191" s="23" t="s">
        <v>462</v>
      </c>
      <c r="B191" s="24" t="s">
        <v>463</v>
      </c>
      <c r="C191" s="25"/>
      <c r="D191" s="25" t="s">
        <v>425</v>
      </c>
      <c r="E191" s="29">
        <v>0</v>
      </c>
      <c r="F191" s="29">
        <v>0</v>
      </c>
      <c r="G191" s="29">
        <v>0</v>
      </c>
      <c r="H191" s="29">
        <v>0</v>
      </c>
      <c r="I191" s="29">
        <v>0</v>
      </c>
      <c r="J191" s="29">
        <v>0</v>
      </c>
      <c r="K191" s="29">
        <v>0</v>
      </c>
      <c r="L191" s="29">
        <v>0</v>
      </c>
      <c r="M191" s="29">
        <v>0</v>
      </c>
      <c r="N191" s="29">
        <v>0</v>
      </c>
      <c r="O191" s="25"/>
      <c r="P191" s="27"/>
      <c r="Q191" s="28"/>
    </row>
    <row r="192" spans="1:17" ht="42.75" x14ac:dyDescent="0.25">
      <c r="A192" s="17" t="s">
        <v>464</v>
      </c>
      <c r="B192" s="18" t="s">
        <v>465</v>
      </c>
      <c r="C192" s="19"/>
      <c r="D192" s="19"/>
      <c r="E192" s="20">
        <f t="shared" ref="E192:N192" si="72">E193+E195+E197</f>
        <v>23552</v>
      </c>
      <c r="F192" s="20">
        <f t="shared" si="72"/>
        <v>13262</v>
      </c>
      <c r="G192" s="20">
        <f t="shared" si="72"/>
        <v>0</v>
      </c>
      <c r="H192" s="20">
        <f t="shared" si="72"/>
        <v>0</v>
      </c>
      <c r="I192" s="20">
        <f t="shared" si="72"/>
        <v>0</v>
      </c>
      <c r="J192" s="20">
        <f t="shared" si="72"/>
        <v>0</v>
      </c>
      <c r="K192" s="20">
        <f t="shared" si="72"/>
        <v>0</v>
      </c>
      <c r="L192" s="20">
        <f t="shared" si="72"/>
        <v>10290</v>
      </c>
      <c r="M192" s="20">
        <f t="shared" si="72"/>
        <v>0</v>
      </c>
      <c r="N192" s="20">
        <f t="shared" si="72"/>
        <v>0</v>
      </c>
      <c r="O192" s="19"/>
      <c r="P192" s="21"/>
      <c r="Q192" s="22"/>
    </row>
    <row r="193" spans="1:17" ht="30" x14ac:dyDescent="0.25">
      <c r="A193" s="23" t="s">
        <v>466</v>
      </c>
      <c r="B193" s="24" t="s">
        <v>467</v>
      </c>
      <c r="C193" s="25" t="s">
        <v>158</v>
      </c>
      <c r="D193" s="25" t="s">
        <v>425</v>
      </c>
      <c r="E193" s="26">
        <f t="shared" ref="E193:N193" si="73">SUM(E194:E194)</f>
        <v>0</v>
      </c>
      <c r="F193" s="26">
        <f t="shared" si="73"/>
        <v>0</v>
      </c>
      <c r="G193" s="26">
        <f t="shared" si="73"/>
        <v>0</v>
      </c>
      <c r="H193" s="26">
        <f t="shared" si="73"/>
        <v>0</v>
      </c>
      <c r="I193" s="26">
        <f t="shared" si="73"/>
        <v>0</v>
      </c>
      <c r="J193" s="26">
        <f t="shared" si="73"/>
        <v>0</v>
      </c>
      <c r="K193" s="26">
        <f t="shared" si="73"/>
        <v>0</v>
      </c>
      <c r="L193" s="26">
        <f t="shared" si="73"/>
        <v>0</v>
      </c>
      <c r="M193" s="26">
        <f t="shared" si="73"/>
        <v>0</v>
      </c>
      <c r="N193" s="26">
        <f t="shared" si="73"/>
        <v>0</v>
      </c>
      <c r="O193" s="25" t="s">
        <v>468</v>
      </c>
      <c r="P193" s="27" t="s">
        <v>32</v>
      </c>
      <c r="Q193" s="28" t="s">
        <v>114</v>
      </c>
    </row>
    <row r="194" spans="1:17" ht="30" x14ac:dyDescent="0.25">
      <c r="A194" s="23" t="s">
        <v>469</v>
      </c>
      <c r="B194" s="24" t="s">
        <v>470</v>
      </c>
      <c r="C194" s="25"/>
      <c r="D194" s="25" t="s">
        <v>425</v>
      </c>
      <c r="E194" s="29">
        <v>0</v>
      </c>
      <c r="F194" s="29">
        <v>0</v>
      </c>
      <c r="G194" s="29">
        <v>0</v>
      </c>
      <c r="H194" s="29">
        <v>0</v>
      </c>
      <c r="I194" s="29">
        <v>0</v>
      </c>
      <c r="J194" s="29">
        <v>0</v>
      </c>
      <c r="K194" s="29">
        <v>0</v>
      </c>
      <c r="L194" s="29">
        <v>0</v>
      </c>
      <c r="M194" s="29">
        <v>0</v>
      </c>
      <c r="N194" s="29">
        <v>0</v>
      </c>
      <c r="O194" s="25"/>
      <c r="P194" s="27"/>
      <c r="Q194" s="28"/>
    </row>
    <row r="195" spans="1:17" ht="30" x14ac:dyDescent="0.25">
      <c r="A195" s="23" t="s">
        <v>471</v>
      </c>
      <c r="B195" s="24" t="s">
        <v>472</v>
      </c>
      <c r="C195" s="25" t="s">
        <v>158</v>
      </c>
      <c r="D195" s="25" t="s">
        <v>425</v>
      </c>
      <c r="E195" s="26">
        <f>SUM(E196:E196)+13262</f>
        <v>13262</v>
      </c>
      <c r="F195" s="26">
        <f>SUM(F196:F196)+13262</f>
        <v>13262</v>
      </c>
      <c r="G195" s="26">
        <f t="shared" ref="G195:N195" si="74">SUM(G196:G196)</f>
        <v>0</v>
      </c>
      <c r="H195" s="26">
        <f t="shared" si="74"/>
        <v>0</v>
      </c>
      <c r="I195" s="26">
        <f t="shared" si="74"/>
        <v>0</v>
      </c>
      <c r="J195" s="26">
        <f t="shared" si="74"/>
        <v>0</v>
      </c>
      <c r="K195" s="26">
        <f t="shared" si="74"/>
        <v>0</v>
      </c>
      <c r="L195" s="26">
        <f t="shared" si="74"/>
        <v>0</v>
      </c>
      <c r="M195" s="26">
        <f t="shared" si="74"/>
        <v>0</v>
      </c>
      <c r="N195" s="26">
        <f t="shared" si="74"/>
        <v>0</v>
      </c>
      <c r="O195" s="25" t="s">
        <v>473</v>
      </c>
      <c r="P195" s="27" t="s">
        <v>32</v>
      </c>
      <c r="Q195" s="28" t="s">
        <v>456</v>
      </c>
    </row>
    <row r="196" spans="1:17" x14ac:dyDescent="0.25">
      <c r="A196" s="23" t="s">
        <v>474</v>
      </c>
      <c r="B196" s="24" t="s">
        <v>475</v>
      </c>
      <c r="C196" s="25"/>
      <c r="D196" s="25" t="s">
        <v>425</v>
      </c>
      <c r="E196" s="29">
        <v>0</v>
      </c>
      <c r="F196" s="29">
        <v>0</v>
      </c>
      <c r="G196" s="29">
        <v>0</v>
      </c>
      <c r="H196" s="29">
        <v>0</v>
      </c>
      <c r="I196" s="29">
        <v>0</v>
      </c>
      <c r="J196" s="29">
        <v>0</v>
      </c>
      <c r="K196" s="29">
        <v>0</v>
      </c>
      <c r="L196" s="29">
        <v>0</v>
      </c>
      <c r="M196" s="29">
        <v>0</v>
      </c>
      <c r="N196" s="29">
        <v>0</v>
      </c>
      <c r="O196" s="25"/>
      <c r="P196" s="27"/>
      <c r="Q196" s="28"/>
    </row>
    <row r="197" spans="1:17" ht="45" x14ac:dyDescent="0.25">
      <c r="A197" s="23" t="s">
        <v>476</v>
      </c>
      <c r="B197" s="24" t="s">
        <v>477</v>
      </c>
      <c r="C197" s="25" t="s">
        <v>158</v>
      </c>
      <c r="D197" s="25" t="s">
        <v>425</v>
      </c>
      <c r="E197" s="26">
        <f>SUM(E198:E198)+10290</f>
        <v>10290</v>
      </c>
      <c r="F197" s="26">
        <f t="shared" ref="F197:K197" si="75">SUM(F198:F198)</f>
        <v>0</v>
      </c>
      <c r="G197" s="26">
        <f t="shared" si="75"/>
        <v>0</v>
      </c>
      <c r="H197" s="26">
        <f t="shared" si="75"/>
        <v>0</v>
      </c>
      <c r="I197" s="26">
        <f t="shared" si="75"/>
        <v>0</v>
      </c>
      <c r="J197" s="26">
        <f t="shared" si="75"/>
        <v>0</v>
      </c>
      <c r="K197" s="26">
        <f t="shared" si="75"/>
        <v>0</v>
      </c>
      <c r="L197" s="26">
        <f>SUM(L198:L198)+10290</f>
        <v>10290</v>
      </c>
      <c r="M197" s="26">
        <f>SUM(M198:M198)</f>
        <v>0</v>
      </c>
      <c r="N197" s="26">
        <f>SUM(N198:N198)</f>
        <v>0</v>
      </c>
      <c r="O197" s="25" t="s">
        <v>478</v>
      </c>
      <c r="P197" s="27" t="s">
        <v>429</v>
      </c>
      <c r="Q197" s="28" t="s">
        <v>479</v>
      </c>
    </row>
    <row r="198" spans="1:17" ht="30" x14ac:dyDescent="0.25">
      <c r="A198" s="23" t="s">
        <v>480</v>
      </c>
      <c r="B198" s="24" t="s">
        <v>481</v>
      </c>
      <c r="C198" s="25"/>
      <c r="D198" s="25" t="s">
        <v>425</v>
      </c>
      <c r="E198" s="29">
        <v>0</v>
      </c>
      <c r="F198" s="29">
        <v>0</v>
      </c>
      <c r="G198" s="29">
        <v>0</v>
      </c>
      <c r="H198" s="29">
        <v>0</v>
      </c>
      <c r="I198" s="29">
        <v>0</v>
      </c>
      <c r="J198" s="29">
        <v>0</v>
      </c>
      <c r="K198" s="29">
        <v>0</v>
      </c>
      <c r="L198" s="29">
        <v>0</v>
      </c>
      <c r="M198" s="29">
        <v>0</v>
      </c>
      <c r="N198" s="29">
        <v>0</v>
      </c>
      <c r="O198" s="25"/>
      <c r="P198" s="27"/>
      <c r="Q198" s="28"/>
    </row>
    <row r="199" spans="1:17" ht="28.5" x14ac:dyDescent="0.25">
      <c r="A199" s="17" t="s">
        <v>482</v>
      </c>
      <c r="B199" s="18" t="s">
        <v>483</v>
      </c>
      <c r="C199" s="19"/>
      <c r="D199" s="19"/>
      <c r="E199" s="20">
        <f t="shared" ref="E199:N199" si="76">E200+E202+E204</f>
        <v>35000</v>
      </c>
      <c r="F199" s="20">
        <f t="shared" si="76"/>
        <v>35000</v>
      </c>
      <c r="G199" s="20">
        <f t="shared" si="76"/>
        <v>0</v>
      </c>
      <c r="H199" s="20">
        <f t="shared" si="76"/>
        <v>0</v>
      </c>
      <c r="I199" s="20">
        <f t="shared" si="76"/>
        <v>0</v>
      </c>
      <c r="J199" s="20">
        <f t="shared" si="76"/>
        <v>0</v>
      </c>
      <c r="K199" s="20">
        <f t="shared" si="76"/>
        <v>0</v>
      </c>
      <c r="L199" s="20">
        <f t="shared" si="76"/>
        <v>0</v>
      </c>
      <c r="M199" s="20">
        <f t="shared" si="76"/>
        <v>0</v>
      </c>
      <c r="N199" s="20">
        <f t="shared" si="76"/>
        <v>0</v>
      </c>
      <c r="O199" s="19"/>
      <c r="P199" s="21"/>
      <c r="Q199" s="22"/>
    </row>
    <row r="200" spans="1:17" ht="30" x14ac:dyDescent="0.25">
      <c r="A200" s="23" t="s">
        <v>484</v>
      </c>
      <c r="B200" s="24" t="s">
        <v>485</v>
      </c>
      <c r="C200" s="25" t="s">
        <v>158</v>
      </c>
      <c r="D200" s="25" t="s">
        <v>486</v>
      </c>
      <c r="E200" s="26">
        <f>SUM(E201:E201)+10000</f>
        <v>10000</v>
      </c>
      <c r="F200" s="26">
        <f>SUM(F201:F201)+10000</f>
        <v>10000</v>
      </c>
      <c r="G200" s="26">
        <f t="shared" ref="G200:N200" si="77">SUM(G201:G201)</f>
        <v>0</v>
      </c>
      <c r="H200" s="26">
        <f t="shared" si="77"/>
        <v>0</v>
      </c>
      <c r="I200" s="26">
        <f t="shared" si="77"/>
        <v>0</v>
      </c>
      <c r="J200" s="26">
        <f t="shared" si="77"/>
        <v>0</v>
      </c>
      <c r="K200" s="26">
        <f t="shared" si="77"/>
        <v>0</v>
      </c>
      <c r="L200" s="26">
        <f t="shared" si="77"/>
        <v>0</v>
      </c>
      <c r="M200" s="26">
        <f t="shared" si="77"/>
        <v>0</v>
      </c>
      <c r="N200" s="26">
        <f t="shared" si="77"/>
        <v>0</v>
      </c>
      <c r="O200" s="25" t="s">
        <v>487</v>
      </c>
      <c r="P200" s="27" t="s">
        <v>32</v>
      </c>
      <c r="Q200" s="28" t="s">
        <v>39</v>
      </c>
    </row>
    <row r="201" spans="1:17" x14ac:dyDescent="0.25">
      <c r="A201" s="23" t="s">
        <v>488</v>
      </c>
      <c r="B201" s="24" t="s">
        <v>489</v>
      </c>
      <c r="C201" s="25"/>
      <c r="D201" s="25" t="s">
        <v>486</v>
      </c>
      <c r="E201" s="29">
        <v>0</v>
      </c>
      <c r="F201" s="29">
        <v>0</v>
      </c>
      <c r="G201" s="29">
        <v>0</v>
      </c>
      <c r="H201" s="29">
        <v>0</v>
      </c>
      <c r="I201" s="29">
        <v>0</v>
      </c>
      <c r="J201" s="29">
        <v>0</v>
      </c>
      <c r="K201" s="29">
        <v>0</v>
      </c>
      <c r="L201" s="29">
        <v>0</v>
      </c>
      <c r="M201" s="29">
        <v>0</v>
      </c>
      <c r="N201" s="29">
        <v>0</v>
      </c>
      <c r="O201" s="25"/>
      <c r="P201" s="27"/>
      <c r="Q201" s="28"/>
    </row>
    <row r="202" spans="1:17" ht="30" x14ac:dyDescent="0.25">
      <c r="A202" s="23" t="s">
        <v>490</v>
      </c>
      <c r="B202" s="24" t="s">
        <v>491</v>
      </c>
      <c r="C202" s="25" t="s">
        <v>158</v>
      </c>
      <c r="D202" s="25" t="s">
        <v>492</v>
      </c>
      <c r="E202" s="26">
        <f>SUM(E203:E203)+20000</f>
        <v>20000</v>
      </c>
      <c r="F202" s="26">
        <f>SUM(F203:F203)+20000</f>
        <v>20000</v>
      </c>
      <c r="G202" s="26">
        <f t="shared" ref="G202:N202" si="78">SUM(G203:G203)</f>
        <v>0</v>
      </c>
      <c r="H202" s="26">
        <f t="shared" si="78"/>
        <v>0</v>
      </c>
      <c r="I202" s="26">
        <f t="shared" si="78"/>
        <v>0</v>
      </c>
      <c r="J202" s="26">
        <f t="shared" si="78"/>
        <v>0</v>
      </c>
      <c r="K202" s="26">
        <f t="shared" si="78"/>
        <v>0</v>
      </c>
      <c r="L202" s="26">
        <f t="shared" si="78"/>
        <v>0</v>
      </c>
      <c r="M202" s="26">
        <f t="shared" si="78"/>
        <v>0</v>
      </c>
      <c r="N202" s="26">
        <f t="shared" si="78"/>
        <v>0</v>
      </c>
      <c r="O202" s="25" t="s">
        <v>493</v>
      </c>
      <c r="P202" s="27" t="s">
        <v>32</v>
      </c>
      <c r="Q202" s="28" t="s">
        <v>39</v>
      </c>
    </row>
    <row r="203" spans="1:17" ht="30" x14ac:dyDescent="0.25">
      <c r="A203" s="23" t="s">
        <v>494</v>
      </c>
      <c r="B203" s="24" t="s">
        <v>495</v>
      </c>
      <c r="C203" s="25"/>
      <c r="D203" s="25" t="s">
        <v>492</v>
      </c>
      <c r="E203" s="29">
        <v>0</v>
      </c>
      <c r="F203" s="29">
        <v>0</v>
      </c>
      <c r="G203" s="29">
        <v>0</v>
      </c>
      <c r="H203" s="29">
        <v>0</v>
      </c>
      <c r="I203" s="29">
        <v>0</v>
      </c>
      <c r="J203" s="29">
        <v>0</v>
      </c>
      <c r="K203" s="29">
        <v>0</v>
      </c>
      <c r="L203" s="29">
        <v>0</v>
      </c>
      <c r="M203" s="29">
        <v>0</v>
      </c>
      <c r="N203" s="29">
        <v>0</v>
      </c>
      <c r="O203" s="25"/>
      <c r="P203" s="27"/>
      <c r="Q203" s="28"/>
    </row>
    <row r="204" spans="1:17" ht="30" x14ac:dyDescent="0.25">
      <c r="A204" s="23" t="s">
        <v>496</v>
      </c>
      <c r="B204" s="24" t="s">
        <v>497</v>
      </c>
      <c r="C204" s="25"/>
      <c r="D204" s="25" t="s">
        <v>486</v>
      </c>
      <c r="E204" s="26">
        <f>SUM(E205:E205)+5000</f>
        <v>5000</v>
      </c>
      <c r="F204" s="26">
        <f>SUM(F205:F205)+5000</f>
        <v>5000</v>
      </c>
      <c r="G204" s="26">
        <f t="shared" ref="G204:N204" si="79">SUM(G205:G205)</f>
        <v>0</v>
      </c>
      <c r="H204" s="26">
        <f t="shared" si="79"/>
        <v>0</v>
      </c>
      <c r="I204" s="26">
        <f t="shared" si="79"/>
        <v>0</v>
      </c>
      <c r="J204" s="26">
        <f t="shared" si="79"/>
        <v>0</v>
      </c>
      <c r="K204" s="26">
        <f t="shared" si="79"/>
        <v>0</v>
      </c>
      <c r="L204" s="26">
        <f t="shared" si="79"/>
        <v>0</v>
      </c>
      <c r="M204" s="26">
        <f t="shared" si="79"/>
        <v>0</v>
      </c>
      <c r="N204" s="26">
        <f t="shared" si="79"/>
        <v>0</v>
      </c>
      <c r="O204" s="25" t="s">
        <v>498</v>
      </c>
      <c r="P204" s="27" t="s">
        <v>32</v>
      </c>
      <c r="Q204" s="28" t="s">
        <v>39</v>
      </c>
    </row>
    <row r="205" spans="1:17" ht="30" x14ac:dyDescent="0.25">
      <c r="A205" s="23" t="s">
        <v>499</v>
      </c>
      <c r="B205" s="24" t="s">
        <v>500</v>
      </c>
      <c r="C205" s="25"/>
      <c r="D205" s="25" t="s">
        <v>486</v>
      </c>
      <c r="E205" s="29">
        <v>0</v>
      </c>
      <c r="F205" s="29">
        <v>0</v>
      </c>
      <c r="G205" s="29">
        <v>0</v>
      </c>
      <c r="H205" s="29">
        <v>0</v>
      </c>
      <c r="I205" s="29">
        <v>0</v>
      </c>
      <c r="J205" s="29">
        <v>0</v>
      </c>
      <c r="K205" s="29">
        <v>0</v>
      </c>
      <c r="L205" s="29">
        <v>0</v>
      </c>
      <c r="M205" s="29">
        <v>0</v>
      </c>
      <c r="N205" s="29">
        <v>0</v>
      </c>
      <c r="O205" s="25"/>
      <c r="P205" s="27"/>
      <c r="Q205" s="28"/>
    </row>
    <row r="206" spans="1:17" ht="28.5" x14ac:dyDescent="0.25">
      <c r="A206" s="17" t="s">
        <v>501</v>
      </c>
      <c r="B206" s="18" t="s">
        <v>502</v>
      </c>
      <c r="C206" s="19"/>
      <c r="D206" s="19"/>
      <c r="E206" s="20">
        <f t="shared" ref="E206:N206" si="80">E207+E209+E211</f>
        <v>57000</v>
      </c>
      <c r="F206" s="20">
        <f t="shared" si="80"/>
        <v>57000</v>
      </c>
      <c r="G206" s="20">
        <f t="shared" si="80"/>
        <v>0</v>
      </c>
      <c r="H206" s="20">
        <f t="shared" si="80"/>
        <v>0</v>
      </c>
      <c r="I206" s="20">
        <f t="shared" si="80"/>
        <v>0</v>
      </c>
      <c r="J206" s="20">
        <f t="shared" si="80"/>
        <v>0</v>
      </c>
      <c r="K206" s="20">
        <f t="shared" si="80"/>
        <v>0</v>
      </c>
      <c r="L206" s="20">
        <f t="shared" si="80"/>
        <v>0</v>
      </c>
      <c r="M206" s="20">
        <f t="shared" si="80"/>
        <v>0</v>
      </c>
      <c r="N206" s="20">
        <f t="shared" si="80"/>
        <v>0</v>
      </c>
      <c r="O206" s="19"/>
      <c r="P206" s="21"/>
      <c r="Q206" s="22"/>
    </row>
    <row r="207" spans="1:17" ht="45" x14ac:dyDescent="0.25">
      <c r="A207" s="23" t="s">
        <v>503</v>
      </c>
      <c r="B207" s="24" t="s">
        <v>504</v>
      </c>
      <c r="C207" s="25" t="s">
        <v>158</v>
      </c>
      <c r="D207" s="25" t="s">
        <v>505</v>
      </c>
      <c r="E207" s="26">
        <f>SUM(E208:E208)+5000</f>
        <v>5000</v>
      </c>
      <c r="F207" s="26">
        <f>SUM(F208:F208)+5000</f>
        <v>5000</v>
      </c>
      <c r="G207" s="26">
        <f t="shared" ref="G207:N207" si="81">SUM(G208:G208)</f>
        <v>0</v>
      </c>
      <c r="H207" s="26">
        <f t="shared" si="81"/>
        <v>0</v>
      </c>
      <c r="I207" s="26">
        <f t="shared" si="81"/>
        <v>0</v>
      </c>
      <c r="J207" s="26">
        <f t="shared" si="81"/>
        <v>0</v>
      </c>
      <c r="K207" s="26">
        <f t="shared" si="81"/>
        <v>0</v>
      </c>
      <c r="L207" s="26">
        <f t="shared" si="81"/>
        <v>0</v>
      </c>
      <c r="M207" s="26">
        <f t="shared" si="81"/>
        <v>0</v>
      </c>
      <c r="N207" s="26">
        <f t="shared" si="81"/>
        <v>0</v>
      </c>
      <c r="O207" s="25" t="s">
        <v>506</v>
      </c>
      <c r="P207" s="27" t="s">
        <v>32</v>
      </c>
      <c r="Q207" s="28" t="s">
        <v>275</v>
      </c>
    </row>
    <row r="208" spans="1:17" ht="45" x14ac:dyDescent="0.25">
      <c r="A208" s="23" t="s">
        <v>507</v>
      </c>
      <c r="B208" s="24" t="s">
        <v>508</v>
      </c>
      <c r="C208" s="25"/>
      <c r="D208" s="25" t="s">
        <v>505</v>
      </c>
      <c r="E208" s="29">
        <v>0</v>
      </c>
      <c r="F208" s="29">
        <v>0</v>
      </c>
      <c r="G208" s="29">
        <v>0</v>
      </c>
      <c r="H208" s="29">
        <v>0</v>
      </c>
      <c r="I208" s="29">
        <v>0</v>
      </c>
      <c r="J208" s="29">
        <v>0</v>
      </c>
      <c r="K208" s="29">
        <v>0</v>
      </c>
      <c r="L208" s="29">
        <v>0</v>
      </c>
      <c r="M208" s="29">
        <v>0</v>
      </c>
      <c r="N208" s="29">
        <v>0</v>
      </c>
      <c r="O208" s="25"/>
      <c r="P208" s="27"/>
      <c r="Q208" s="28"/>
    </row>
    <row r="209" spans="1:17" ht="30" x14ac:dyDescent="0.25">
      <c r="A209" s="23" t="s">
        <v>509</v>
      </c>
      <c r="B209" s="24" t="s">
        <v>510</v>
      </c>
      <c r="C209" s="25" t="s">
        <v>158</v>
      </c>
      <c r="D209" s="25" t="s">
        <v>505</v>
      </c>
      <c r="E209" s="26">
        <f>SUM(E210:E210)+2000</f>
        <v>2000</v>
      </c>
      <c r="F209" s="26">
        <f>SUM(F210:F210)+2000</f>
        <v>2000</v>
      </c>
      <c r="G209" s="26">
        <f t="shared" ref="G209:N209" si="82">SUM(G210:G210)</f>
        <v>0</v>
      </c>
      <c r="H209" s="26">
        <f t="shared" si="82"/>
        <v>0</v>
      </c>
      <c r="I209" s="26">
        <f t="shared" si="82"/>
        <v>0</v>
      </c>
      <c r="J209" s="26">
        <f t="shared" si="82"/>
        <v>0</v>
      </c>
      <c r="K209" s="26">
        <f t="shared" si="82"/>
        <v>0</v>
      </c>
      <c r="L209" s="26">
        <f t="shared" si="82"/>
        <v>0</v>
      </c>
      <c r="M209" s="26">
        <f t="shared" si="82"/>
        <v>0</v>
      </c>
      <c r="N209" s="26">
        <f t="shared" si="82"/>
        <v>0</v>
      </c>
      <c r="O209" s="25" t="s">
        <v>511</v>
      </c>
      <c r="P209" s="27" t="s">
        <v>32</v>
      </c>
      <c r="Q209" s="28" t="s">
        <v>275</v>
      </c>
    </row>
    <row r="210" spans="1:17" ht="30" x14ac:dyDescent="0.25">
      <c r="A210" s="23" t="s">
        <v>512</v>
      </c>
      <c r="B210" s="24" t="s">
        <v>513</v>
      </c>
      <c r="C210" s="25"/>
      <c r="D210" s="25" t="s">
        <v>505</v>
      </c>
      <c r="E210" s="29">
        <v>0</v>
      </c>
      <c r="F210" s="29">
        <v>0</v>
      </c>
      <c r="G210" s="29">
        <v>0</v>
      </c>
      <c r="H210" s="29">
        <v>0</v>
      </c>
      <c r="I210" s="29">
        <v>0</v>
      </c>
      <c r="J210" s="29">
        <v>0</v>
      </c>
      <c r="K210" s="29">
        <v>0</v>
      </c>
      <c r="L210" s="29">
        <v>0</v>
      </c>
      <c r="M210" s="29">
        <v>0</v>
      </c>
      <c r="N210" s="29">
        <v>0</v>
      </c>
      <c r="O210" s="25"/>
      <c r="P210" s="27"/>
      <c r="Q210" s="28"/>
    </row>
    <row r="211" spans="1:17" ht="45" x14ac:dyDescent="0.25">
      <c r="A211" s="23" t="s">
        <v>514</v>
      </c>
      <c r="B211" s="24" t="s">
        <v>515</v>
      </c>
      <c r="C211" s="25" t="s">
        <v>158</v>
      </c>
      <c r="D211" s="25" t="s">
        <v>505</v>
      </c>
      <c r="E211" s="26">
        <f>SUM(E212:E212)+50000</f>
        <v>50000</v>
      </c>
      <c r="F211" s="26">
        <f>SUM(F212:F212)+50000</f>
        <v>50000</v>
      </c>
      <c r="G211" s="26">
        <f t="shared" ref="G211:N211" si="83">SUM(G212:G212)</f>
        <v>0</v>
      </c>
      <c r="H211" s="26">
        <f t="shared" si="83"/>
        <v>0</v>
      </c>
      <c r="I211" s="26">
        <f t="shared" si="83"/>
        <v>0</v>
      </c>
      <c r="J211" s="26">
        <f t="shared" si="83"/>
        <v>0</v>
      </c>
      <c r="K211" s="26">
        <f t="shared" si="83"/>
        <v>0</v>
      </c>
      <c r="L211" s="26">
        <f t="shared" si="83"/>
        <v>0</v>
      </c>
      <c r="M211" s="26">
        <f t="shared" si="83"/>
        <v>0</v>
      </c>
      <c r="N211" s="26">
        <f t="shared" si="83"/>
        <v>0</v>
      </c>
      <c r="O211" s="25" t="s">
        <v>516</v>
      </c>
      <c r="P211" s="27" t="s">
        <v>384</v>
      </c>
      <c r="Q211" s="28" t="s">
        <v>275</v>
      </c>
    </row>
    <row r="212" spans="1:17" x14ac:dyDescent="0.25">
      <c r="A212" s="23" t="s">
        <v>517</v>
      </c>
      <c r="B212" s="24" t="s">
        <v>518</v>
      </c>
      <c r="C212" s="25"/>
      <c r="D212" s="25" t="s">
        <v>505</v>
      </c>
      <c r="E212" s="29">
        <v>0</v>
      </c>
      <c r="F212" s="29">
        <v>0</v>
      </c>
      <c r="G212" s="29">
        <v>0</v>
      </c>
      <c r="H212" s="29">
        <v>0</v>
      </c>
      <c r="I212" s="29">
        <v>0</v>
      </c>
      <c r="J212" s="29">
        <v>0</v>
      </c>
      <c r="K212" s="29">
        <v>0</v>
      </c>
      <c r="L212" s="29">
        <v>0</v>
      </c>
      <c r="M212" s="29">
        <v>0</v>
      </c>
      <c r="N212" s="29">
        <v>0</v>
      </c>
      <c r="O212" s="25"/>
      <c r="P212" s="27"/>
      <c r="Q212" s="28"/>
    </row>
    <row r="213" spans="1:17" ht="28.5" x14ac:dyDescent="0.25">
      <c r="A213" s="17" t="s">
        <v>519</v>
      </c>
      <c r="B213" s="18" t="s">
        <v>520</v>
      </c>
      <c r="C213" s="19"/>
      <c r="D213" s="19"/>
      <c r="E213" s="20">
        <f t="shared" ref="E213:N213" si="84">SUM(E214:E214)</f>
        <v>10000</v>
      </c>
      <c r="F213" s="20">
        <f t="shared" si="84"/>
        <v>10000</v>
      </c>
      <c r="G213" s="20">
        <f t="shared" si="84"/>
        <v>0</v>
      </c>
      <c r="H213" s="20">
        <f t="shared" si="84"/>
        <v>0</v>
      </c>
      <c r="I213" s="20">
        <f t="shared" si="84"/>
        <v>0</v>
      </c>
      <c r="J213" s="20">
        <f t="shared" si="84"/>
        <v>0</v>
      </c>
      <c r="K213" s="20">
        <f t="shared" si="84"/>
        <v>0</v>
      </c>
      <c r="L213" s="20">
        <f t="shared" si="84"/>
        <v>0</v>
      </c>
      <c r="M213" s="20">
        <f t="shared" si="84"/>
        <v>0</v>
      </c>
      <c r="N213" s="20">
        <f t="shared" si="84"/>
        <v>0</v>
      </c>
      <c r="O213" s="19"/>
      <c r="P213" s="21"/>
      <c r="Q213" s="22"/>
    </row>
    <row r="214" spans="1:17" ht="30" x14ac:dyDescent="0.25">
      <c r="A214" s="23" t="s">
        <v>521</v>
      </c>
      <c r="B214" s="24" t="s">
        <v>522</v>
      </c>
      <c r="C214" s="25" t="s">
        <v>158</v>
      </c>
      <c r="D214" s="25" t="s">
        <v>425</v>
      </c>
      <c r="E214" s="26">
        <f>SUM(E215:E215)+10000</f>
        <v>10000</v>
      </c>
      <c r="F214" s="26">
        <f>SUM(F215:F215)+10000</f>
        <v>10000</v>
      </c>
      <c r="G214" s="26">
        <f t="shared" ref="G214:N214" si="85">SUM(G215:G215)</f>
        <v>0</v>
      </c>
      <c r="H214" s="26">
        <f t="shared" si="85"/>
        <v>0</v>
      </c>
      <c r="I214" s="26">
        <f t="shared" si="85"/>
        <v>0</v>
      </c>
      <c r="J214" s="26">
        <f t="shared" si="85"/>
        <v>0</v>
      </c>
      <c r="K214" s="26">
        <f t="shared" si="85"/>
        <v>0</v>
      </c>
      <c r="L214" s="26">
        <f t="shared" si="85"/>
        <v>0</v>
      </c>
      <c r="M214" s="26">
        <f t="shared" si="85"/>
        <v>0</v>
      </c>
      <c r="N214" s="26">
        <f t="shared" si="85"/>
        <v>0</v>
      </c>
      <c r="O214" s="25" t="s">
        <v>523</v>
      </c>
      <c r="P214" s="27" t="s">
        <v>32</v>
      </c>
      <c r="Q214" s="28" t="s">
        <v>39</v>
      </c>
    </row>
    <row r="215" spans="1:17" ht="30" x14ac:dyDescent="0.25">
      <c r="A215" s="23" t="s">
        <v>524</v>
      </c>
      <c r="B215" s="24" t="s">
        <v>525</v>
      </c>
      <c r="C215" s="25"/>
      <c r="D215" s="25" t="s">
        <v>425</v>
      </c>
      <c r="E215" s="29">
        <v>0</v>
      </c>
      <c r="F215" s="29">
        <v>0</v>
      </c>
      <c r="G215" s="29">
        <v>0</v>
      </c>
      <c r="H215" s="29">
        <v>0</v>
      </c>
      <c r="I215" s="29">
        <v>0</v>
      </c>
      <c r="J215" s="29">
        <v>0</v>
      </c>
      <c r="K215" s="29">
        <v>0</v>
      </c>
      <c r="L215" s="29">
        <v>0</v>
      </c>
      <c r="M215" s="29">
        <v>0</v>
      </c>
      <c r="N215" s="29">
        <v>0</v>
      </c>
      <c r="O215" s="25"/>
      <c r="P215" s="27"/>
      <c r="Q215" s="28"/>
    </row>
    <row r="216" spans="1:17" x14ac:dyDescent="0.25">
      <c r="A216" s="11" t="s">
        <v>526</v>
      </c>
      <c r="B216" s="12" t="s">
        <v>527</v>
      </c>
      <c r="C216" s="13"/>
      <c r="D216" s="13"/>
      <c r="E216" s="14">
        <f t="shared" ref="E216:N216" si="86">E217+E222</f>
        <v>91000</v>
      </c>
      <c r="F216" s="14">
        <f t="shared" si="86"/>
        <v>91000</v>
      </c>
      <c r="G216" s="14">
        <f t="shared" si="86"/>
        <v>0</v>
      </c>
      <c r="H216" s="14">
        <f t="shared" si="86"/>
        <v>0</v>
      </c>
      <c r="I216" s="14">
        <f t="shared" si="86"/>
        <v>0</v>
      </c>
      <c r="J216" s="14">
        <f t="shared" si="86"/>
        <v>0</v>
      </c>
      <c r="K216" s="14">
        <f t="shared" si="86"/>
        <v>0</v>
      </c>
      <c r="L216" s="14">
        <f t="shared" si="86"/>
        <v>0</v>
      </c>
      <c r="M216" s="14">
        <f t="shared" si="86"/>
        <v>0</v>
      </c>
      <c r="N216" s="14">
        <f t="shared" si="86"/>
        <v>0</v>
      </c>
      <c r="O216" s="13"/>
      <c r="P216" s="15"/>
      <c r="Q216" s="16"/>
    </row>
    <row r="217" spans="1:17" ht="28.5" x14ac:dyDescent="0.25">
      <c r="A217" s="17" t="s">
        <v>528</v>
      </c>
      <c r="B217" s="18" t="s">
        <v>529</v>
      </c>
      <c r="C217" s="19"/>
      <c r="D217" s="19"/>
      <c r="E217" s="20">
        <f t="shared" ref="E217:N217" si="87">E218+E220</f>
        <v>31000</v>
      </c>
      <c r="F217" s="20">
        <f t="shared" si="87"/>
        <v>31000</v>
      </c>
      <c r="G217" s="20">
        <f t="shared" si="87"/>
        <v>0</v>
      </c>
      <c r="H217" s="20">
        <f t="shared" si="87"/>
        <v>0</v>
      </c>
      <c r="I217" s="20">
        <f t="shared" si="87"/>
        <v>0</v>
      </c>
      <c r="J217" s="20">
        <f t="shared" si="87"/>
        <v>0</v>
      </c>
      <c r="K217" s="20">
        <f t="shared" si="87"/>
        <v>0</v>
      </c>
      <c r="L217" s="20">
        <f t="shared" si="87"/>
        <v>0</v>
      </c>
      <c r="M217" s="20">
        <f t="shared" si="87"/>
        <v>0</v>
      </c>
      <c r="N217" s="20">
        <f t="shared" si="87"/>
        <v>0</v>
      </c>
      <c r="O217" s="19"/>
      <c r="P217" s="21"/>
      <c r="Q217" s="22"/>
    </row>
    <row r="218" spans="1:17" ht="30" x14ac:dyDescent="0.25">
      <c r="A218" s="23" t="s">
        <v>530</v>
      </c>
      <c r="B218" s="24" t="s">
        <v>531</v>
      </c>
      <c r="C218" s="25" t="s">
        <v>158</v>
      </c>
      <c r="D218" s="25" t="s">
        <v>425</v>
      </c>
      <c r="E218" s="26">
        <f>SUM(E219:E219)+15000</f>
        <v>15000</v>
      </c>
      <c r="F218" s="26">
        <f>SUM(F219:F219)+15000</f>
        <v>15000</v>
      </c>
      <c r="G218" s="26">
        <f t="shared" ref="G218:N218" si="88">SUM(G219:G219)</f>
        <v>0</v>
      </c>
      <c r="H218" s="26">
        <f t="shared" si="88"/>
        <v>0</v>
      </c>
      <c r="I218" s="26">
        <f t="shared" si="88"/>
        <v>0</v>
      </c>
      <c r="J218" s="26">
        <f t="shared" si="88"/>
        <v>0</v>
      </c>
      <c r="K218" s="26">
        <f t="shared" si="88"/>
        <v>0</v>
      </c>
      <c r="L218" s="26">
        <f t="shared" si="88"/>
        <v>0</v>
      </c>
      <c r="M218" s="26">
        <f t="shared" si="88"/>
        <v>0</v>
      </c>
      <c r="N218" s="26">
        <f t="shared" si="88"/>
        <v>0</v>
      </c>
      <c r="O218" s="25" t="s">
        <v>532</v>
      </c>
      <c r="P218" s="27" t="s">
        <v>32</v>
      </c>
      <c r="Q218" s="28" t="s">
        <v>39</v>
      </c>
    </row>
    <row r="219" spans="1:17" x14ac:dyDescent="0.25">
      <c r="A219" s="23" t="s">
        <v>533</v>
      </c>
      <c r="B219" s="24" t="s">
        <v>534</v>
      </c>
      <c r="C219" s="25"/>
      <c r="D219" s="25" t="s">
        <v>425</v>
      </c>
      <c r="E219" s="29">
        <v>0</v>
      </c>
      <c r="F219" s="29">
        <v>0</v>
      </c>
      <c r="G219" s="29">
        <v>0</v>
      </c>
      <c r="H219" s="29">
        <v>0</v>
      </c>
      <c r="I219" s="29">
        <v>0</v>
      </c>
      <c r="J219" s="29">
        <v>0</v>
      </c>
      <c r="K219" s="29">
        <v>0</v>
      </c>
      <c r="L219" s="29">
        <v>0</v>
      </c>
      <c r="M219" s="29">
        <v>0</v>
      </c>
      <c r="N219" s="29">
        <v>0</v>
      </c>
      <c r="O219" s="25"/>
      <c r="P219" s="27"/>
      <c r="Q219" s="28"/>
    </row>
    <row r="220" spans="1:17" ht="30" x14ac:dyDescent="0.25">
      <c r="A220" s="23" t="s">
        <v>535</v>
      </c>
      <c r="B220" s="24" t="s">
        <v>536</v>
      </c>
      <c r="C220" s="25" t="s">
        <v>158</v>
      </c>
      <c r="D220" s="25" t="s">
        <v>425</v>
      </c>
      <c r="E220" s="26">
        <f>SUM(E221:E221)+16000</f>
        <v>16000</v>
      </c>
      <c r="F220" s="26">
        <f>SUM(F221:F221)+16000</f>
        <v>16000</v>
      </c>
      <c r="G220" s="26">
        <f t="shared" ref="G220:N220" si="89">SUM(G221:G221)</f>
        <v>0</v>
      </c>
      <c r="H220" s="26">
        <f t="shared" si="89"/>
        <v>0</v>
      </c>
      <c r="I220" s="26">
        <f t="shared" si="89"/>
        <v>0</v>
      </c>
      <c r="J220" s="26">
        <f t="shared" si="89"/>
        <v>0</v>
      </c>
      <c r="K220" s="26">
        <f t="shared" si="89"/>
        <v>0</v>
      </c>
      <c r="L220" s="26">
        <f t="shared" si="89"/>
        <v>0</v>
      </c>
      <c r="M220" s="26">
        <f t="shared" si="89"/>
        <v>0</v>
      </c>
      <c r="N220" s="26">
        <f t="shared" si="89"/>
        <v>0</v>
      </c>
      <c r="O220" s="25" t="s">
        <v>537</v>
      </c>
      <c r="P220" s="27" t="s">
        <v>32</v>
      </c>
      <c r="Q220" s="28" t="s">
        <v>39</v>
      </c>
    </row>
    <row r="221" spans="1:17" ht="30" x14ac:dyDescent="0.25">
      <c r="A221" s="23" t="s">
        <v>538</v>
      </c>
      <c r="B221" s="24" t="s">
        <v>539</v>
      </c>
      <c r="C221" s="25"/>
      <c r="D221" s="25" t="s">
        <v>425</v>
      </c>
      <c r="E221" s="29">
        <v>0</v>
      </c>
      <c r="F221" s="29">
        <v>0</v>
      </c>
      <c r="G221" s="29">
        <v>0</v>
      </c>
      <c r="H221" s="29">
        <v>0</v>
      </c>
      <c r="I221" s="29">
        <v>0</v>
      </c>
      <c r="J221" s="29">
        <v>0</v>
      </c>
      <c r="K221" s="29">
        <v>0</v>
      </c>
      <c r="L221" s="29">
        <v>0</v>
      </c>
      <c r="M221" s="29">
        <v>0</v>
      </c>
      <c r="N221" s="29">
        <v>0</v>
      </c>
      <c r="O221" s="25"/>
      <c r="P221" s="27"/>
      <c r="Q221" s="28"/>
    </row>
    <row r="222" spans="1:17" ht="28.5" x14ac:dyDescent="0.25">
      <c r="A222" s="17" t="s">
        <v>540</v>
      </c>
      <c r="B222" s="18" t="s">
        <v>541</v>
      </c>
      <c r="C222" s="19"/>
      <c r="D222" s="19" t="s">
        <v>425</v>
      </c>
      <c r="E222" s="20">
        <f t="shared" ref="E222:N222" si="90">E223+E225</f>
        <v>60000</v>
      </c>
      <c r="F222" s="20">
        <f t="shared" si="90"/>
        <v>60000</v>
      </c>
      <c r="G222" s="20">
        <f t="shared" si="90"/>
        <v>0</v>
      </c>
      <c r="H222" s="20">
        <f t="shared" si="90"/>
        <v>0</v>
      </c>
      <c r="I222" s="20">
        <f t="shared" si="90"/>
        <v>0</v>
      </c>
      <c r="J222" s="20">
        <f t="shared" si="90"/>
        <v>0</v>
      </c>
      <c r="K222" s="20">
        <f t="shared" si="90"/>
        <v>0</v>
      </c>
      <c r="L222" s="20">
        <f t="shared" si="90"/>
        <v>0</v>
      </c>
      <c r="M222" s="20">
        <f t="shared" si="90"/>
        <v>0</v>
      </c>
      <c r="N222" s="20">
        <f t="shared" si="90"/>
        <v>0</v>
      </c>
      <c r="O222" s="19"/>
      <c r="P222" s="21"/>
      <c r="Q222" s="22"/>
    </row>
    <row r="223" spans="1:17" ht="30" x14ac:dyDescent="0.25">
      <c r="A223" s="23" t="s">
        <v>542</v>
      </c>
      <c r="B223" s="24" t="s">
        <v>543</v>
      </c>
      <c r="C223" s="25" t="s">
        <v>158</v>
      </c>
      <c r="D223" s="25" t="s">
        <v>425</v>
      </c>
      <c r="E223" s="26">
        <f>SUM(E224:E224)+40000</f>
        <v>40000</v>
      </c>
      <c r="F223" s="26">
        <f>SUM(F224:F224)+40000</f>
        <v>40000</v>
      </c>
      <c r="G223" s="26">
        <f t="shared" ref="G223:N223" si="91">SUM(G224:G224)</f>
        <v>0</v>
      </c>
      <c r="H223" s="26">
        <f t="shared" si="91"/>
        <v>0</v>
      </c>
      <c r="I223" s="26">
        <f t="shared" si="91"/>
        <v>0</v>
      </c>
      <c r="J223" s="26">
        <f t="shared" si="91"/>
        <v>0</v>
      </c>
      <c r="K223" s="26">
        <f t="shared" si="91"/>
        <v>0</v>
      </c>
      <c r="L223" s="26">
        <f t="shared" si="91"/>
        <v>0</v>
      </c>
      <c r="M223" s="26">
        <f t="shared" si="91"/>
        <v>0</v>
      </c>
      <c r="N223" s="26">
        <f t="shared" si="91"/>
        <v>0</v>
      </c>
      <c r="O223" s="25" t="s">
        <v>544</v>
      </c>
      <c r="P223" s="27" t="s">
        <v>32</v>
      </c>
      <c r="Q223" s="28" t="s">
        <v>435</v>
      </c>
    </row>
    <row r="224" spans="1:17" ht="30" x14ac:dyDescent="0.25">
      <c r="A224" s="23" t="s">
        <v>545</v>
      </c>
      <c r="B224" s="24" t="s">
        <v>546</v>
      </c>
      <c r="C224" s="25"/>
      <c r="D224" s="25" t="s">
        <v>425</v>
      </c>
      <c r="E224" s="29">
        <v>0</v>
      </c>
      <c r="F224" s="29">
        <v>0</v>
      </c>
      <c r="G224" s="29">
        <v>0</v>
      </c>
      <c r="H224" s="29">
        <v>0</v>
      </c>
      <c r="I224" s="29">
        <v>0</v>
      </c>
      <c r="J224" s="29">
        <v>0</v>
      </c>
      <c r="K224" s="29">
        <v>0</v>
      </c>
      <c r="L224" s="29">
        <v>0</v>
      </c>
      <c r="M224" s="29">
        <v>0</v>
      </c>
      <c r="N224" s="29">
        <v>0</v>
      </c>
      <c r="O224" s="25"/>
      <c r="P224" s="27"/>
      <c r="Q224" s="28"/>
    </row>
    <row r="225" spans="1:17" ht="30" x14ac:dyDescent="0.25">
      <c r="A225" s="23" t="s">
        <v>547</v>
      </c>
      <c r="B225" s="24" t="s">
        <v>548</v>
      </c>
      <c r="C225" s="25" t="s">
        <v>158</v>
      </c>
      <c r="D225" s="25" t="s">
        <v>492</v>
      </c>
      <c r="E225" s="26">
        <f>SUM(E226:E226)+20000</f>
        <v>20000</v>
      </c>
      <c r="F225" s="26">
        <f>SUM(F226:F226)+20000</f>
        <v>20000</v>
      </c>
      <c r="G225" s="26">
        <f t="shared" ref="G225:N225" si="92">SUM(G226:G226)</f>
        <v>0</v>
      </c>
      <c r="H225" s="26">
        <f t="shared" si="92"/>
        <v>0</v>
      </c>
      <c r="I225" s="26">
        <f t="shared" si="92"/>
        <v>0</v>
      </c>
      <c r="J225" s="26">
        <f t="shared" si="92"/>
        <v>0</v>
      </c>
      <c r="K225" s="26">
        <f t="shared" si="92"/>
        <v>0</v>
      </c>
      <c r="L225" s="26">
        <f t="shared" si="92"/>
        <v>0</v>
      </c>
      <c r="M225" s="26">
        <f t="shared" si="92"/>
        <v>0</v>
      </c>
      <c r="N225" s="26">
        <f t="shared" si="92"/>
        <v>0</v>
      </c>
      <c r="O225" s="25" t="s">
        <v>549</v>
      </c>
      <c r="P225" s="27" t="s">
        <v>550</v>
      </c>
      <c r="Q225" s="28" t="s">
        <v>551</v>
      </c>
    </row>
    <row r="226" spans="1:17" ht="30" x14ac:dyDescent="0.25">
      <c r="A226" s="23" t="s">
        <v>552</v>
      </c>
      <c r="B226" s="24" t="s">
        <v>553</v>
      </c>
      <c r="C226" s="25"/>
      <c r="D226" s="25" t="s">
        <v>492</v>
      </c>
      <c r="E226" s="29">
        <v>0</v>
      </c>
      <c r="F226" s="29">
        <v>0</v>
      </c>
      <c r="G226" s="29">
        <v>0</v>
      </c>
      <c r="H226" s="29">
        <v>0</v>
      </c>
      <c r="I226" s="29">
        <v>0</v>
      </c>
      <c r="J226" s="29">
        <v>0</v>
      </c>
      <c r="K226" s="29">
        <v>0</v>
      </c>
      <c r="L226" s="29">
        <v>0</v>
      </c>
      <c r="M226" s="29">
        <v>0</v>
      </c>
      <c r="N226" s="29">
        <v>0</v>
      </c>
      <c r="O226" s="25"/>
      <c r="P226" s="27"/>
      <c r="Q226" s="28"/>
    </row>
    <row r="227" spans="1:17" x14ac:dyDescent="0.25">
      <c r="A227" s="11" t="s">
        <v>554</v>
      </c>
      <c r="B227" s="12" t="s">
        <v>555</v>
      </c>
      <c r="C227" s="13"/>
      <c r="D227" s="13"/>
      <c r="E227" s="14">
        <f t="shared" ref="E227:N227" si="93">E228+E237+E240+E243</f>
        <v>470000</v>
      </c>
      <c r="F227" s="14">
        <f t="shared" si="93"/>
        <v>470000</v>
      </c>
      <c r="G227" s="14">
        <f t="shared" si="93"/>
        <v>0</v>
      </c>
      <c r="H227" s="14">
        <f t="shared" si="93"/>
        <v>0</v>
      </c>
      <c r="I227" s="14">
        <f t="shared" si="93"/>
        <v>0</v>
      </c>
      <c r="J227" s="14">
        <f t="shared" si="93"/>
        <v>0</v>
      </c>
      <c r="K227" s="14">
        <f t="shared" si="93"/>
        <v>0</v>
      </c>
      <c r="L227" s="14">
        <f t="shared" si="93"/>
        <v>0</v>
      </c>
      <c r="M227" s="14">
        <f t="shared" si="93"/>
        <v>0</v>
      </c>
      <c r="N227" s="14">
        <f t="shared" si="93"/>
        <v>0</v>
      </c>
      <c r="O227" s="13"/>
      <c r="P227" s="15"/>
      <c r="Q227" s="16"/>
    </row>
    <row r="228" spans="1:17" ht="42.75" x14ac:dyDescent="0.25">
      <c r="A228" s="17" t="s">
        <v>556</v>
      </c>
      <c r="B228" s="18" t="s">
        <v>557</v>
      </c>
      <c r="C228" s="19"/>
      <c r="D228" s="19"/>
      <c r="E228" s="20">
        <f t="shared" ref="E228:N228" si="94">E229+E231+E233+E235</f>
        <v>355000</v>
      </c>
      <c r="F228" s="20">
        <f t="shared" si="94"/>
        <v>355000</v>
      </c>
      <c r="G228" s="20">
        <f t="shared" si="94"/>
        <v>0</v>
      </c>
      <c r="H228" s="20">
        <f t="shared" si="94"/>
        <v>0</v>
      </c>
      <c r="I228" s="20">
        <f t="shared" si="94"/>
        <v>0</v>
      </c>
      <c r="J228" s="20">
        <f t="shared" si="94"/>
        <v>0</v>
      </c>
      <c r="K228" s="20">
        <f t="shared" si="94"/>
        <v>0</v>
      </c>
      <c r="L228" s="20">
        <f t="shared" si="94"/>
        <v>0</v>
      </c>
      <c r="M228" s="20">
        <f t="shared" si="94"/>
        <v>0</v>
      </c>
      <c r="N228" s="20">
        <f t="shared" si="94"/>
        <v>0</v>
      </c>
      <c r="O228" s="19"/>
      <c r="P228" s="21"/>
      <c r="Q228" s="22"/>
    </row>
    <row r="229" spans="1:17" ht="45" x14ac:dyDescent="0.25">
      <c r="A229" s="23" t="s">
        <v>558</v>
      </c>
      <c r="B229" s="24" t="s">
        <v>559</v>
      </c>
      <c r="C229" s="25" t="s">
        <v>158</v>
      </c>
      <c r="D229" s="25" t="s">
        <v>486</v>
      </c>
      <c r="E229" s="26">
        <f t="shared" ref="E229:N229" si="95">SUM(E230:E230)</f>
        <v>0</v>
      </c>
      <c r="F229" s="26">
        <f t="shared" si="95"/>
        <v>0</v>
      </c>
      <c r="G229" s="26">
        <f t="shared" si="95"/>
        <v>0</v>
      </c>
      <c r="H229" s="26">
        <f t="shared" si="95"/>
        <v>0</v>
      </c>
      <c r="I229" s="26">
        <f t="shared" si="95"/>
        <v>0</v>
      </c>
      <c r="J229" s="26">
        <f t="shared" si="95"/>
        <v>0</v>
      </c>
      <c r="K229" s="26">
        <f t="shared" si="95"/>
        <v>0</v>
      </c>
      <c r="L229" s="26">
        <f t="shared" si="95"/>
        <v>0</v>
      </c>
      <c r="M229" s="26">
        <f t="shared" si="95"/>
        <v>0</v>
      </c>
      <c r="N229" s="26">
        <f t="shared" si="95"/>
        <v>0</v>
      </c>
      <c r="O229" s="25" t="s">
        <v>560</v>
      </c>
      <c r="P229" s="27" t="s">
        <v>550</v>
      </c>
      <c r="Q229" s="28" t="s">
        <v>144</v>
      </c>
    </row>
    <row r="230" spans="1:17" ht="75" x14ac:dyDescent="0.25">
      <c r="A230" s="23" t="s">
        <v>561</v>
      </c>
      <c r="B230" s="24" t="s">
        <v>562</v>
      </c>
      <c r="C230" s="25"/>
      <c r="D230" s="25" t="s">
        <v>486</v>
      </c>
      <c r="E230" s="29">
        <v>0</v>
      </c>
      <c r="F230" s="29">
        <v>0</v>
      </c>
      <c r="G230" s="29">
        <v>0</v>
      </c>
      <c r="H230" s="29">
        <v>0</v>
      </c>
      <c r="I230" s="29">
        <v>0</v>
      </c>
      <c r="J230" s="29">
        <v>0</v>
      </c>
      <c r="K230" s="29">
        <v>0</v>
      </c>
      <c r="L230" s="29">
        <v>0</v>
      </c>
      <c r="M230" s="29">
        <v>0</v>
      </c>
      <c r="N230" s="29">
        <v>0</v>
      </c>
      <c r="O230" s="25"/>
      <c r="P230" s="27"/>
      <c r="Q230" s="28"/>
    </row>
    <row r="231" spans="1:17" ht="30" x14ac:dyDescent="0.25">
      <c r="A231" s="23" t="s">
        <v>563</v>
      </c>
      <c r="B231" s="24" t="s">
        <v>564</v>
      </c>
      <c r="C231" s="25" t="s">
        <v>158</v>
      </c>
      <c r="D231" s="25" t="s">
        <v>486</v>
      </c>
      <c r="E231" s="26">
        <f>SUM(E232:E232)+330000</f>
        <v>330000</v>
      </c>
      <c r="F231" s="26">
        <f>SUM(F232:F232)+330000</f>
        <v>330000</v>
      </c>
      <c r="G231" s="26">
        <f t="shared" ref="G231:N231" si="96">SUM(G232:G232)</f>
        <v>0</v>
      </c>
      <c r="H231" s="26">
        <f t="shared" si="96"/>
        <v>0</v>
      </c>
      <c r="I231" s="26">
        <f t="shared" si="96"/>
        <v>0</v>
      </c>
      <c r="J231" s="26">
        <f t="shared" si="96"/>
        <v>0</v>
      </c>
      <c r="K231" s="26">
        <f t="shared" si="96"/>
        <v>0</v>
      </c>
      <c r="L231" s="26">
        <f t="shared" si="96"/>
        <v>0</v>
      </c>
      <c r="M231" s="26">
        <f t="shared" si="96"/>
        <v>0</v>
      </c>
      <c r="N231" s="26">
        <f t="shared" si="96"/>
        <v>0</v>
      </c>
      <c r="O231" s="25" t="s">
        <v>455</v>
      </c>
      <c r="P231" s="27" t="s">
        <v>32</v>
      </c>
      <c r="Q231" s="28" t="s">
        <v>456</v>
      </c>
    </row>
    <row r="232" spans="1:17" ht="30" x14ac:dyDescent="0.25">
      <c r="A232" s="23" t="s">
        <v>565</v>
      </c>
      <c r="B232" s="24" t="s">
        <v>566</v>
      </c>
      <c r="C232" s="25"/>
      <c r="D232" s="25" t="s">
        <v>486</v>
      </c>
      <c r="E232" s="29">
        <v>0</v>
      </c>
      <c r="F232" s="29">
        <v>0</v>
      </c>
      <c r="G232" s="29">
        <v>0</v>
      </c>
      <c r="H232" s="29">
        <v>0</v>
      </c>
      <c r="I232" s="29">
        <v>0</v>
      </c>
      <c r="J232" s="29">
        <v>0</v>
      </c>
      <c r="K232" s="29">
        <v>0</v>
      </c>
      <c r="L232" s="29">
        <v>0</v>
      </c>
      <c r="M232" s="29">
        <v>0</v>
      </c>
      <c r="N232" s="29">
        <v>0</v>
      </c>
      <c r="O232" s="25"/>
      <c r="P232" s="27"/>
      <c r="Q232" s="28"/>
    </row>
    <row r="233" spans="1:17" ht="30" x14ac:dyDescent="0.25">
      <c r="A233" s="23" t="s">
        <v>567</v>
      </c>
      <c r="B233" s="24" t="s">
        <v>568</v>
      </c>
      <c r="C233" s="25"/>
      <c r="D233" s="25" t="s">
        <v>425</v>
      </c>
      <c r="E233" s="26">
        <f>SUM(E234:E234)+15000</f>
        <v>15000</v>
      </c>
      <c r="F233" s="26">
        <f>SUM(F234:F234)+15000</f>
        <v>15000</v>
      </c>
      <c r="G233" s="26">
        <f t="shared" ref="G233:N233" si="97">SUM(G234:G234)</f>
        <v>0</v>
      </c>
      <c r="H233" s="26">
        <f t="shared" si="97"/>
        <v>0</v>
      </c>
      <c r="I233" s="26">
        <f t="shared" si="97"/>
        <v>0</v>
      </c>
      <c r="J233" s="26">
        <f t="shared" si="97"/>
        <v>0</v>
      </c>
      <c r="K233" s="26">
        <f t="shared" si="97"/>
        <v>0</v>
      </c>
      <c r="L233" s="26">
        <f t="shared" si="97"/>
        <v>0</v>
      </c>
      <c r="M233" s="26">
        <f t="shared" si="97"/>
        <v>0</v>
      </c>
      <c r="N233" s="26">
        <f t="shared" si="97"/>
        <v>0</v>
      </c>
      <c r="O233" s="25" t="s">
        <v>569</v>
      </c>
      <c r="P233" s="27" t="s">
        <v>32</v>
      </c>
      <c r="Q233" s="28" t="s">
        <v>39</v>
      </c>
    </row>
    <row r="234" spans="1:17" ht="30" x14ac:dyDescent="0.25">
      <c r="A234" s="23" t="s">
        <v>570</v>
      </c>
      <c r="B234" s="24" t="s">
        <v>571</v>
      </c>
      <c r="C234" s="25"/>
      <c r="D234" s="25" t="s">
        <v>425</v>
      </c>
      <c r="E234" s="29">
        <v>0</v>
      </c>
      <c r="F234" s="29">
        <v>0</v>
      </c>
      <c r="G234" s="29">
        <v>0</v>
      </c>
      <c r="H234" s="29">
        <v>0</v>
      </c>
      <c r="I234" s="29">
        <v>0</v>
      </c>
      <c r="J234" s="29">
        <v>0</v>
      </c>
      <c r="K234" s="29">
        <v>0</v>
      </c>
      <c r="L234" s="29">
        <v>0</v>
      </c>
      <c r="M234" s="29">
        <v>0</v>
      </c>
      <c r="N234" s="29">
        <v>0</v>
      </c>
      <c r="O234" s="25"/>
      <c r="P234" s="27"/>
      <c r="Q234" s="28"/>
    </row>
    <row r="235" spans="1:17" ht="30" x14ac:dyDescent="0.25">
      <c r="A235" s="23" t="s">
        <v>572</v>
      </c>
      <c r="B235" s="24" t="s">
        <v>573</v>
      </c>
      <c r="C235" s="25"/>
      <c r="D235" s="25" t="s">
        <v>425</v>
      </c>
      <c r="E235" s="26">
        <f>SUM(E236:E236)+10000</f>
        <v>10000</v>
      </c>
      <c r="F235" s="26">
        <f>SUM(F236:F236)+10000</f>
        <v>10000</v>
      </c>
      <c r="G235" s="26">
        <f t="shared" ref="G235:N235" si="98">SUM(G236:G236)</f>
        <v>0</v>
      </c>
      <c r="H235" s="26">
        <f t="shared" si="98"/>
        <v>0</v>
      </c>
      <c r="I235" s="26">
        <f t="shared" si="98"/>
        <v>0</v>
      </c>
      <c r="J235" s="26">
        <f t="shared" si="98"/>
        <v>0</v>
      </c>
      <c r="K235" s="26">
        <f t="shared" si="98"/>
        <v>0</v>
      </c>
      <c r="L235" s="26">
        <f t="shared" si="98"/>
        <v>0</v>
      </c>
      <c r="M235" s="26">
        <f t="shared" si="98"/>
        <v>0</v>
      </c>
      <c r="N235" s="26">
        <f t="shared" si="98"/>
        <v>0</v>
      </c>
      <c r="O235" s="25" t="s">
        <v>194</v>
      </c>
      <c r="P235" s="27" t="s">
        <v>32</v>
      </c>
      <c r="Q235" s="28" t="s">
        <v>39</v>
      </c>
    </row>
    <row r="236" spans="1:17" ht="30" x14ac:dyDescent="0.25">
      <c r="A236" s="23" t="s">
        <v>574</v>
      </c>
      <c r="B236" s="24" t="s">
        <v>575</v>
      </c>
      <c r="C236" s="25"/>
      <c r="D236" s="25" t="s">
        <v>425</v>
      </c>
      <c r="E236" s="29">
        <v>0</v>
      </c>
      <c r="F236" s="29">
        <v>0</v>
      </c>
      <c r="G236" s="29">
        <v>0</v>
      </c>
      <c r="H236" s="29">
        <v>0</v>
      </c>
      <c r="I236" s="29">
        <v>0</v>
      </c>
      <c r="J236" s="29">
        <v>0</v>
      </c>
      <c r="K236" s="29">
        <v>0</v>
      </c>
      <c r="L236" s="29">
        <v>0</v>
      </c>
      <c r="M236" s="29">
        <v>0</v>
      </c>
      <c r="N236" s="29">
        <v>0</v>
      </c>
      <c r="O236" s="25"/>
      <c r="P236" s="27"/>
      <c r="Q236" s="28"/>
    </row>
    <row r="237" spans="1:17" ht="57" x14ac:dyDescent="0.25">
      <c r="A237" s="17" t="s">
        <v>576</v>
      </c>
      <c r="B237" s="18" t="s">
        <v>577</v>
      </c>
      <c r="C237" s="19"/>
      <c r="D237" s="19"/>
      <c r="E237" s="20">
        <f t="shared" ref="E237:N237" si="99">SUM(E238:E238)</f>
        <v>50000</v>
      </c>
      <c r="F237" s="20">
        <f t="shared" si="99"/>
        <v>50000</v>
      </c>
      <c r="G237" s="20">
        <f t="shared" si="99"/>
        <v>0</v>
      </c>
      <c r="H237" s="20">
        <f t="shared" si="99"/>
        <v>0</v>
      </c>
      <c r="I237" s="20">
        <f t="shared" si="99"/>
        <v>0</v>
      </c>
      <c r="J237" s="20">
        <f t="shared" si="99"/>
        <v>0</v>
      </c>
      <c r="K237" s="20">
        <f t="shared" si="99"/>
        <v>0</v>
      </c>
      <c r="L237" s="20">
        <f t="shared" si="99"/>
        <v>0</v>
      </c>
      <c r="M237" s="20">
        <f t="shared" si="99"/>
        <v>0</v>
      </c>
      <c r="N237" s="20">
        <f t="shared" si="99"/>
        <v>0</v>
      </c>
      <c r="O237" s="19"/>
      <c r="P237" s="21"/>
      <c r="Q237" s="22"/>
    </row>
    <row r="238" spans="1:17" ht="30" x14ac:dyDescent="0.25">
      <c r="A238" s="23" t="s">
        <v>578</v>
      </c>
      <c r="B238" s="24" t="s">
        <v>579</v>
      </c>
      <c r="C238" s="25" t="s">
        <v>158</v>
      </c>
      <c r="D238" s="25" t="s">
        <v>486</v>
      </c>
      <c r="E238" s="26">
        <f>SUM(E239:E239)+50000</f>
        <v>50000</v>
      </c>
      <c r="F238" s="26">
        <f>SUM(F239:F239)+50000</f>
        <v>50000</v>
      </c>
      <c r="G238" s="26">
        <f t="shared" ref="G238:N238" si="100">SUM(G239:G239)</f>
        <v>0</v>
      </c>
      <c r="H238" s="26">
        <f t="shared" si="100"/>
        <v>0</v>
      </c>
      <c r="I238" s="26">
        <f t="shared" si="100"/>
        <v>0</v>
      </c>
      <c r="J238" s="26">
        <f t="shared" si="100"/>
        <v>0</v>
      </c>
      <c r="K238" s="26">
        <f t="shared" si="100"/>
        <v>0</v>
      </c>
      <c r="L238" s="26">
        <f t="shared" si="100"/>
        <v>0</v>
      </c>
      <c r="M238" s="26">
        <f t="shared" si="100"/>
        <v>0</v>
      </c>
      <c r="N238" s="26">
        <f t="shared" si="100"/>
        <v>0</v>
      </c>
      <c r="O238" s="25" t="s">
        <v>580</v>
      </c>
      <c r="P238" s="27" t="s">
        <v>550</v>
      </c>
      <c r="Q238" s="28" t="s">
        <v>581</v>
      </c>
    </row>
    <row r="239" spans="1:17" ht="45" x14ac:dyDescent="0.25">
      <c r="A239" s="23" t="s">
        <v>582</v>
      </c>
      <c r="B239" s="24" t="s">
        <v>583</v>
      </c>
      <c r="C239" s="25"/>
      <c r="D239" s="25" t="s">
        <v>486</v>
      </c>
      <c r="E239" s="29">
        <v>0</v>
      </c>
      <c r="F239" s="29">
        <v>0</v>
      </c>
      <c r="G239" s="29">
        <v>0</v>
      </c>
      <c r="H239" s="29">
        <v>0</v>
      </c>
      <c r="I239" s="29">
        <v>0</v>
      </c>
      <c r="J239" s="29">
        <v>0</v>
      </c>
      <c r="K239" s="29">
        <v>0</v>
      </c>
      <c r="L239" s="29">
        <v>0</v>
      </c>
      <c r="M239" s="29">
        <v>0</v>
      </c>
      <c r="N239" s="29">
        <v>0</v>
      </c>
      <c r="O239" s="25"/>
      <c r="P239" s="27"/>
      <c r="Q239" s="28"/>
    </row>
    <row r="240" spans="1:17" ht="42.75" x14ac:dyDescent="0.25">
      <c r="A240" s="17" t="s">
        <v>584</v>
      </c>
      <c r="B240" s="18" t="s">
        <v>585</v>
      </c>
      <c r="C240" s="19"/>
      <c r="D240" s="19"/>
      <c r="E240" s="20">
        <f t="shared" ref="E240:N240" si="101">SUM(E241:E241)</f>
        <v>50000</v>
      </c>
      <c r="F240" s="20">
        <f t="shared" si="101"/>
        <v>50000</v>
      </c>
      <c r="G240" s="20">
        <f t="shared" si="101"/>
        <v>0</v>
      </c>
      <c r="H240" s="20">
        <f t="shared" si="101"/>
        <v>0</v>
      </c>
      <c r="I240" s="20">
        <f t="shared" si="101"/>
        <v>0</v>
      </c>
      <c r="J240" s="20">
        <f t="shared" si="101"/>
        <v>0</v>
      </c>
      <c r="K240" s="20">
        <f t="shared" si="101"/>
        <v>0</v>
      </c>
      <c r="L240" s="20">
        <f t="shared" si="101"/>
        <v>0</v>
      </c>
      <c r="M240" s="20">
        <f t="shared" si="101"/>
        <v>0</v>
      </c>
      <c r="N240" s="20">
        <f t="shared" si="101"/>
        <v>0</v>
      </c>
      <c r="O240" s="19"/>
      <c r="P240" s="21"/>
      <c r="Q240" s="22"/>
    </row>
    <row r="241" spans="1:17" ht="30" x14ac:dyDescent="0.25">
      <c r="A241" s="23" t="s">
        <v>586</v>
      </c>
      <c r="B241" s="24" t="s">
        <v>587</v>
      </c>
      <c r="C241" s="25" t="s">
        <v>158</v>
      </c>
      <c r="D241" s="25" t="s">
        <v>492</v>
      </c>
      <c r="E241" s="26">
        <f>SUM(E242:E242)+50000</f>
        <v>50000</v>
      </c>
      <c r="F241" s="26">
        <f>SUM(F242:F242)+50000</f>
        <v>50000</v>
      </c>
      <c r="G241" s="26">
        <f t="shared" ref="G241:N241" si="102">SUM(G242:G242)</f>
        <v>0</v>
      </c>
      <c r="H241" s="26">
        <f t="shared" si="102"/>
        <v>0</v>
      </c>
      <c r="I241" s="26">
        <f t="shared" si="102"/>
        <v>0</v>
      </c>
      <c r="J241" s="26">
        <f t="shared" si="102"/>
        <v>0</v>
      </c>
      <c r="K241" s="26">
        <f t="shared" si="102"/>
        <v>0</v>
      </c>
      <c r="L241" s="26">
        <f t="shared" si="102"/>
        <v>0</v>
      </c>
      <c r="M241" s="26">
        <f t="shared" si="102"/>
        <v>0</v>
      </c>
      <c r="N241" s="26">
        <f t="shared" si="102"/>
        <v>0</v>
      </c>
      <c r="O241" s="25" t="s">
        <v>588</v>
      </c>
      <c r="P241" s="27" t="s">
        <v>32</v>
      </c>
      <c r="Q241" s="28" t="s">
        <v>39</v>
      </c>
    </row>
    <row r="242" spans="1:17" x14ac:dyDescent="0.25">
      <c r="A242" s="23" t="s">
        <v>589</v>
      </c>
      <c r="B242" s="24" t="s">
        <v>590</v>
      </c>
      <c r="C242" s="25"/>
      <c r="D242" s="25" t="s">
        <v>492</v>
      </c>
      <c r="E242" s="29">
        <v>0</v>
      </c>
      <c r="F242" s="29">
        <v>0</v>
      </c>
      <c r="G242" s="29">
        <v>0</v>
      </c>
      <c r="H242" s="29">
        <v>0</v>
      </c>
      <c r="I242" s="29">
        <v>0</v>
      </c>
      <c r="J242" s="29">
        <v>0</v>
      </c>
      <c r="K242" s="29">
        <v>0</v>
      </c>
      <c r="L242" s="29">
        <v>0</v>
      </c>
      <c r="M242" s="29">
        <v>0</v>
      </c>
      <c r="N242" s="29">
        <v>0</v>
      </c>
      <c r="O242" s="25"/>
      <c r="P242" s="27"/>
      <c r="Q242" s="28"/>
    </row>
    <row r="243" spans="1:17" ht="42.75" x14ac:dyDescent="0.25">
      <c r="A243" s="17" t="s">
        <v>591</v>
      </c>
      <c r="B243" s="18" t="s">
        <v>592</v>
      </c>
      <c r="C243" s="19"/>
      <c r="D243" s="19"/>
      <c r="E243" s="20">
        <f t="shared" ref="E243:N243" si="103">E244+E246</f>
        <v>15000</v>
      </c>
      <c r="F243" s="20">
        <f t="shared" si="103"/>
        <v>15000</v>
      </c>
      <c r="G243" s="20">
        <f t="shared" si="103"/>
        <v>0</v>
      </c>
      <c r="H243" s="20">
        <f t="shared" si="103"/>
        <v>0</v>
      </c>
      <c r="I243" s="20">
        <f t="shared" si="103"/>
        <v>0</v>
      </c>
      <c r="J243" s="20">
        <f t="shared" si="103"/>
        <v>0</v>
      </c>
      <c r="K243" s="20">
        <f t="shared" si="103"/>
        <v>0</v>
      </c>
      <c r="L243" s="20">
        <f t="shared" si="103"/>
        <v>0</v>
      </c>
      <c r="M243" s="20">
        <f t="shared" si="103"/>
        <v>0</v>
      </c>
      <c r="N243" s="20">
        <f t="shared" si="103"/>
        <v>0</v>
      </c>
      <c r="O243" s="19"/>
      <c r="P243" s="21"/>
      <c r="Q243" s="22"/>
    </row>
    <row r="244" spans="1:17" ht="30" x14ac:dyDescent="0.25">
      <c r="A244" s="23" t="s">
        <v>593</v>
      </c>
      <c r="B244" s="24" t="s">
        <v>594</v>
      </c>
      <c r="C244" s="25" t="s">
        <v>158</v>
      </c>
      <c r="D244" s="25" t="s">
        <v>492</v>
      </c>
      <c r="E244" s="26">
        <f>SUM(E245:E245)+10000</f>
        <v>10000</v>
      </c>
      <c r="F244" s="26">
        <f>SUM(F245:F245)+10000</f>
        <v>10000</v>
      </c>
      <c r="G244" s="26">
        <f t="shared" ref="G244:N244" si="104">SUM(G245:G245)</f>
        <v>0</v>
      </c>
      <c r="H244" s="26">
        <f t="shared" si="104"/>
        <v>0</v>
      </c>
      <c r="I244" s="26">
        <f t="shared" si="104"/>
        <v>0</v>
      </c>
      <c r="J244" s="26">
        <f t="shared" si="104"/>
        <v>0</v>
      </c>
      <c r="K244" s="26">
        <f t="shared" si="104"/>
        <v>0</v>
      </c>
      <c r="L244" s="26">
        <f t="shared" si="104"/>
        <v>0</v>
      </c>
      <c r="M244" s="26">
        <f t="shared" si="104"/>
        <v>0</v>
      </c>
      <c r="N244" s="26">
        <f t="shared" si="104"/>
        <v>0</v>
      </c>
      <c r="O244" s="25" t="s">
        <v>455</v>
      </c>
      <c r="P244" s="27" t="s">
        <v>32</v>
      </c>
      <c r="Q244" s="28" t="s">
        <v>275</v>
      </c>
    </row>
    <row r="245" spans="1:17" ht="45" x14ac:dyDescent="0.25">
      <c r="A245" s="23" t="s">
        <v>595</v>
      </c>
      <c r="B245" s="24" t="s">
        <v>596</v>
      </c>
      <c r="C245" s="25"/>
      <c r="D245" s="25" t="s">
        <v>492</v>
      </c>
      <c r="E245" s="29">
        <v>0</v>
      </c>
      <c r="F245" s="29">
        <v>0</v>
      </c>
      <c r="G245" s="29">
        <v>0</v>
      </c>
      <c r="H245" s="29">
        <v>0</v>
      </c>
      <c r="I245" s="29">
        <v>0</v>
      </c>
      <c r="J245" s="29">
        <v>0</v>
      </c>
      <c r="K245" s="29">
        <v>0</v>
      </c>
      <c r="L245" s="29">
        <v>0</v>
      </c>
      <c r="M245" s="29">
        <v>0</v>
      </c>
      <c r="N245" s="29">
        <v>0</v>
      </c>
      <c r="O245" s="25"/>
      <c r="P245" s="27"/>
      <c r="Q245" s="28"/>
    </row>
    <row r="246" spans="1:17" ht="30" x14ac:dyDescent="0.25">
      <c r="A246" s="23" t="s">
        <v>597</v>
      </c>
      <c r="B246" s="24" t="s">
        <v>598</v>
      </c>
      <c r="C246" s="25" t="s">
        <v>158</v>
      </c>
      <c r="D246" s="25" t="s">
        <v>486</v>
      </c>
      <c r="E246" s="26">
        <f>SUM(E247:E247)+5000</f>
        <v>5000</v>
      </c>
      <c r="F246" s="26">
        <f>SUM(F247:F247)+5000</f>
        <v>5000</v>
      </c>
      <c r="G246" s="26">
        <f t="shared" ref="G246:N246" si="105">SUM(G247:G247)</f>
        <v>0</v>
      </c>
      <c r="H246" s="26">
        <f t="shared" si="105"/>
        <v>0</v>
      </c>
      <c r="I246" s="26">
        <f t="shared" si="105"/>
        <v>0</v>
      </c>
      <c r="J246" s="26">
        <f t="shared" si="105"/>
        <v>0</v>
      </c>
      <c r="K246" s="26">
        <f t="shared" si="105"/>
        <v>0</v>
      </c>
      <c r="L246" s="26">
        <f t="shared" si="105"/>
        <v>0</v>
      </c>
      <c r="M246" s="26">
        <f t="shared" si="105"/>
        <v>0</v>
      </c>
      <c r="N246" s="26">
        <f t="shared" si="105"/>
        <v>0</v>
      </c>
      <c r="O246" s="25" t="s">
        <v>599</v>
      </c>
      <c r="P246" s="27" t="s">
        <v>32</v>
      </c>
      <c r="Q246" s="28" t="s">
        <v>144</v>
      </c>
    </row>
    <row r="247" spans="1:17" ht="30" x14ac:dyDescent="0.25">
      <c r="A247" s="23" t="s">
        <v>600</v>
      </c>
      <c r="B247" s="24" t="s">
        <v>601</v>
      </c>
      <c r="C247" s="25"/>
      <c r="D247" s="25" t="s">
        <v>486</v>
      </c>
      <c r="E247" s="29">
        <v>0</v>
      </c>
      <c r="F247" s="29">
        <v>0</v>
      </c>
      <c r="G247" s="29">
        <v>0</v>
      </c>
      <c r="H247" s="29">
        <v>0</v>
      </c>
      <c r="I247" s="29">
        <v>0</v>
      </c>
      <c r="J247" s="29">
        <v>0</v>
      </c>
      <c r="K247" s="29">
        <v>0</v>
      </c>
      <c r="L247" s="29">
        <v>0</v>
      </c>
      <c r="M247" s="29">
        <v>0</v>
      </c>
      <c r="N247" s="29">
        <v>0</v>
      </c>
      <c r="O247" s="25"/>
      <c r="P247" s="27"/>
      <c r="Q247" s="28"/>
    </row>
    <row r="248" spans="1:17" ht="28.5" x14ac:dyDescent="0.25">
      <c r="A248" s="11" t="s">
        <v>602</v>
      </c>
      <c r="B248" s="12" t="s">
        <v>603</v>
      </c>
      <c r="C248" s="13"/>
      <c r="D248" s="13" t="s">
        <v>486</v>
      </c>
      <c r="E248" s="14">
        <f t="shared" ref="E248:N249" si="106">SUM(E249:E249)</f>
        <v>166600</v>
      </c>
      <c r="F248" s="14">
        <f t="shared" si="106"/>
        <v>106500</v>
      </c>
      <c r="G248" s="14">
        <f t="shared" si="106"/>
        <v>0</v>
      </c>
      <c r="H248" s="14">
        <f t="shared" si="106"/>
        <v>0</v>
      </c>
      <c r="I248" s="14">
        <f t="shared" si="106"/>
        <v>60100</v>
      </c>
      <c r="J248" s="14">
        <f t="shared" si="106"/>
        <v>0</v>
      </c>
      <c r="K248" s="14">
        <f t="shared" si="106"/>
        <v>0</v>
      </c>
      <c r="L248" s="14">
        <f t="shared" si="106"/>
        <v>0</v>
      </c>
      <c r="M248" s="14">
        <f t="shared" si="106"/>
        <v>0</v>
      </c>
      <c r="N248" s="14">
        <f t="shared" si="106"/>
        <v>0</v>
      </c>
      <c r="O248" s="13"/>
      <c r="P248" s="15"/>
      <c r="Q248" s="16"/>
    </row>
    <row r="249" spans="1:17" x14ac:dyDescent="0.25">
      <c r="A249" s="17" t="s">
        <v>604</v>
      </c>
      <c r="B249" s="18" t="s">
        <v>605</v>
      </c>
      <c r="C249" s="19"/>
      <c r="D249" s="19"/>
      <c r="E249" s="20">
        <f t="shared" si="106"/>
        <v>166600</v>
      </c>
      <c r="F249" s="20">
        <f t="shared" si="106"/>
        <v>106500</v>
      </c>
      <c r="G249" s="20">
        <f t="shared" si="106"/>
        <v>0</v>
      </c>
      <c r="H249" s="20">
        <f t="shared" si="106"/>
        <v>0</v>
      </c>
      <c r="I249" s="20">
        <f t="shared" si="106"/>
        <v>60100</v>
      </c>
      <c r="J249" s="20">
        <f t="shared" si="106"/>
        <v>0</v>
      </c>
      <c r="K249" s="20">
        <f t="shared" si="106"/>
        <v>0</v>
      </c>
      <c r="L249" s="20">
        <f t="shared" si="106"/>
        <v>0</v>
      </c>
      <c r="M249" s="20">
        <f t="shared" si="106"/>
        <v>0</v>
      </c>
      <c r="N249" s="20">
        <f t="shared" si="106"/>
        <v>0</v>
      </c>
      <c r="O249" s="19"/>
      <c r="P249" s="21"/>
      <c r="Q249" s="22"/>
    </row>
    <row r="250" spans="1:17" ht="30" x14ac:dyDescent="0.25">
      <c r="A250" s="23" t="s">
        <v>606</v>
      </c>
      <c r="B250" s="24" t="s">
        <v>607</v>
      </c>
      <c r="C250" s="25" t="s">
        <v>158</v>
      </c>
      <c r="D250" s="25" t="s">
        <v>486</v>
      </c>
      <c r="E250" s="26">
        <f>SUM(E251:E251)+166600</f>
        <v>166600</v>
      </c>
      <c r="F250" s="26">
        <f>SUM(F251:F251)+106500</f>
        <v>106500</v>
      </c>
      <c r="G250" s="26">
        <f>SUM(G251:G251)</f>
        <v>0</v>
      </c>
      <c r="H250" s="26">
        <f>SUM(H251:H251)</f>
        <v>0</v>
      </c>
      <c r="I250" s="26">
        <f>SUM(I251:I251)+60100</f>
        <v>60100</v>
      </c>
      <c r="J250" s="26">
        <f>SUM(J251:J251)</f>
        <v>0</v>
      </c>
      <c r="K250" s="26">
        <f>SUM(K251:K251)</f>
        <v>0</v>
      </c>
      <c r="L250" s="26">
        <f>SUM(L251:L251)</f>
        <v>0</v>
      </c>
      <c r="M250" s="26">
        <f>SUM(M251:M251)</f>
        <v>0</v>
      </c>
      <c r="N250" s="26">
        <f>SUM(N251:N251)</f>
        <v>0</v>
      </c>
      <c r="O250" s="25" t="s">
        <v>608</v>
      </c>
      <c r="P250" s="27" t="s">
        <v>32</v>
      </c>
      <c r="Q250" s="28" t="s">
        <v>609</v>
      </c>
    </row>
    <row r="251" spans="1:17" x14ac:dyDescent="0.25">
      <c r="A251" s="23" t="s">
        <v>610</v>
      </c>
      <c r="B251" s="24" t="s">
        <v>611</v>
      </c>
      <c r="C251" s="25"/>
      <c r="D251" s="25" t="s">
        <v>486</v>
      </c>
      <c r="E251" s="29">
        <v>0</v>
      </c>
      <c r="F251" s="29">
        <v>0</v>
      </c>
      <c r="G251" s="29">
        <v>0</v>
      </c>
      <c r="H251" s="29">
        <v>0</v>
      </c>
      <c r="I251" s="29">
        <v>0</v>
      </c>
      <c r="J251" s="29">
        <v>0</v>
      </c>
      <c r="K251" s="29">
        <v>0</v>
      </c>
      <c r="L251" s="29">
        <v>0</v>
      </c>
      <c r="M251" s="29">
        <v>0</v>
      </c>
      <c r="N251" s="29">
        <v>0</v>
      </c>
      <c r="O251" s="25"/>
      <c r="P251" s="27"/>
      <c r="Q251" s="28"/>
    </row>
    <row r="252" spans="1:17" ht="57" x14ac:dyDescent="0.25">
      <c r="A252" s="11" t="s">
        <v>612</v>
      </c>
      <c r="B252" s="12" t="s">
        <v>613</v>
      </c>
      <c r="C252" s="13" t="s">
        <v>614</v>
      </c>
      <c r="D252" s="13" t="s">
        <v>615</v>
      </c>
      <c r="E252" s="14">
        <f t="shared" ref="E252:N252" si="107">SUM(E253:E253)</f>
        <v>344000</v>
      </c>
      <c r="F252" s="14">
        <f t="shared" si="107"/>
        <v>25000</v>
      </c>
      <c r="G252" s="14">
        <f t="shared" si="107"/>
        <v>0</v>
      </c>
      <c r="H252" s="14">
        <f t="shared" si="107"/>
        <v>0</v>
      </c>
      <c r="I252" s="14">
        <f t="shared" si="107"/>
        <v>319000</v>
      </c>
      <c r="J252" s="14">
        <f t="shared" si="107"/>
        <v>0</v>
      </c>
      <c r="K252" s="14">
        <f t="shared" si="107"/>
        <v>0</v>
      </c>
      <c r="L252" s="14">
        <f t="shared" si="107"/>
        <v>0</v>
      </c>
      <c r="M252" s="14">
        <f t="shared" si="107"/>
        <v>0</v>
      </c>
      <c r="N252" s="14">
        <f t="shared" si="107"/>
        <v>0</v>
      </c>
      <c r="O252" s="13"/>
      <c r="P252" s="15"/>
      <c r="Q252" s="16"/>
    </row>
    <row r="253" spans="1:17" ht="28.5" x14ac:dyDescent="0.25">
      <c r="A253" s="17" t="s">
        <v>616</v>
      </c>
      <c r="B253" s="18" t="s">
        <v>617</v>
      </c>
      <c r="C253" s="19"/>
      <c r="D253" s="19"/>
      <c r="E253" s="20">
        <f t="shared" ref="E253:N253" si="108">E254+E256</f>
        <v>344000</v>
      </c>
      <c r="F253" s="20">
        <f t="shared" si="108"/>
        <v>25000</v>
      </c>
      <c r="G253" s="20">
        <f t="shared" si="108"/>
        <v>0</v>
      </c>
      <c r="H253" s="20">
        <f t="shared" si="108"/>
        <v>0</v>
      </c>
      <c r="I253" s="20">
        <f t="shared" si="108"/>
        <v>319000</v>
      </c>
      <c r="J253" s="20">
        <f t="shared" si="108"/>
        <v>0</v>
      </c>
      <c r="K253" s="20">
        <f t="shared" si="108"/>
        <v>0</v>
      </c>
      <c r="L253" s="20">
        <f t="shared" si="108"/>
        <v>0</v>
      </c>
      <c r="M253" s="20">
        <f t="shared" si="108"/>
        <v>0</v>
      </c>
      <c r="N253" s="20">
        <f t="shared" si="108"/>
        <v>0</v>
      </c>
      <c r="O253" s="19"/>
      <c r="P253" s="21"/>
      <c r="Q253" s="22"/>
    </row>
    <row r="254" spans="1:17" ht="30" x14ac:dyDescent="0.25">
      <c r="A254" s="23" t="s">
        <v>618</v>
      </c>
      <c r="B254" s="24" t="s">
        <v>619</v>
      </c>
      <c r="C254" s="25"/>
      <c r="D254" s="25" t="s">
        <v>620</v>
      </c>
      <c r="E254" s="26">
        <f>SUM(E255:E255)+319000</f>
        <v>319000</v>
      </c>
      <c r="F254" s="26">
        <f>SUM(F255:F255)</f>
        <v>0</v>
      </c>
      <c r="G254" s="26">
        <f>SUM(G255:G255)</f>
        <v>0</v>
      </c>
      <c r="H254" s="26">
        <f>SUM(H255:H255)</f>
        <v>0</v>
      </c>
      <c r="I254" s="26">
        <f>SUM(I255:I255)+319000</f>
        <v>319000</v>
      </c>
      <c r="J254" s="26">
        <f>SUM(J255:J255)</f>
        <v>0</v>
      </c>
      <c r="K254" s="26">
        <f>SUM(K255:K255)</f>
        <v>0</v>
      </c>
      <c r="L254" s="26">
        <f>SUM(L255:L255)</f>
        <v>0</v>
      </c>
      <c r="M254" s="26">
        <f>SUM(M255:M255)</f>
        <v>0</v>
      </c>
      <c r="N254" s="26">
        <f>SUM(N255:N255)</f>
        <v>0</v>
      </c>
      <c r="O254" s="25" t="s">
        <v>621</v>
      </c>
      <c r="P254" s="27" t="s">
        <v>550</v>
      </c>
      <c r="Q254" s="28" t="s">
        <v>275</v>
      </c>
    </row>
    <row r="255" spans="1:17" ht="45" x14ac:dyDescent="0.25">
      <c r="A255" s="23" t="s">
        <v>622</v>
      </c>
      <c r="B255" s="24" t="s">
        <v>623</v>
      </c>
      <c r="C255" s="25"/>
      <c r="D255" s="25" t="s">
        <v>620</v>
      </c>
      <c r="E255" s="29">
        <v>0</v>
      </c>
      <c r="F255" s="29">
        <v>0</v>
      </c>
      <c r="G255" s="29">
        <v>0</v>
      </c>
      <c r="H255" s="29">
        <v>0</v>
      </c>
      <c r="I255" s="29">
        <v>0</v>
      </c>
      <c r="J255" s="29">
        <v>0</v>
      </c>
      <c r="K255" s="29">
        <v>0</v>
      </c>
      <c r="L255" s="29">
        <v>0</v>
      </c>
      <c r="M255" s="29">
        <v>0</v>
      </c>
      <c r="N255" s="29">
        <v>0</v>
      </c>
      <c r="O255" s="25"/>
      <c r="P255" s="27"/>
      <c r="Q255" s="28"/>
    </row>
    <row r="256" spans="1:17" ht="30" x14ac:dyDescent="0.25">
      <c r="A256" s="23" t="s">
        <v>624</v>
      </c>
      <c r="B256" s="24" t="s">
        <v>625</v>
      </c>
      <c r="C256" s="25"/>
      <c r="D256" s="25" t="s">
        <v>620</v>
      </c>
      <c r="E256" s="26">
        <f>SUM(E257:E257)+25000</f>
        <v>25000</v>
      </c>
      <c r="F256" s="26">
        <f>SUM(F257:F257)+25000</f>
        <v>25000</v>
      </c>
      <c r="G256" s="26">
        <f t="shared" ref="G256:N256" si="109">SUM(G257:G257)</f>
        <v>0</v>
      </c>
      <c r="H256" s="26">
        <f t="shared" si="109"/>
        <v>0</v>
      </c>
      <c r="I256" s="26">
        <f t="shared" si="109"/>
        <v>0</v>
      </c>
      <c r="J256" s="26">
        <f t="shared" si="109"/>
        <v>0</v>
      </c>
      <c r="K256" s="26">
        <f t="shared" si="109"/>
        <v>0</v>
      </c>
      <c r="L256" s="26">
        <f t="shared" si="109"/>
        <v>0</v>
      </c>
      <c r="M256" s="26">
        <f t="shared" si="109"/>
        <v>0</v>
      </c>
      <c r="N256" s="26">
        <f t="shared" si="109"/>
        <v>0</v>
      </c>
      <c r="O256" s="25" t="s">
        <v>626</v>
      </c>
      <c r="P256" s="27" t="s">
        <v>32</v>
      </c>
      <c r="Q256" s="28" t="s">
        <v>39</v>
      </c>
    </row>
    <row r="257" spans="1:17" ht="45" x14ac:dyDescent="0.25">
      <c r="A257" s="23" t="s">
        <v>627</v>
      </c>
      <c r="B257" s="24" t="s">
        <v>628</v>
      </c>
      <c r="C257" s="25"/>
      <c r="D257" s="25" t="s">
        <v>620</v>
      </c>
      <c r="E257" s="29">
        <v>0</v>
      </c>
      <c r="F257" s="29">
        <v>0</v>
      </c>
      <c r="G257" s="29">
        <v>0</v>
      </c>
      <c r="H257" s="29">
        <v>0</v>
      </c>
      <c r="I257" s="29">
        <v>0</v>
      </c>
      <c r="J257" s="29">
        <v>0</v>
      </c>
      <c r="K257" s="29">
        <v>0</v>
      </c>
      <c r="L257" s="29">
        <v>0</v>
      </c>
      <c r="M257" s="29">
        <v>0</v>
      </c>
      <c r="N257" s="29">
        <v>0</v>
      </c>
      <c r="O257" s="25"/>
      <c r="P257" s="27"/>
      <c r="Q257" s="28"/>
    </row>
    <row r="258" spans="1:17" ht="28.5" x14ac:dyDescent="0.25">
      <c r="A258" s="11" t="s">
        <v>629</v>
      </c>
      <c r="B258" s="12" t="s">
        <v>630</v>
      </c>
      <c r="C258" s="13"/>
      <c r="D258" s="13" t="s">
        <v>631</v>
      </c>
      <c r="E258" s="14">
        <f t="shared" ref="E258:N258" si="110">E259+E262</f>
        <v>5000</v>
      </c>
      <c r="F258" s="14">
        <f t="shared" si="110"/>
        <v>5000</v>
      </c>
      <c r="G258" s="14">
        <f t="shared" si="110"/>
        <v>0</v>
      </c>
      <c r="H258" s="14">
        <f t="shared" si="110"/>
        <v>0</v>
      </c>
      <c r="I258" s="14">
        <f t="shared" si="110"/>
        <v>0</v>
      </c>
      <c r="J258" s="14">
        <f t="shared" si="110"/>
        <v>0</v>
      </c>
      <c r="K258" s="14">
        <f t="shared" si="110"/>
        <v>0</v>
      </c>
      <c r="L258" s="14">
        <f t="shared" si="110"/>
        <v>0</v>
      </c>
      <c r="M258" s="14">
        <f t="shared" si="110"/>
        <v>0</v>
      </c>
      <c r="N258" s="14">
        <f t="shared" si="110"/>
        <v>0</v>
      </c>
      <c r="O258" s="13"/>
      <c r="P258" s="15"/>
      <c r="Q258" s="16"/>
    </row>
    <row r="259" spans="1:17" ht="42.75" x14ac:dyDescent="0.25">
      <c r="A259" s="17" t="s">
        <v>632</v>
      </c>
      <c r="B259" s="18" t="s">
        <v>633</v>
      </c>
      <c r="C259" s="19"/>
      <c r="D259" s="19"/>
      <c r="E259" s="20">
        <f t="shared" ref="E259:N259" si="111">SUM(E260:E260)</f>
        <v>1000</v>
      </c>
      <c r="F259" s="20">
        <f t="shared" si="111"/>
        <v>1000</v>
      </c>
      <c r="G259" s="20">
        <f t="shared" si="111"/>
        <v>0</v>
      </c>
      <c r="H259" s="20">
        <f t="shared" si="111"/>
        <v>0</v>
      </c>
      <c r="I259" s="20">
        <f t="shared" si="111"/>
        <v>0</v>
      </c>
      <c r="J259" s="20">
        <f t="shared" si="111"/>
        <v>0</v>
      </c>
      <c r="K259" s="20">
        <f t="shared" si="111"/>
        <v>0</v>
      </c>
      <c r="L259" s="20">
        <f t="shared" si="111"/>
        <v>0</v>
      </c>
      <c r="M259" s="20">
        <f t="shared" si="111"/>
        <v>0</v>
      </c>
      <c r="N259" s="20">
        <f t="shared" si="111"/>
        <v>0</v>
      </c>
      <c r="O259" s="19"/>
      <c r="P259" s="21"/>
      <c r="Q259" s="22"/>
    </row>
    <row r="260" spans="1:17" ht="30" x14ac:dyDescent="0.25">
      <c r="A260" s="23" t="s">
        <v>634</v>
      </c>
      <c r="B260" s="24" t="s">
        <v>635</v>
      </c>
      <c r="C260" s="25" t="s">
        <v>614</v>
      </c>
      <c r="D260" s="25" t="s">
        <v>631</v>
      </c>
      <c r="E260" s="26">
        <f>SUM(E261:E261)+1000</f>
        <v>1000</v>
      </c>
      <c r="F260" s="26">
        <f>SUM(F261:F261)+1000</f>
        <v>1000</v>
      </c>
      <c r="G260" s="26">
        <f t="shared" ref="G260:N260" si="112">SUM(G261:G261)</f>
        <v>0</v>
      </c>
      <c r="H260" s="26">
        <f t="shared" si="112"/>
        <v>0</v>
      </c>
      <c r="I260" s="26">
        <f t="shared" si="112"/>
        <v>0</v>
      </c>
      <c r="J260" s="26">
        <f t="shared" si="112"/>
        <v>0</v>
      </c>
      <c r="K260" s="26">
        <f t="shared" si="112"/>
        <v>0</v>
      </c>
      <c r="L260" s="26">
        <f t="shared" si="112"/>
        <v>0</v>
      </c>
      <c r="M260" s="26">
        <f t="shared" si="112"/>
        <v>0</v>
      </c>
      <c r="N260" s="26">
        <f t="shared" si="112"/>
        <v>0</v>
      </c>
      <c r="O260" s="25" t="s">
        <v>636</v>
      </c>
      <c r="P260" s="27" t="s">
        <v>32</v>
      </c>
      <c r="Q260" s="28" t="s">
        <v>39</v>
      </c>
    </row>
    <row r="261" spans="1:17" ht="45" x14ac:dyDescent="0.25">
      <c r="A261" s="23" t="s">
        <v>637</v>
      </c>
      <c r="B261" s="24" t="s">
        <v>638</v>
      </c>
      <c r="C261" s="25"/>
      <c r="D261" s="25" t="s">
        <v>631</v>
      </c>
      <c r="E261" s="29">
        <v>0</v>
      </c>
      <c r="F261" s="29">
        <v>0</v>
      </c>
      <c r="G261" s="29">
        <v>0</v>
      </c>
      <c r="H261" s="29">
        <v>0</v>
      </c>
      <c r="I261" s="29">
        <v>0</v>
      </c>
      <c r="J261" s="29">
        <v>0</v>
      </c>
      <c r="K261" s="29">
        <v>0</v>
      </c>
      <c r="L261" s="29">
        <v>0</v>
      </c>
      <c r="M261" s="29">
        <v>0</v>
      </c>
      <c r="N261" s="29">
        <v>0</v>
      </c>
      <c r="O261" s="25"/>
      <c r="P261" s="27"/>
      <c r="Q261" s="28"/>
    </row>
    <row r="262" spans="1:17" ht="42.75" x14ac:dyDescent="0.25">
      <c r="A262" s="17" t="s">
        <v>639</v>
      </c>
      <c r="B262" s="18" t="s">
        <v>640</v>
      </c>
      <c r="C262" s="19"/>
      <c r="D262" s="19"/>
      <c r="E262" s="20">
        <f t="shared" ref="E262:N262" si="113">SUM(E263:E263)</f>
        <v>4000</v>
      </c>
      <c r="F262" s="20">
        <f t="shared" si="113"/>
        <v>4000</v>
      </c>
      <c r="G262" s="20">
        <f t="shared" si="113"/>
        <v>0</v>
      </c>
      <c r="H262" s="20">
        <f t="shared" si="113"/>
        <v>0</v>
      </c>
      <c r="I262" s="20">
        <f t="shared" si="113"/>
        <v>0</v>
      </c>
      <c r="J262" s="20">
        <f t="shared" si="113"/>
        <v>0</v>
      </c>
      <c r="K262" s="20">
        <f t="shared" si="113"/>
        <v>0</v>
      </c>
      <c r="L262" s="20">
        <f t="shared" si="113"/>
        <v>0</v>
      </c>
      <c r="M262" s="20">
        <f t="shared" si="113"/>
        <v>0</v>
      </c>
      <c r="N262" s="20">
        <f t="shared" si="113"/>
        <v>0</v>
      </c>
      <c r="O262" s="19"/>
      <c r="P262" s="21"/>
      <c r="Q262" s="22"/>
    </row>
    <row r="263" spans="1:17" ht="45" x14ac:dyDescent="0.25">
      <c r="A263" s="23" t="s">
        <v>641</v>
      </c>
      <c r="B263" s="24" t="s">
        <v>642</v>
      </c>
      <c r="C263" s="25" t="s">
        <v>614</v>
      </c>
      <c r="D263" s="25" t="s">
        <v>631</v>
      </c>
      <c r="E263" s="26">
        <f>SUM(E264:E264)+4000</f>
        <v>4000</v>
      </c>
      <c r="F263" s="26">
        <f>SUM(F264:F264)+4000</f>
        <v>4000</v>
      </c>
      <c r="G263" s="26">
        <f t="shared" ref="G263:N263" si="114">SUM(G264:G264)</f>
        <v>0</v>
      </c>
      <c r="H263" s="26">
        <f t="shared" si="114"/>
        <v>0</v>
      </c>
      <c r="I263" s="26">
        <f t="shared" si="114"/>
        <v>0</v>
      </c>
      <c r="J263" s="26">
        <f t="shared" si="114"/>
        <v>0</v>
      </c>
      <c r="K263" s="26">
        <f t="shared" si="114"/>
        <v>0</v>
      </c>
      <c r="L263" s="26">
        <f t="shared" si="114"/>
        <v>0</v>
      </c>
      <c r="M263" s="26">
        <f t="shared" si="114"/>
        <v>0</v>
      </c>
      <c r="N263" s="26">
        <f t="shared" si="114"/>
        <v>0</v>
      </c>
      <c r="O263" s="25" t="s">
        <v>643</v>
      </c>
      <c r="P263" s="27" t="s">
        <v>32</v>
      </c>
      <c r="Q263" s="28" t="s">
        <v>644</v>
      </c>
    </row>
    <row r="264" spans="1:17" ht="45" x14ac:dyDescent="0.25">
      <c r="A264" s="23" t="s">
        <v>645</v>
      </c>
      <c r="B264" s="24" t="s">
        <v>646</v>
      </c>
      <c r="C264" s="25"/>
      <c r="D264" s="25" t="s">
        <v>647</v>
      </c>
      <c r="E264" s="29">
        <v>0</v>
      </c>
      <c r="F264" s="29">
        <v>0</v>
      </c>
      <c r="G264" s="29">
        <v>0</v>
      </c>
      <c r="H264" s="29">
        <v>0</v>
      </c>
      <c r="I264" s="29">
        <v>0</v>
      </c>
      <c r="J264" s="29">
        <v>0</v>
      </c>
      <c r="K264" s="29">
        <v>0</v>
      </c>
      <c r="L264" s="29">
        <v>0</v>
      </c>
      <c r="M264" s="29">
        <v>0</v>
      </c>
      <c r="N264" s="29">
        <v>0</v>
      </c>
      <c r="O264" s="25"/>
      <c r="P264" s="27"/>
      <c r="Q264" s="28"/>
    </row>
    <row r="265" spans="1:17" x14ac:dyDescent="0.25">
      <c r="A265" s="11" t="s">
        <v>648</v>
      </c>
      <c r="B265" s="12" t="s">
        <v>649</v>
      </c>
      <c r="C265" s="13"/>
      <c r="D265" s="13" t="s">
        <v>650</v>
      </c>
      <c r="E265" s="14">
        <f t="shared" ref="E265:N265" si="115">E266+E271+E274</f>
        <v>7100</v>
      </c>
      <c r="F265" s="14">
        <f t="shared" si="115"/>
        <v>0</v>
      </c>
      <c r="G265" s="14">
        <f t="shared" si="115"/>
        <v>0</v>
      </c>
      <c r="H265" s="14">
        <f t="shared" si="115"/>
        <v>0</v>
      </c>
      <c r="I265" s="14">
        <f t="shared" si="115"/>
        <v>0</v>
      </c>
      <c r="J265" s="14">
        <f t="shared" si="115"/>
        <v>0</v>
      </c>
      <c r="K265" s="14">
        <f t="shared" si="115"/>
        <v>0</v>
      </c>
      <c r="L265" s="14">
        <f t="shared" si="115"/>
        <v>0</v>
      </c>
      <c r="M265" s="14">
        <f t="shared" si="115"/>
        <v>0</v>
      </c>
      <c r="N265" s="14">
        <f t="shared" si="115"/>
        <v>7100</v>
      </c>
      <c r="O265" s="13"/>
      <c r="P265" s="15"/>
      <c r="Q265" s="16"/>
    </row>
    <row r="266" spans="1:17" ht="28.5" x14ac:dyDescent="0.25">
      <c r="A266" s="17" t="s">
        <v>651</v>
      </c>
      <c r="B266" s="18" t="s">
        <v>652</v>
      </c>
      <c r="C266" s="19"/>
      <c r="D266" s="19" t="s">
        <v>650</v>
      </c>
      <c r="E266" s="20">
        <f t="shared" ref="E266:N266" si="116">E267+E269</f>
        <v>3600</v>
      </c>
      <c r="F266" s="20">
        <f t="shared" si="116"/>
        <v>0</v>
      </c>
      <c r="G266" s="20">
        <f t="shared" si="116"/>
        <v>0</v>
      </c>
      <c r="H266" s="20">
        <f t="shared" si="116"/>
        <v>0</v>
      </c>
      <c r="I266" s="20">
        <f t="shared" si="116"/>
        <v>0</v>
      </c>
      <c r="J266" s="20">
        <f t="shared" si="116"/>
        <v>0</v>
      </c>
      <c r="K266" s="20">
        <f t="shared" si="116"/>
        <v>0</v>
      </c>
      <c r="L266" s="20">
        <f t="shared" si="116"/>
        <v>0</v>
      </c>
      <c r="M266" s="20">
        <f t="shared" si="116"/>
        <v>0</v>
      </c>
      <c r="N266" s="20">
        <f t="shared" si="116"/>
        <v>3600</v>
      </c>
      <c r="O266" s="19"/>
      <c r="P266" s="21"/>
      <c r="Q266" s="22"/>
    </row>
    <row r="267" spans="1:17" ht="30" x14ac:dyDescent="0.25">
      <c r="A267" s="23" t="s">
        <v>653</v>
      </c>
      <c r="B267" s="24" t="s">
        <v>654</v>
      </c>
      <c r="C267" s="25" t="s">
        <v>655</v>
      </c>
      <c r="D267" s="25" t="s">
        <v>650</v>
      </c>
      <c r="E267" s="26">
        <f>SUM(E268:E268)+1800</f>
        <v>1800</v>
      </c>
      <c r="F267" s="26">
        <f t="shared" ref="F267:M267" si="117">SUM(F268:F268)</f>
        <v>0</v>
      </c>
      <c r="G267" s="26">
        <f t="shared" si="117"/>
        <v>0</v>
      </c>
      <c r="H267" s="26">
        <f t="shared" si="117"/>
        <v>0</v>
      </c>
      <c r="I267" s="26">
        <f t="shared" si="117"/>
        <v>0</v>
      </c>
      <c r="J267" s="26">
        <f t="shared" si="117"/>
        <v>0</v>
      </c>
      <c r="K267" s="26">
        <f t="shared" si="117"/>
        <v>0</v>
      </c>
      <c r="L267" s="26">
        <f t="shared" si="117"/>
        <v>0</v>
      </c>
      <c r="M267" s="26">
        <f t="shared" si="117"/>
        <v>0</v>
      </c>
      <c r="N267" s="26">
        <f>SUM(N268:N268)+1800</f>
        <v>1800</v>
      </c>
      <c r="O267" s="25" t="s">
        <v>656</v>
      </c>
      <c r="P267" s="27" t="s">
        <v>32</v>
      </c>
      <c r="Q267" s="28" t="s">
        <v>144</v>
      </c>
    </row>
    <row r="268" spans="1:17" ht="30" x14ac:dyDescent="0.25">
      <c r="A268" s="23" t="s">
        <v>657</v>
      </c>
      <c r="B268" s="24" t="s">
        <v>658</v>
      </c>
      <c r="C268" s="25"/>
      <c r="D268" s="25" t="s">
        <v>650</v>
      </c>
      <c r="E268" s="29">
        <v>0</v>
      </c>
      <c r="F268" s="29">
        <v>0</v>
      </c>
      <c r="G268" s="29">
        <v>0</v>
      </c>
      <c r="H268" s="29">
        <v>0</v>
      </c>
      <c r="I268" s="29">
        <v>0</v>
      </c>
      <c r="J268" s="29">
        <v>0</v>
      </c>
      <c r="K268" s="29">
        <v>0</v>
      </c>
      <c r="L268" s="29">
        <v>0</v>
      </c>
      <c r="M268" s="29">
        <v>0</v>
      </c>
      <c r="N268" s="29">
        <v>0</v>
      </c>
      <c r="O268" s="25"/>
      <c r="P268" s="27"/>
      <c r="Q268" s="28"/>
    </row>
    <row r="269" spans="1:17" ht="30" x14ac:dyDescent="0.25">
      <c r="A269" s="23" t="s">
        <v>659</v>
      </c>
      <c r="B269" s="24" t="s">
        <v>660</v>
      </c>
      <c r="C269" s="25"/>
      <c r="D269" s="25" t="s">
        <v>650</v>
      </c>
      <c r="E269" s="26">
        <f>SUM(E270:E270)+1800</f>
        <v>1800</v>
      </c>
      <c r="F269" s="26">
        <f t="shared" ref="F269:M269" si="118">SUM(F270:F270)</f>
        <v>0</v>
      </c>
      <c r="G269" s="26">
        <f t="shared" si="118"/>
        <v>0</v>
      </c>
      <c r="H269" s="26">
        <f t="shared" si="118"/>
        <v>0</v>
      </c>
      <c r="I269" s="26">
        <f t="shared" si="118"/>
        <v>0</v>
      </c>
      <c r="J269" s="26">
        <f t="shared" si="118"/>
        <v>0</v>
      </c>
      <c r="K269" s="26">
        <f t="shared" si="118"/>
        <v>0</v>
      </c>
      <c r="L269" s="26">
        <f t="shared" si="118"/>
        <v>0</v>
      </c>
      <c r="M269" s="26">
        <f t="shared" si="118"/>
        <v>0</v>
      </c>
      <c r="N269" s="26">
        <f>SUM(N270:N270)+1800</f>
        <v>1800</v>
      </c>
      <c r="O269" s="25" t="s">
        <v>661</v>
      </c>
      <c r="P269" s="27" t="s">
        <v>32</v>
      </c>
      <c r="Q269" s="28" t="s">
        <v>181</v>
      </c>
    </row>
    <row r="270" spans="1:17" ht="30" x14ac:dyDescent="0.25">
      <c r="A270" s="23" t="s">
        <v>662</v>
      </c>
      <c r="B270" s="24" t="s">
        <v>663</v>
      </c>
      <c r="C270" s="25"/>
      <c r="D270" s="25" t="s">
        <v>650</v>
      </c>
      <c r="E270" s="29">
        <v>0</v>
      </c>
      <c r="F270" s="29">
        <v>0</v>
      </c>
      <c r="G270" s="29">
        <v>0</v>
      </c>
      <c r="H270" s="29">
        <v>0</v>
      </c>
      <c r="I270" s="29">
        <v>0</v>
      </c>
      <c r="J270" s="29">
        <v>0</v>
      </c>
      <c r="K270" s="29">
        <v>0</v>
      </c>
      <c r="L270" s="29">
        <v>0</v>
      </c>
      <c r="M270" s="29">
        <v>0</v>
      </c>
      <c r="N270" s="29">
        <v>0</v>
      </c>
      <c r="O270" s="25"/>
      <c r="P270" s="27"/>
      <c r="Q270" s="28"/>
    </row>
    <row r="271" spans="1:17" ht="42.75" x14ac:dyDescent="0.25">
      <c r="A271" s="17" t="s">
        <v>664</v>
      </c>
      <c r="B271" s="18" t="s">
        <v>665</v>
      </c>
      <c r="C271" s="19"/>
      <c r="D271" s="19" t="s">
        <v>650</v>
      </c>
      <c r="E271" s="20">
        <f t="shared" ref="E271:N271" si="119">SUM(E272:E272)</f>
        <v>2000</v>
      </c>
      <c r="F271" s="20">
        <f t="shared" si="119"/>
        <v>0</v>
      </c>
      <c r="G271" s="20">
        <f t="shared" si="119"/>
        <v>0</v>
      </c>
      <c r="H271" s="20">
        <f t="shared" si="119"/>
        <v>0</v>
      </c>
      <c r="I271" s="20">
        <f t="shared" si="119"/>
        <v>0</v>
      </c>
      <c r="J271" s="20">
        <f t="shared" si="119"/>
        <v>0</v>
      </c>
      <c r="K271" s="20">
        <f t="shared" si="119"/>
        <v>0</v>
      </c>
      <c r="L271" s="20">
        <f t="shared" si="119"/>
        <v>0</v>
      </c>
      <c r="M271" s="20">
        <f t="shared" si="119"/>
        <v>0</v>
      </c>
      <c r="N271" s="20">
        <f t="shared" si="119"/>
        <v>2000</v>
      </c>
      <c r="O271" s="19"/>
      <c r="P271" s="21"/>
      <c r="Q271" s="22"/>
    </row>
    <row r="272" spans="1:17" ht="30" x14ac:dyDescent="0.25">
      <c r="A272" s="23" t="s">
        <v>666</v>
      </c>
      <c r="B272" s="24" t="s">
        <v>667</v>
      </c>
      <c r="C272" s="25"/>
      <c r="D272" s="25" t="s">
        <v>650</v>
      </c>
      <c r="E272" s="26">
        <f>SUM(E273:E273)+2000</f>
        <v>2000</v>
      </c>
      <c r="F272" s="26">
        <f t="shared" ref="F272:M272" si="120">SUM(F273:F273)</f>
        <v>0</v>
      </c>
      <c r="G272" s="26">
        <f t="shared" si="120"/>
        <v>0</v>
      </c>
      <c r="H272" s="26">
        <f t="shared" si="120"/>
        <v>0</v>
      </c>
      <c r="I272" s="26">
        <f t="shared" si="120"/>
        <v>0</v>
      </c>
      <c r="J272" s="26">
        <f t="shared" si="120"/>
        <v>0</v>
      </c>
      <c r="K272" s="26">
        <f t="shared" si="120"/>
        <v>0</v>
      </c>
      <c r="L272" s="26">
        <f t="shared" si="120"/>
        <v>0</v>
      </c>
      <c r="M272" s="26">
        <f t="shared" si="120"/>
        <v>0</v>
      </c>
      <c r="N272" s="26">
        <f>SUM(N273:N273)+2000</f>
        <v>2000</v>
      </c>
      <c r="O272" s="25" t="s">
        <v>668</v>
      </c>
      <c r="P272" s="27" t="s">
        <v>32</v>
      </c>
      <c r="Q272" s="28" t="s">
        <v>181</v>
      </c>
    </row>
    <row r="273" spans="1:17" ht="30" x14ac:dyDescent="0.25">
      <c r="A273" s="23" t="s">
        <v>669</v>
      </c>
      <c r="B273" s="24" t="s">
        <v>670</v>
      </c>
      <c r="C273" s="25"/>
      <c r="D273" s="25" t="s">
        <v>650</v>
      </c>
      <c r="E273" s="29">
        <v>0</v>
      </c>
      <c r="F273" s="29">
        <v>0</v>
      </c>
      <c r="G273" s="29">
        <v>0</v>
      </c>
      <c r="H273" s="29">
        <v>0</v>
      </c>
      <c r="I273" s="29">
        <v>0</v>
      </c>
      <c r="J273" s="29">
        <v>0</v>
      </c>
      <c r="K273" s="29">
        <v>0</v>
      </c>
      <c r="L273" s="29">
        <v>0</v>
      </c>
      <c r="M273" s="29">
        <v>0</v>
      </c>
      <c r="N273" s="29">
        <v>0</v>
      </c>
      <c r="O273" s="25"/>
      <c r="P273" s="27"/>
      <c r="Q273" s="28"/>
    </row>
    <row r="274" spans="1:17" ht="57" x14ac:dyDescent="0.25">
      <c r="A274" s="17" t="s">
        <v>671</v>
      </c>
      <c r="B274" s="18" t="s">
        <v>672</v>
      </c>
      <c r="C274" s="19"/>
      <c r="D274" s="19" t="s">
        <v>650</v>
      </c>
      <c r="E274" s="20">
        <f t="shared" ref="E274:N274" si="121">SUM(E275:E275)</f>
        <v>1500</v>
      </c>
      <c r="F274" s="20">
        <f t="shared" si="121"/>
        <v>0</v>
      </c>
      <c r="G274" s="20">
        <f t="shared" si="121"/>
        <v>0</v>
      </c>
      <c r="H274" s="20">
        <f t="shared" si="121"/>
        <v>0</v>
      </c>
      <c r="I274" s="20">
        <f t="shared" si="121"/>
        <v>0</v>
      </c>
      <c r="J274" s="20">
        <f t="shared" si="121"/>
        <v>0</v>
      </c>
      <c r="K274" s="20">
        <f t="shared" si="121"/>
        <v>0</v>
      </c>
      <c r="L274" s="20">
        <f t="shared" si="121"/>
        <v>0</v>
      </c>
      <c r="M274" s="20">
        <f t="shared" si="121"/>
        <v>0</v>
      </c>
      <c r="N274" s="20">
        <f t="shared" si="121"/>
        <v>1500</v>
      </c>
      <c r="O274" s="19"/>
      <c r="P274" s="21"/>
      <c r="Q274" s="22"/>
    </row>
    <row r="275" spans="1:17" ht="45" x14ac:dyDescent="0.25">
      <c r="A275" s="23" t="s">
        <v>673</v>
      </c>
      <c r="B275" s="24" t="s">
        <v>674</v>
      </c>
      <c r="C275" s="25"/>
      <c r="D275" s="25" t="s">
        <v>650</v>
      </c>
      <c r="E275" s="26">
        <f>SUM(E276:E276)+1500</f>
        <v>1500</v>
      </c>
      <c r="F275" s="26">
        <f t="shared" ref="F275:M275" si="122">SUM(F276:F276)</f>
        <v>0</v>
      </c>
      <c r="G275" s="26">
        <f t="shared" si="122"/>
        <v>0</v>
      </c>
      <c r="H275" s="26">
        <f t="shared" si="122"/>
        <v>0</v>
      </c>
      <c r="I275" s="26">
        <f t="shared" si="122"/>
        <v>0</v>
      </c>
      <c r="J275" s="26">
        <f t="shared" si="122"/>
        <v>0</v>
      </c>
      <c r="K275" s="26">
        <f t="shared" si="122"/>
        <v>0</v>
      </c>
      <c r="L275" s="26">
        <f t="shared" si="122"/>
        <v>0</v>
      </c>
      <c r="M275" s="26">
        <f t="shared" si="122"/>
        <v>0</v>
      </c>
      <c r="N275" s="26">
        <f>SUM(N276:N276)+1500</f>
        <v>1500</v>
      </c>
      <c r="O275" s="25" t="s">
        <v>675</v>
      </c>
      <c r="P275" s="27" t="s">
        <v>32</v>
      </c>
      <c r="Q275" s="28" t="s">
        <v>39</v>
      </c>
    </row>
    <row r="276" spans="1:17" ht="30" x14ac:dyDescent="0.25">
      <c r="A276" s="23" t="s">
        <v>676</v>
      </c>
      <c r="B276" s="24" t="s">
        <v>677</v>
      </c>
      <c r="C276" s="25"/>
      <c r="D276" s="25" t="s">
        <v>650</v>
      </c>
      <c r="E276" s="29">
        <v>0</v>
      </c>
      <c r="F276" s="29">
        <v>0</v>
      </c>
      <c r="G276" s="29">
        <v>0</v>
      </c>
      <c r="H276" s="29">
        <v>0</v>
      </c>
      <c r="I276" s="29">
        <v>0</v>
      </c>
      <c r="J276" s="29">
        <v>0</v>
      </c>
      <c r="K276" s="29">
        <v>0</v>
      </c>
      <c r="L276" s="29">
        <v>0</v>
      </c>
      <c r="M276" s="29">
        <v>0</v>
      </c>
      <c r="N276" s="29">
        <v>0</v>
      </c>
      <c r="O276" s="25"/>
      <c r="P276" s="27"/>
      <c r="Q276" s="28"/>
    </row>
    <row r="277" spans="1:17" ht="28.5" x14ac:dyDescent="0.25">
      <c r="A277" s="11" t="s">
        <v>678</v>
      </c>
      <c r="B277" s="12" t="s">
        <v>679</v>
      </c>
      <c r="C277" s="13"/>
      <c r="D277" s="13" t="s">
        <v>650</v>
      </c>
      <c r="E277" s="14">
        <f t="shared" ref="E277:N277" si="123">E278+E283</f>
        <v>13500</v>
      </c>
      <c r="F277" s="14">
        <f t="shared" si="123"/>
        <v>10000</v>
      </c>
      <c r="G277" s="14">
        <f t="shared" si="123"/>
        <v>0</v>
      </c>
      <c r="H277" s="14">
        <f t="shared" si="123"/>
        <v>0</v>
      </c>
      <c r="I277" s="14">
        <f t="shared" si="123"/>
        <v>0</v>
      </c>
      <c r="J277" s="14">
        <f t="shared" si="123"/>
        <v>0</v>
      </c>
      <c r="K277" s="14">
        <f t="shared" si="123"/>
        <v>0</v>
      </c>
      <c r="L277" s="14">
        <f t="shared" si="123"/>
        <v>0</v>
      </c>
      <c r="M277" s="14">
        <f t="shared" si="123"/>
        <v>0</v>
      </c>
      <c r="N277" s="14">
        <f t="shared" si="123"/>
        <v>3500</v>
      </c>
      <c r="O277" s="13"/>
      <c r="P277" s="15"/>
      <c r="Q277" s="16"/>
    </row>
    <row r="278" spans="1:17" ht="42.75" x14ac:dyDescent="0.25">
      <c r="A278" s="17" t="s">
        <v>680</v>
      </c>
      <c r="B278" s="18" t="s">
        <v>681</v>
      </c>
      <c r="C278" s="19"/>
      <c r="D278" s="19" t="s">
        <v>650</v>
      </c>
      <c r="E278" s="20">
        <f t="shared" ref="E278:N278" si="124">SUM(E279:E279)</f>
        <v>6500</v>
      </c>
      <c r="F278" s="20">
        <f t="shared" si="124"/>
        <v>5500</v>
      </c>
      <c r="G278" s="20">
        <f t="shared" si="124"/>
        <v>0</v>
      </c>
      <c r="H278" s="20">
        <f t="shared" si="124"/>
        <v>0</v>
      </c>
      <c r="I278" s="20">
        <f t="shared" si="124"/>
        <v>0</v>
      </c>
      <c r="J278" s="20">
        <f t="shared" si="124"/>
        <v>0</v>
      </c>
      <c r="K278" s="20">
        <f t="shared" si="124"/>
        <v>0</v>
      </c>
      <c r="L278" s="20">
        <f t="shared" si="124"/>
        <v>0</v>
      </c>
      <c r="M278" s="20">
        <f t="shared" si="124"/>
        <v>0</v>
      </c>
      <c r="N278" s="20">
        <f t="shared" si="124"/>
        <v>1000</v>
      </c>
      <c r="O278" s="19"/>
      <c r="P278" s="21"/>
      <c r="Q278" s="22"/>
    </row>
    <row r="279" spans="1:17" ht="30" x14ac:dyDescent="0.25">
      <c r="A279" s="23" t="s">
        <v>682</v>
      </c>
      <c r="B279" s="24" t="s">
        <v>683</v>
      </c>
      <c r="C279" s="25" t="s">
        <v>655</v>
      </c>
      <c r="D279" s="25" t="s">
        <v>650</v>
      </c>
      <c r="E279" s="26">
        <f>SUM(E280:E282)+6500</f>
        <v>6500</v>
      </c>
      <c r="F279" s="26">
        <f>SUM(F280:F282)+5500</f>
        <v>5500</v>
      </c>
      <c r="G279" s="26">
        <f t="shared" ref="G279:M279" si="125">SUM(G280:G282)</f>
        <v>0</v>
      </c>
      <c r="H279" s="26">
        <f t="shared" si="125"/>
        <v>0</v>
      </c>
      <c r="I279" s="26">
        <f t="shared" si="125"/>
        <v>0</v>
      </c>
      <c r="J279" s="26">
        <f t="shared" si="125"/>
        <v>0</v>
      </c>
      <c r="K279" s="26">
        <f t="shared" si="125"/>
        <v>0</v>
      </c>
      <c r="L279" s="26">
        <f t="shared" si="125"/>
        <v>0</v>
      </c>
      <c r="M279" s="26">
        <f t="shared" si="125"/>
        <v>0</v>
      </c>
      <c r="N279" s="26">
        <f>SUM(N280:N282)+1000</f>
        <v>1000</v>
      </c>
      <c r="O279" s="25" t="s">
        <v>684</v>
      </c>
      <c r="P279" s="27" t="s">
        <v>32</v>
      </c>
      <c r="Q279" s="28" t="s">
        <v>149</v>
      </c>
    </row>
    <row r="280" spans="1:17" x14ac:dyDescent="0.25">
      <c r="A280" s="30"/>
      <c r="B280" s="31"/>
      <c r="C280" s="32"/>
      <c r="D280" s="32"/>
      <c r="E280" s="33">
        <v>0</v>
      </c>
      <c r="F280" s="33">
        <v>0</v>
      </c>
      <c r="G280" s="33">
        <v>0</v>
      </c>
      <c r="H280" s="33">
        <v>0</v>
      </c>
      <c r="I280" s="33">
        <v>0</v>
      </c>
      <c r="J280" s="33">
        <v>0</v>
      </c>
      <c r="K280" s="33">
        <v>0</v>
      </c>
      <c r="L280" s="33">
        <v>0</v>
      </c>
      <c r="M280" s="33">
        <v>0</v>
      </c>
      <c r="N280" s="33">
        <v>0</v>
      </c>
      <c r="O280" s="32" t="s">
        <v>685</v>
      </c>
      <c r="P280" s="34" t="s">
        <v>32</v>
      </c>
      <c r="Q280" s="35" t="s">
        <v>149</v>
      </c>
    </row>
    <row r="281" spans="1:17" ht="45" x14ac:dyDescent="0.25">
      <c r="A281" s="23" t="s">
        <v>686</v>
      </c>
      <c r="B281" s="24" t="s">
        <v>687</v>
      </c>
      <c r="C281" s="25"/>
      <c r="D281" s="25" t="s">
        <v>650</v>
      </c>
      <c r="E281" s="29">
        <v>0</v>
      </c>
      <c r="F281" s="29">
        <v>0</v>
      </c>
      <c r="G281" s="29">
        <v>0</v>
      </c>
      <c r="H281" s="29">
        <v>0</v>
      </c>
      <c r="I281" s="29">
        <v>0</v>
      </c>
      <c r="J281" s="29">
        <v>0</v>
      </c>
      <c r="K281" s="29">
        <v>0</v>
      </c>
      <c r="L281" s="29">
        <v>0</v>
      </c>
      <c r="M281" s="29">
        <v>0</v>
      </c>
      <c r="N281" s="29">
        <v>0</v>
      </c>
      <c r="O281" s="25"/>
      <c r="P281" s="27"/>
      <c r="Q281" s="28"/>
    </row>
    <row r="282" spans="1:17" ht="30" x14ac:dyDescent="0.25">
      <c r="A282" s="23" t="s">
        <v>688</v>
      </c>
      <c r="B282" s="24" t="s">
        <v>689</v>
      </c>
      <c r="C282" s="25"/>
      <c r="D282" s="25" t="s">
        <v>650</v>
      </c>
      <c r="E282" s="29">
        <v>0</v>
      </c>
      <c r="F282" s="29">
        <v>0</v>
      </c>
      <c r="G282" s="29">
        <v>0</v>
      </c>
      <c r="H282" s="29">
        <v>0</v>
      </c>
      <c r="I282" s="29">
        <v>0</v>
      </c>
      <c r="J282" s="29">
        <v>0</v>
      </c>
      <c r="K282" s="29">
        <v>0</v>
      </c>
      <c r="L282" s="29">
        <v>0</v>
      </c>
      <c r="M282" s="29">
        <v>0</v>
      </c>
      <c r="N282" s="29">
        <v>0</v>
      </c>
      <c r="O282" s="25"/>
      <c r="P282" s="27"/>
      <c r="Q282" s="28"/>
    </row>
    <row r="283" spans="1:17" ht="42.75" x14ac:dyDescent="0.25">
      <c r="A283" s="17" t="s">
        <v>690</v>
      </c>
      <c r="B283" s="18" t="s">
        <v>691</v>
      </c>
      <c r="C283" s="19"/>
      <c r="D283" s="19" t="s">
        <v>650</v>
      </c>
      <c r="E283" s="20">
        <f t="shared" ref="E283:N283" si="126">SUM(E284:E284)</f>
        <v>7000</v>
      </c>
      <c r="F283" s="20">
        <f t="shared" si="126"/>
        <v>4500</v>
      </c>
      <c r="G283" s="20">
        <f t="shared" si="126"/>
        <v>0</v>
      </c>
      <c r="H283" s="20">
        <f t="shared" si="126"/>
        <v>0</v>
      </c>
      <c r="I283" s="20">
        <f t="shared" si="126"/>
        <v>0</v>
      </c>
      <c r="J283" s="20">
        <f t="shared" si="126"/>
        <v>0</v>
      </c>
      <c r="K283" s="20">
        <f t="shared" si="126"/>
        <v>0</v>
      </c>
      <c r="L283" s="20">
        <f t="shared" si="126"/>
        <v>0</v>
      </c>
      <c r="M283" s="20">
        <f t="shared" si="126"/>
        <v>0</v>
      </c>
      <c r="N283" s="20">
        <f t="shared" si="126"/>
        <v>2500</v>
      </c>
      <c r="O283" s="19"/>
      <c r="P283" s="21"/>
      <c r="Q283" s="22"/>
    </row>
    <row r="284" spans="1:17" ht="30" x14ac:dyDescent="0.25">
      <c r="A284" s="23" t="s">
        <v>692</v>
      </c>
      <c r="B284" s="24" t="s">
        <v>693</v>
      </c>
      <c r="C284" s="25"/>
      <c r="D284" s="25" t="s">
        <v>650</v>
      </c>
      <c r="E284" s="26">
        <f>SUM(E285:E288)+7000</f>
        <v>7000</v>
      </c>
      <c r="F284" s="26">
        <f>SUM(F285:F288)+4500</f>
        <v>4500</v>
      </c>
      <c r="G284" s="26">
        <f t="shared" ref="G284:M284" si="127">SUM(G285:G288)</f>
        <v>0</v>
      </c>
      <c r="H284" s="26">
        <f t="shared" si="127"/>
        <v>0</v>
      </c>
      <c r="I284" s="26">
        <f t="shared" si="127"/>
        <v>0</v>
      </c>
      <c r="J284" s="26">
        <f t="shared" si="127"/>
        <v>0</v>
      </c>
      <c r="K284" s="26">
        <f t="shared" si="127"/>
        <v>0</v>
      </c>
      <c r="L284" s="26">
        <f t="shared" si="127"/>
        <v>0</v>
      </c>
      <c r="M284" s="26">
        <f t="shared" si="127"/>
        <v>0</v>
      </c>
      <c r="N284" s="26">
        <f>SUM(N285:N288)+2500</f>
        <v>2500</v>
      </c>
      <c r="O284" s="25" t="s">
        <v>694</v>
      </c>
      <c r="P284" s="27" t="s">
        <v>32</v>
      </c>
      <c r="Q284" s="28" t="s">
        <v>235</v>
      </c>
    </row>
    <row r="285" spans="1:17" x14ac:dyDescent="0.25">
      <c r="A285" s="30"/>
      <c r="B285" s="31"/>
      <c r="C285" s="32"/>
      <c r="D285" s="32"/>
      <c r="E285" s="33">
        <v>0</v>
      </c>
      <c r="F285" s="33">
        <v>0</v>
      </c>
      <c r="G285" s="33">
        <v>0</v>
      </c>
      <c r="H285" s="33">
        <v>0</v>
      </c>
      <c r="I285" s="33">
        <v>0</v>
      </c>
      <c r="J285" s="33">
        <v>0</v>
      </c>
      <c r="K285" s="33">
        <v>0</v>
      </c>
      <c r="L285" s="33">
        <v>0</v>
      </c>
      <c r="M285" s="33">
        <v>0</v>
      </c>
      <c r="N285" s="33">
        <v>0</v>
      </c>
      <c r="O285" s="32" t="s">
        <v>695</v>
      </c>
      <c r="P285" s="34" t="s">
        <v>32</v>
      </c>
      <c r="Q285" s="35" t="s">
        <v>94</v>
      </c>
    </row>
    <row r="286" spans="1:17" x14ac:dyDescent="0.25">
      <c r="A286" s="23" t="s">
        <v>696</v>
      </c>
      <c r="B286" s="24" t="s">
        <v>697</v>
      </c>
      <c r="C286" s="25"/>
      <c r="D286" s="25" t="s">
        <v>650</v>
      </c>
      <c r="E286" s="29">
        <v>0</v>
      </c>
      <c r="F286" s="29">
        <v>0</v>
      </c>
      <c r="G286" s="29">
        <v>0</v>
      </c>
      <c r="H286" s="29">
        <v>0</v>
      </c>
      <c r="I286" s="29">
        <v>0</v>
      </c>
      <c r="J286" s="29">
        <v>0</v>
      </c>
      <c r="K286" s="29">
        <v>0</v>
      </c>
      <c r="L286" s="29">
        <v>0</v>
      </c>
      <c r="M286" s="29">
        <v>0</v>
      </c>
      <c r="N286" s="29">
        <v>0</v>
      </c>
      <c r="O286" s="25"/>
      <c r="P286" s="27"/>
      <c r="Q286" s="28"/>
    </row>
    <row r="287" spans="1:17" ht="30" x14ac:dyDescent="0.25">
      <c r="A287" s="23" t="s">
        <v>698</v>
      </c>
      <c r="B287" s="24" t="s">
        <v>699</v>
      </c>
      <c r="C287" s="25"/>
      <c r="D287" s="25" t="s">
        <v>650</v>
      </c>
      <c r="E287" s="29">
        <v>0</v>
      </c>
      <c r="F287" s="29">
        <v>0</v>
      </c>
      <c r="G287" s="29">
        <v>0</v>
      </c>
      <c r="H287" s="29">
        <v>0</v>
      </c>
      <c r="I287" s="29">
        <v>0</v>
      </c>
      <c r="J287" s="29">
        <v>0</v>
      </c>
      <c r="K287" s="29">
        <v>0</v>
      </c>
      <c r="L287" s="29">
        <v>0</v>
      </c>
      <c r="M287" s="29">
        <v>0</v>
      </c>
      <c r="N287" s="29">
        <v>0</v>
      </c>
      <c r="O287" s="25"/>
      <c r="P287" s="27"/>
      <c r="Q287" s="28"/>
    </row>
    <row r="288" spans="1:17" x14ac:dyDescent="0.25">
      <c r="A288" s="23" t="s">
        <v>700</v>
      </c>
      <c r="B288" s="24" t="s">
        <v>701</v>
      </c>
      <c r="C288" s="25"/>
      <c r="D288" s="25" t="s">
        <v>650</v>
      </c>
      <c r="E288" s="29">
        <v>0</v>
      </c>
      <c r="F288" s="29">
        <v>0</v>
      </c>
      <c r="G288" s="29">
        <v>0</v>
      </c>
      <c r="H288" s="29">
        <v>0</v>
      </c>
      <c r="I288" s="29">
        <v>0</v>
      </c>
      <c r="J288" s="29">
        <v>0</v>
      </c>
      <c r="K288" s="29">
        <v>0</v>
      </c>
      <c r="L288" s="29">
        <v>0</v>
      </c>
      <c r="M288" s="29">
        <v>0</v>
      </c>
      <c r="N288" s="29">
        <v>0</v>
      </c>
      <c r="O288" s="25"/>
      <c r="P288" s="27"/>
      <c r="Q288" s="28"/>
    </row>
    <row r="289" spans="1:17" ht="28.5" x14ac:dyDescent="0.25">
      <c r="A289" s="11" t="s">
        <v>702</v>
      </c>
      <c r="B289" s="12" t="s">
        <v>703</v>
      </c>
      <c r="C289" s="13"/>
      <c r="D289" s="13" t="s">
        <v>650</v>
      </c>
      <c r="E289" s="14">
        <f t="shared" ref="E289:N289" si="128">E290+E295</f>
        <v>57300</v>
      </c>
      <c r="F289" s="14">
        <f t="shared" si="128"/>
        <v>51500</v>
      </c>
      <c r="G289" s="14">
        <f t="shared" si="128"/>
        <v>0</v>
      </c>
      <c r="H289" s="14">
        <f t="shared" si="128"/>
        <v>0</v>
      </c>
      <c r="I289" s="14">
        <f t="shared" si="128"/>
        <v>0</v>
      </c>
      <c r="J289" s="14">
        <f t="shared" si="128"/>
        <v>0</v>
      </c>
      <c r="K289" s="14">
        <f t="shared" si="128"/>
        <v>0</v>
      </c>
      <c r="L289" s="14">
        <f t="shared" si="128"/>
        <v>0</v>
      </c>
      <c r="M289" s="14">
        <f t="shared" si="128"/>
        <v>0</v>
      </c>
      <c r="N289" s="14">
        <f t="shared" si="128"/>
        <v>5800</v>
      </c>
      <c r="O289" s="13"/>
      <c r="P289" s="15"/>
      <c r="Q289" s="16"/>
    </row>
    <row r="290" spans="1:17" ht="42.75" x14ac:dyDescent="0.25">
      <c r="A290" s="17" t="s">
        <v>704</v>
      </c>
      <c r="B290" s="18" t="s">
        <v>705</v>
      </c>
      <c r="C290" s="19"/>
      <c r="D290" s="19" t="s">
        <v>650</v>
      </c>
      <c r="E290" s="20">
        <f t="shared" ref="E290:N290" si="129">E291+E293</f>
        <v>37300</v>
      </c>
      <c r="F290" s="20">
        <f t="shared" si="129"/>
        <v>35000</v>
      </c>
      <c r="G290" s="20">
        <f t="shared" si="129"/>
        <v>0</v>
      </c>
      <c r="H290" s="20">
        <f t="shared" si="129"/>
        <v>0</v>
      </c>
      <c r="I290" s="20">
        <f t="shared" si="129"/>
        <v>0</v>
      </c>
      <c r="J290" s="20">
        <f t="shared" si="129"/>
        <v>0</v>
      </c>
      <c r="K290" s="20">
        <f t="shared" si="129"/>
        <v>0</v>
      </c>
      <c r="L290" s="20">
        <f t="shared" si="129"/>
        <v>0</v>
      </c>
      <c r="M290" s="20">
        <f t="shared" si="129"/>
        <v>0</v>
      </c>
      <c r="N290" s="20">
        <f t="shared" si="129"/>
        <v>2300</v>
      </c>
      <c r="O290" s="19"/>
      <c r="P290" s="21"/>
      <c r="Q290" s="22"/>
    </row>
    <row r="291" spans="1:17" ht="30" x14ac:dyDescent="0.25">
      <c r="A291" s="23" t="s">
        <v>706</v>
      </c>
      <c r="B291" s="24" t="s">
        <v>707</v>
      </c>
      <c r="C291" s="25"/>
      <c r="D291" s="25" t="s">
        <v>650</v>
      </c>
      <c r="E291" s="26">
        <f>SUM(E292:E292)+21200</f>
        <v>21200</v>
      </c>
      <c r="F291" s="26">
        <f>SUM(F292:F292)+20000</f>
        <v>20000</v>
      </c>
      <c r="G291" s="26">
        <f t="shared" ref="G291:M291" si="130">SUM(G292:G292)</f>
        <v>0</v>
      </c>
      <c r="H291" s="26">
        <f t="shared" si="130"/>
        <v>0</v>
      </c>
      <c r="I291" s="26">
        <f t="shared" si="130"/>
        <v>0</v>
      </c>
      <c r="J291" s="26">
        <f t="shared" si="130"/>
        <v>0</v>
      </c>
      <c r="K291" s="26">
        <f t="shared" si="130"/>
        <v>0</v>
      </c>
      <c r="L291" s="26">
        <f t="shared" si="130"/>
        <v>0</v>
      </c>
      <c r="M291" s="26">
        <f t="shared" si="130"/>
        <v>0</v>
      </c>
      <c r="N291" s="26">
        <f>SUM(N292:N292)+1200</f>
        <v>1200</v>
      </c>
      <c r="O291" s="25" t="s">
        <v>708</v>
      </c>
      <c r="P291" s="27" t="s">
        <v>32</v>
      </c>
      <c r="Q291" s="28" t="s">
        <v>94</v>
      </c>
    </row>
    <row r="292" spans="1:17" ht="30" x14ac:dyDescent="0.25">
      <c r="A292" s="23" t="s">
        <v>709</v>
      </c>
      <c r="B292" s="24" t="s">
        <v>710</v>
      </c>
      <c r="C292" s="25"/>
      <c r="D292" s="25" t="s">
        <v>650</v>
      </c>
      <c r="E292" s="29">
        <v>0</v>
      </c>
      <c r="F292" s="29">
        <v>0</v>
      </c>
      <c r="G292" s="29">
        <v>0</v>
      </c>
      <c r="H292" s="29">
        <v>0</v>
      </c>
      <c r="I292" s="29">
        <v>0</v>
      </c>
      <c r="J292" s="29">
        <v>0</v>
      </c>
      <c r="K292" s="29">
        <v>0</v>
      </c>
      <c r="L292" s="29">
        <v>0</v>
      </c>
      <c r="M292" s="29">
        <v>0</v>
      </c>
      <c r="N292" s="29">
        <v>0</v>
      </c>
      <c r="O292" s="25"/>
      <c r="P292" s="27"/>
      <c r="Q292" s="28"/>
    </row>
    <row r="293" spans="1:17" ht="60" x14ac:dyDescent="0.25">
      <c r="A293" s="23" t="s">
        <v>711</v>
      </c>
      <c r="B293" s="24" t="s">
        <v>712</v>
      </c>
      <c r="C293" s="25" t="s">
        <v>655</v>
      </c>
      <c r="D293" s="25" t="s">
        <v>650</v>
      </c>
      <c r="E293" s="26">
        <f>SUM(E294:E294)+16100</f>
        <v>16100</v>
      </c>
      <c r="F293" s="26">
        <f>SUM(F294:F294)+15000</f>
        <v>15000</v>
      </c>
      <c r="G293" s="26">
        <f t="shared" ref="G293:M293" si="131">SUM(G294:G294)</f>
        <v>0</v>
      </c>
      <c r="H293" s="26">
        <f t="shared" si="131"/>
        <v>0</v>
      </c>
      <c r="I293" s="26">
        <f t="shared" si="131"/>
        <v>0</v>
      </c>
      <c r="J293" s="26">
        <f t="shared" si="131"/>
        <v>0</v>
      </c>
      <c r="K293" s="26">
        <f t="shared" si="131"/>
        <v>0</v>
      </c>
      <c r="L293" s="26">
        <f t="shared" si="131"/>
        <v>0</v>
      </c>
      <c r="M293" s="26">
        <f t="shared" si="131"/>
        <v>0</v>
      </c>
      <c r="N293" s="26">
        <f>SUM(N294:N294)+1100</f>
        <v>1100</v>
      </c>
      <c r="O293" s="25" t="s">
        <v>713</v>
      </c>
      <c r="P293" s="27" t="s">
        <v>32</v>
      </c>
      <c r="Q293" s="28" t="s">
        <v>71</v>
      </c>
    </row>
    <row r="294" spans="1:17" ht="45" x14ac:dyDescent="0.25">
      <c r="A294" s="23" t="s">
        <v>714</v>
      </c>
      <c r="B294" s="24" t="s">
        <v>715</v>
      </c>
      <c r="C294" s="25"/>
      <c r="D294" s="25"/>
      <c r="E294" s="29">
        <v>0</v>
      </c>
      <c r="F294" s="29">
        <v>0</v>
      </c>
      <c r="G294" s="29">
        <v>0</v>
      </c>
      <c r="H294" s="29">
        <v>0</v>
      </c>
      <c r="I294" s="29">
        <v>0</v>
      </c>
      <c r="J294" s="29">
        <v>0</v>
      </c>
      <c r="K294" s="29">
        <v>0</v>
      </c>
      <c r="L294" s="29">
        <v>0</v>
      </c>
      <c r="M294" s="29">
        <v>0</v>
      </c>
      <c r="N294" s="29">
        <v>0</v>
      </c>
      <c r="O294" s="25"/>
      <c r="P294" s="27"/>
      <c r="Q294" s="28"/>
    </row>
    <row r="295" spans="1:17" ht="28.5" x14ac:dyDescent="0.25">
      <c r="A295" s="17" t="s">
        <v>716</v>
      </c>
      <c r="B295" s="18" t="s">
        <v>717</v>
      </c>
      <c r="C295" s="19" t="s">
        <v>655</v>
      </c>
      <c r="D295" s="19" t="s">
        <v>650</v>
      </c>
      <c r="E295" s="20">
        <f t="shared" ref="E295:N295" si="132">SUM(E296:E296)</f>
        <v>20000</v>
      </c>
      <c r="F295" s="20">
        <f t="shared" si="132"/>
        <v>16500</v>
      </c>
      <c r="G295" s="20">
        <f t="shared" si="132"/>
        <v>0</v>
      </c>
      <c r="H295" s="20">
        <f t="shared" si="132"/>
        <v>0</v>
      </c>
      <c r="I295" s="20">
        <f t="shared" si="132"/>
        <v>0</v>
      </c>
      <c r="J295" s="20">
        <f t="shared" si="132"/>
        <v>0</v>
      </c>
      <c r="K295" s="20">
        <f t="shared" si="132"/>
        <v>0</v>
      </c>
      <c r="L295" s="20">
        <f t="shared" si="132"/>
        <v>0</v>
      </c>
      <c r="M295" s="20">
        <f t="shared" si="132"/>
        <v>0</v>
      </c>
      <c r="N295" s="20">
        <f t="shared" si="132"/>
        <v>3500</v>
      </c>
      <c r="O295" s="19"/>
      <c r="P295" s="21"/>
      <c r="Q295" s="22"/>
    </row>
    <row r="296" spans="1:17" ht="45" x14ac:dyDescent="0.25">
      <c r="A296" s="23" t="s">
        <v>718</v>
      </c>
      <c r="B296" s="24" t="s">
        <v>719</v>
      </c>
      <c r="C296" s="25" t="s">
        <v>655</v>
      </c>
      <c r="D296" s="25" t="s">
        <v>650</v>
      </c>
      <c r="E296" s="26">
        <f>SUM(E297:E303)+20000</f>
        <v>20000</v>
      </c>
      <c r="F296" s="26">
        <f>SUM(F297:F303)+16500</f>
        <v>16500</v>
      </c>
      <c r="G296" s="26">
        <f t="shared" ref="G296:M296" si="133">SUM(G297:G303)</f>
        <v>0</v>
      </c>
      <c r="H296" s="26">
        <f t="shared" si="133"/>
        <v>0</v>
      </c>
      <c r="I296" s="26">
        <f t="shared" si="133"/>
        <v>0</v>
      </c>
      <c r="J296" s="26">
        <f t="shared" si="133"/>
        <v>0</v>
      </c>
      <c r="K296" s="26">
        <f t="shared" si="133"/>
        <v>0</v>
      </c>
      <c r="L296" s="26">
        <f t="shared" si="133"/>
        <v>0</v>
      </c>
      <c r="M296" s="26">
        <f t="shared" si="133"/>
        <v>0</v>
      </c>
      <c r="N296" s="26">
        <f>SUM(N297:N303)+3500</f>
        <v>3500</v>
      </c>
      <c r="O296" s="25" t="s">
        <v>720</v>
      </c>
      <c r="P296" s="27" t="s">
        <v>721</v>
      </c>
      <c r="Q296" s="28" t="s">
        <v>722</v>
      </c>
    </row>
    <row r="297" spans="1:17" x14ac:dyDescent="0.25">
      <c r="A297" s="30"/>
      <c r="B297" s="31"/>
      <c r="C297" s="32"/>
      <c r="D297" s="32"/>
      <c r="E297" s="33">
        <v>0</v>
      </c>
      <c r="F297" s="33">
        <v>0</v>
      </c>
      <c r="G297" s="33">
        <v>0</v>
      </c>
      <c r="H297" s="33">
        <v>0</v>
      </c>
      <c r="I297" s="33">
        <v>0</v>
      </c>
      <c r="J297" s="33">
        <v>0</v>
      </c>
      <c r="K297" s="33">
        <v>0</v>
      </c>
      <c r="L297" s="33">
        <v>0</v>
      </c>
      <c r="M297" s="33">
        <v>0</v>
      </c>
      <c r="N297" s="33">
        <v>0</v>
      </c>
      <c r="O297" s="32" t="s">
        <v>723</v>
      </c>
      <c r="P297" s="34" t="s">
        <v>32</v>
      </c>
      <c r="Q297" s="35" t="s">
        <v>235</v>
      </c>
    </row>
    <row r="298" spans="1:17" ht="30" x14ac:dyDescent="0.25">
      <c r="A298" s="30"/>
      <c r="B298" s="31"/>
      <c r="C298" s="32"/>
      <c r="D298" s="32"/>
      <c r="E298" s="33">
        <v>0</v>
      </c>
      <c r="F298" s="33">
        <v>0</v>
      </c>
      <c r="G298" s="33">
        <v>0</v>
      </c>
      <c r="H298" s="33">
        <v>0</v>
      </c>
      <c r="I298" s="33">
        <v>0</v>
      </c>
      <c r="J298" s="33">
        <v>0</v>
      </c>
      <c r="K298" s="33">
        <v>0</v>
      </c>
      <c r="L298" s="33">
        <v>0</v>
      </c>
      <c r="M298" s="33">
        <v>0</v>
      </c>
      <c r="N298" s="33">
        <v>0</v>
      </c>
      <c r="O298" s="32" t="s">
        <v>724</v>
      </c>
      <c r="P298" s="34" t="s">
        <v>32</v>
      </c>
      <c r="Q298" s="35" t="s">
        <v>94</v>
      </c>
    </row>
    <row r="299" spans="1:17" x14ac:dyDescent="0.25">
      <c r="A299" s="30"/>
      <c r="B299" s="31"/>
      <c r="C299" s="32"/>
      <c r="D299" s="32"/>
      <c r="E299" s="33">
        <v>0</v>
      </c>
      <c r="F299" s="33">
        <v>0</v>
      </c>
      <c r="G299" s="33">
        <v>0</v>
      </c>
      <c r="H299" s="33">
        <v>0</v>
      </c>
      <c r="I299" s="33">
        <v>0</v>
      </c>
      <c r="J299" s="33">
        <v>0</v>
      </c>
      <c r="K299" s="33">
        <v>0</v>
      </c>
      <c r="L299" s="33">
        <v>0</v>
      </c>
      <c r="M299" s="33">
        <v>0</v>
      </c>
      <c r="N299" s="33">
        <v>0</v>
      </c>
      <c r="O299" s="32" t="s">
        <v>725</v>
      </c>
      <c r="P299" s="34" t="s">
        <v>32</v>
      </c>
      <c r="Q299" s="35" t="s">
        <v>456</v>
      </c>
    </row>
    <row r="300" spans="1:17" ht="30" x14ac:dyDescent="0.25">
      <c r="A300" s="23" t="s">
        <v>726</v>
      </c>
      <c r="B300" s="24" t="s">
        <v>727</v>
      </c>
      <c r="C300" s="25"/>
      <c r="D300" s="25" t="s">
        <v>650</v>
      </c>
      <c r="E300" s="29">
        <v>0</v>
      </c>
      <c r="F300" s="29">
        <v>0</v>
      </c>
      <c r="G300" s="29">
        <v>0</v>
      </c>
      <c r="H300" s="29">
        <v>0</v>
      </c>
      <c r="I300" s="29">
        <v>0</v>
      </c>
      <c r="J300" s="29">
        <v>0</v>
      </c>
      <c r="K300" s="29">
        <v>0</v>
      </c>
      <c r="L300" s="29">
        <v>0</v>
      </c>
      <c r="M300" s="29">
        <v>0</v>
      </c>
      <c r="N300" s="29">
        <v>0</v>
      </c>
      <c r="O300" s="25"/>
      <c r="P300" s="27"/>
      <c r="Q300" s="28"/>
    </row>
    <row r="301" spans="1:17" ht="30" x14ac:dyDescent="0.25">
      <c r="A301" s="23" t="s">
        <v>728</v>
      </c>
      <c r="B301" s="24" t="s">
        <v>729</v>
      </c>
      <c r="C301" s="25"/>
      <c r="D301" s="25" t="s">
        <v>650</v>
      </c>
      <c r="E301" s="29">
        <v>0</v>
      </c>
      <c r="F301" s="29">
        <v>0</v>
      </c>
      <c r="G301" s="29">
        <v>0</v>
      </c>
      <c r="H301" s="29">
        <v>0</v>
      </c>
      <c r="I301" s="29">
        <v>0</v>
      </c>
      <c r="J301" s="29">
        <v>0</v>
      </c>
      <c r="K301" s="29">
        <v>0</v>
      </c>
      <c r="L301" s="29">
        <v>0</v>
      </c>
      <c r="M301" s="29">
        <v>0</v>
      </c>
      <c r="N301" s="29">
        <v>0</v>
      </c>
      <c r="O301" s="25"/>
      <c r="P301" s="27"/>
      <c r="Q301" s="28"/>
    </row>
    <row r="302" spans="1:17" ht="30" x14ac:dyDescent="0.25">
      <c r="A302" s="23" t="s">
        <v>730</v>
      </c>
      <c r="B302" s="24" t="s">
        <v>731</v>
      </c>
      <c r="C302" s="25"/>
      <c r="D302" s="25" t="s">
        <v>650</v>
      </c>
      <c r="E302" s="29">
        <v>0</v>
      </c>
      <c r="F302" s="29">
        <v>0</v>
      </c>
      <c r="G302" s="29">
        <v>0</v>
      </c>
      <c r="H302" s="29">
        <v>0</v>
      </c>
      <c r="I302" s="29">
        <v>0</v>
      </c>
      <c r="J302" s="29">
        <v>0</v>
      </c>
      <c r="K302" s="29">
        <v>0</v>
      </c>
      <c r="L302" s="29">
        <v>0</v>
      </c>
      <c r="M302" s="29">
        <v>0</v>
      </c>
      <c r="N302" s="29">
        <v>0</v>
      </c>
      <c r="O302" s="25"/>
      <c r="P302" s="27"/>
      <c r="Q302" s="28"/>
    </row>
    <row r="303" spans="1:17" ht="30" x14ac:dyDescent="0.25">
      <c r="A303" s="23" t="s">
        <v>732</v>
      </c>
      <c r="B303" s="24" t="s">
        <v>733</v>
      </c>
      <c r="C303" s="25"/>
      <c r="D303" s="25" t="s">
        <v>650</v>
      </c>
      <c r="E303" s="29">
        <v>0</v>
      </c>
      <c r="F303" s="29">
        <v>0</v>
      </c>
      <c r="G303" s="29">
        <v>0</v>
      </c>
      <c r="H303" s="29">
        <v>0</v>
      </c>
      <c r="I303" s="29">
        <v>0</v>
      </c>
      <c r="J303" s="29">
        <v>0</v>
      </c>
      <c r="K303" s="29">
        <v>0</v>
      </c>
      <c r="L303" s="29">
        <v>0</v>
      </c>
      <c r="M303" s="29">
        <v>0</v>
      </c>
      <c r="N303" s="29">
        <v>0</v>
      </c>
      <c r="O303" s="25"/>
      <c r="P303" s="27"/>
      <c r="Q303" s="28"/>
    </row>
    <row r="304" spans="1:17" ht="42.75" x14ac:dyDescent="0.25">
      <c r="A304" s="5" t="s">
        <v>734</v>
      </c>
      <c r="B304" s="6" t="s">
        <v>735</v>
      </c>
      <c r="C304" s="7" t="s">
        <v>736</v>
      </c>
      <c r="D304" s="7" t="s">
        <v>737</v>
      </c>
      <c r="E304" s="8">
        <f t="shared" ref="E304:N304" si="134">E305+E349+E385+E398+E402</f>
        <v>3782149.95</v>
      </c>
      <c r="F304" s="8">
        <f t="shared" si="134"/>
        <v>2031167</v>
      </c>
      <c r="G304" s="8">
        <f t="shared" si="134"/>
        <v>40744</v>
      </c>
      <c r="H304" s="8">
        <f t="shared" si="134"/>
        <v>0</v>
      </c>
      <c r="I304" s="8">
        <f t="shared" si="134"/>
        <v>1568127.95</v>
      </c>
      <c r="J304" s="8">
        <f t="shared" si="134"/>
        <v>0</v>
      </c>
      <c r="K304" s="8">
        <f t="shared" si="134"/>
        <v>83116</v>
      </c>
      <c r="L304" s="8">
        <f t="shared" si="134"/>
        <v>58995</v>
      </c>
      <c r="M304" s="8">
        <f t="shared" si="134"/>
        <v>0</v>
      </c>
      <c r="N304" s="8">
        <f t="shared" si="134"/>
        <v>0</v>
      </c>
      <c r="O304" s="7"/>
      <c r="P304" s="9"/>
      <c r="Q304" s="10"/>
    </row>
    <row r="305" spans="1:17" ht="28.5" x14ac:dyDescent="0.25">
      <c r="A305" s="11" t="s">
        <v>738</v>
      </c>
      <c r="B305" s="12" t="s">
        <v>739</v>
      </c>
      <c r="C305" s="13" t="s">
        <v>736</v>
      </c>
      <c r="D305" s="13" t="s">
        <v>740</v>
      </c>
      <c r="E305" s="14">
        <f t="shared" ref="E305:N305" si="135">E306+E329+E334+E344</f>
        <v>937059.95</v>
      </c>
      <c r="F305" s="14">
        <f t="shared" si="135"/>
        <v>526621</v>
      </c>
      <c r="G305" s="14">
        <f t="shared" si="135"/>
        <v>8300</v>
      </c>
      <c r="H305" s="14">
        <f t="shared" si="135"/>
        <v>0</v>
      </c>
      <c r="I305" s="14">
        <f t="shared" si="135"/>
        <v>260027.95</v>
      </c>
      <c r="J305" s="14">
        <f t="shared" si="135"/>
        <v>0</v>
      </c>
      <c r="K305" s="14">
        <f t="shared" si="135"/>
        <v>83116</v>
      </c>
      <c r="L305" s="14">
        <f t="shared" si="135"/>
        <v>58995</v>
      </c>
      <c r="M305" s="14">
        <f t="shared" si="135"/>
        <v>0</v>
      </c>
      <c r="N305" s="14">
        <f t="shared" si="135"/>
        <v>0</v>
      </c>
      <c r="O305" s="13"/>
      <c r="P305" s="15"/>
      <c r="Q305" s="16"/>
    </row>
    <row r="306" spans="1:17" ht="42.75" x14ac:dyDescent="0.25">
      <c r="A306" s="17" t="s">
        <v>741</v>
      </c>
      <c r="B306" s="18" t="s">
        <v>742</v>
      </c>
      <c r="C306" s="19"/>
      <c r="D306" s="19" t="s">
        <v>743</v>
      </c>
      <c r="E306" s="20">
        <f t="shared" ref="E306:N306" si="136">E307+E310+E316+E318+E320+E324+E326</f>
        <v>802534.95</v>
      </c>
      <c r="F306" s="20">
        <f t="shared" si="136"/>
        <v>451091</v>
      </c>
      <c r="G306" s="20">
        <f t="shared" si="136"/>
        <v>8300</v>
      </c>
      <c r="H306" s="20">
        <f t="shared" si="136"/>
        <v>0</v>
      </c>
      <c r="I306" s="20">
        <f t="shared" si="136"/>
        <v>260027.95</v>
      </c>
      <c r="J306" s="20">
        <f t="shared" si="136"/>
        <v>0</v>
      </c>
      <c r="K306" s="20">
        <f t="shared" si="136"/>
        <v>83116</v>
      </c>
      <c r="L306" s="20">
        <f t="shared" si="136"/>
        <v>0</v>
      </c>
      <c r="M306" s="20">
        <f t="shared" si="136"/>
        <v>0</v>
      </c>
      <c r="N306" s="20">
        <f t="shared" si="136"/>
        <v>0</v>
      </c>
      <c r="O306" s="19"/>
      <c r="P306" s="21"/>
      <c r="Q306" s="22"/>
    </row>
    <row r="307" spans="1:17" ht="30" x14ac:dyDescent="0.25">
      <c r="A307" s="23" t="s">
        <v>744</v>
      </c>
      <c r="B307" s="24" t="s">
        <v>745</v>
      </c>
      <c r="C307" s="25" t="s">
        <v>736</v>
      </c>
      <c r="D307" s="25" t="s">
        <v>740</v>
      </c>
      <c r="E307" s="26">
        <f>SUM(E308:E309)+83116</f>
        <v>83116</v>
      </c>
      <c r="F307" s="26">
        <f>SUM(F308:F309)</f>
        <v>0</v>
      </c>
      <c r="G307" s="26">
        <f>SUM(G308:G309)</f>
        <v>0</v>
      </c>
      <c r="H307" s="26">
        <f>SUM(H308:H309)</f>
        <v>0</v>
      </c>
      <c r="I307" s="26">
        <f>SUM(I308:I309)</f>
        <v>0</v>
      </c>
      <c r="J307" s="26">
        <f>SUM(J308:J309)</f>
        <v>0</v>
      </c>
      <c r="K307" s="26">
        <f>SUM(K308:K309)+83116</f>
        <v>83116</v>
      </c>
      <c r="L307" s="26">
        <f>SUM(L308:L309)</f>
        <v>0</v>
      </c>
      <c r="M307" s="26">
        <f>SUM(M308:M309)</f>
        <v>0</v>
      </c>
      <c r="N307" s="26">
        <f>SUM(N308:N309)</f>
        <v>0</v>
      </c>
      <c r="O307" s="25" t="s">
        <v>746</v>
      </c>
      <c r="P307" s="27" t="s">
        <v>32</v>
      </c>
      <c r="Q307" s="28" t="s">
        <v>747</v>
      </c>
    </row>
    <row r="308" spans="1:17" ht="45" x14ac:dyDescent="0.25">
      <c r="A308" s="23" t="s">
        <v>748</v>
      </c>
      <c r="B308" s="24" t="s">
        <v>749</v>
      </c>
      <c r="C308" s="25"/>
      <c r="D308" s="25" t="s">
        <v>743</v>
      </c>
      <c r="E308" s="29">
        <v>0</v>
      </c>
      <c r="F308" s="29">
        <v>0</v>
      </c>
      <c r="G308" s="29">
        <v>0</v>
      </c>
      <c r="H308" s="29">
        <v>0</v>
      </c>
      <c r="I308" s="29">
        <v>0</v>
      </c>
      <c r="J308" s="29">
        <v>0</v>
      </c>
      <c r="K308" s="29">
        <v>0</v>
      </c>
      <c r="L308" s="29">
        <v>0</v>
      </c>
      <c r="M308" s="29">
        <v>0</v>
      </c>
      <c r="N308" s="29">
        <v>0</v>
      </c>
      <c r="O308" s="25"/>
      <c r="P308" s="27"/>
      <c r="Q308" s="28"/>
    </row>
    <row r="309" spans="1:17" ht="45" x14ac:dyDescent="0.25">
      <c r="A309" s="23" t="s">
        <v>750</v>
      </c>
      <c r="B309" s="24" t="s">
        <v>751</v>
      </c>
      <c r="C309" s="25"/>
      <c r="D309" s="25" t="s">
        <v>743</v>
      </c>
      <c r="E309" s="29">
        <v>0</v>
      </c>
      <c r="F309" s="29">
        <v>0</v>
      </c>
      <c r="G309" s="29">
        <v>0</v>
      </c>
      <c r="H309" s="29">
        <v>0</v>
      </c>
      <c r="I309" s="29">
        <v>0</v>
      </c>
      <c r="J309" s="29">
        <v>0</v>
      </c>
      <c r="K309" s="29">
        <v>0</v>
      </c>
      <c r="L309" s="29">
        <v>0</v>
      </c>
      <c r="M309" s="29">
        <v>0</v>
      </c>
      <c r="N309" s="29">
        <v>0</v>
      </c>
      <c r="O309" s="25"/>
      <c r="P309" s="27"/>
      <c r="Q309" s="28"/>
    </row>
    <row r="310" spans="1:17" ht="45" x14ac:dyDescent="0.25">
      <c r="A310" s="23" t="s">
        <v>752</v>
      </c>
      <c r="B310" s="24" t="s">
        <v>753</v>
      </c>
      <c r="C310" s="25"/>
      <c r="D310" s="25" t="s">
        <v>740</v>
      </c>
      <c r="E310" s="26">
        <f>SUM(E311:E315)+139391</f>
        <v>139391</v>
      </c>
      <c r="F310" s="26">
        <f>SUM(F311:F315)+56091</f>
        <v>56091</v>
      </c>
      <c r="G310" s="26">
        <f>SUM(G311:G315)+8300</f>
        <v>8300</v>
      </c>
      <c r="H310" s="26">
        <f>SUM(H311:H315)</f>
        <v>0</v>
      </c>
      <c r="I310" s="26">
        <f>SUM(I311:I315)+75000</f>
        <v>75000</v>
      </c>
      <c r="J310" s="26">
        <f>SUM(J311:J315)</f>
        <v>0</v>
      </c>
      <c r="K310" s="26">
        <f>SUM(K311:K315)</f>
        <v>0</v>
      </c>
      <c r="L310" s="26">
        <f>SUM(L311:L315)</f>
        <v>0</v>
      </c>
      <c r="M310" s="26">
        <f>SUM(M311:M315)</f>
        <v>0</v>
      </c>
      <c r="N310" s="26">
        <f>SUM(N311:N315)</f>
        <v>0</v>
      </c>
      <c r="O310" s="25" t="s">
        <v>754</v>
      </c>
      <c r="P310" s="27" t="s">
        <v>32</v>
      </c>
      <c r="Q310" s="28" t="s">
        <v>755</v>
      </c>
    </row>
    <row r="311" spans="1:17" ht="45" x14ac:dyDescent="0.25">
      <c r="A311" s="30"/>
      <c r="B311" s="31"/>
      <c r="C311" s="32"/>
      <c r="D311" s="32"/>
      <c r="E311" s="33">
        <v>0</v>
      </c>
      <c r="F311" s="33">
        <v>0</v>
      </c>
      <c r="G311" s="33">
        <v>0</v>
      </c>
      <c r="H311" s="33">
        <v>0</v>
      </c>
      <c r="I311" s="33">
        <v>0</v>
      </c>
      <c r="J311" s="33">
        <v>0</v>
      </c>
      <c r="K311" s="33">
        <v>0</v>
      </c>
      <c r="L311" s="33">
        <v>0</v>
      </c>
      <c r="M311" s="33">
        <v>0</v>
      </c>
      <c r="N311" s="33">
        <v>0</v>
      </c>
      <c r="O311" s="32" t="s">
        <v>756</v>
      </c>
      <c r="P311" s="34" t="s">
        <v>32</v>
      </c>
      <c r="Q311" s="35" t="s">
        <v>235</v>
      </c>
    </row>
    <row r="312" spans="1:17" ht="60" x14ac:dyDescent="0.25">
      <c r="A312" s="30"/>
      <c r="B312" s="31"/>
      <c r="C312" s="32"/>
      <c r="D312" s="32"/>
      <c r="E312" s="33">
        <v>0</v>
      </c>
      <c r="F312" s="33">
        <v>0</v>
      </c>
      <c r="G312" s="33">
        <v>0</v>
      </c>
      <c r="H312" s="33">
        <v>0</v>
      </c>
      <c r="I312" s="33">
        <v>0</v>
      </c>
      <c r="J312" s="33">
        <v>0</v>
      </c>
      <c r="K312" s="33">
        <v>0</v>
      </c>
      <c r="L312" s="33">
        <v>0</v>
      </c>
      <c r="M312" s="33">
        <v>0</v>
      </c>
      <c r="N312" s="33">
        <v>0</v>
      </c>
      <c r="O312" s="32" t="s">
        <v>757</v>
      </c>
      <c r="P312" s="34" t="s">
        <v>32</v>
      </c>
      <c r="Q312" s="35" t="s">
        <v>71</v>
      </c>
    </row>
    <row r="313" spans="1:17" ht="30" x14ac:dyDescent="0.25">
      <c r="A313" s="23" t="s">
        <v>758</v>
      </c>
      <c r="B313" s="24" t="s">
        <v>759</v>
      </c>
      <c r="C313" s="25"/>
      <c r="D313" s="25" t="s">
        <v>740</v>
      </c>
      <c r="E313" s="29">
        <v>0</v>
      </c>
      <c r="F313" s="29">
        <v>0</v>
      </c>
      <c r="G313" s="29">
        <v>0</v>
      </c>
      <c r="H313" s="29">
        <v>0</v>
      </c>
      <c r="I313" s="29">
        <v>0</v>
      </c>
      <c r="J313" s="29">
        <v>0</v>
      </c>
      <c r="K313" s="29">
        <v>0</v>
      </c>
      <c r="L313" s="29">
        <v>0</v>
      </c>
      <c r="M313" s="29">
        <v>0</v>
      </c>
      <c r="N313" s="29">
        <v>0</v>
      </c>
      <c r="O313" s="25"/>
      <c r="P313" s="27"/>
      <c r="Q313" s="28"/>
    </row>
    <row r="314" spans="1:17" ht="30" x14ac:dyDescent="0.25">
      <c r="A314" s="23" t="s">
        <v>760</v>
      </c>
      <c r="B314" s="24" t="s">
        <v>761</v>
      </c>
      <c r="C314" s="25"/>
      <c r="D314" s="25" t="s">
        <v>740</v>
      </c>
      <c r="E314" s="29">
        <v>0</v>
      </c>
      <c r="F314" s="29">
        <v>0</v>
      </c>
      <c r="G314" s="29">
        <v>0</v>
      </c>
      <c r="H314" s="29">
        <v>0</v>
      </c>
      <c r="I314" s="29">
        <v>0</v>
      </c>
      <c r="J314" s="29">
        <v>0</v>
      </c>
      <c r="K314" s="29">
        <v>0</v>
      </c>
      <c r="L314" s="29">
        <v>0</v>
      </c>
      <c r="M314" s="29">
        <v>0</v>
      </c>
      <c r="N314" s="29">
        <v>0</v>
      </c>
      <c r="O314" s="25"/>
      <c r="P314" s="27"/>
      <c r="Q314" s="28"/>
    </row>
    <row r="315" spans="1:17" ht="45" x14ac:dyDescent="0.25">
      <c r="A315" s="23" t="s">
        <v>762</v>
      </c>
      <c r="B315" s="24" t="s">
        <v>763</v>
      </c>
      <c r="C315" s="25"/>
      <c r="D315" s="25" t="s">
        <v>740</v>
      </c>
      <c r="E315" s="29">
        <v>0</v>
      </c>
      <c r="F315" s="29">
        <v>0</v>
      </c>
      <c r="G315" s="29">
        <v>0</v>
      </c>
      <c r="H315" s="29">
        <v>0</v>
      </c>
      <c r="I315" s="29">
        <v>0</v>
      </c>
      <c r="J315" s="29">
        <v>0</v>
      </c>
      <c r="K315" s="29">
        <v>0</v>
      </c>
      <c r="L315" s="29">
        <v>0</v>
      </c>
      <c r="M315" s="29">
        <v>0</v>
      </c>
      <c r="N315" s="29">
        <v>0</v>
      </c>
      <c r="O315" s="25"/>
      <c r="P315" s="27"/>
      <c r="Q315" s="28"/>
    </row>
    <row r="316" spans="1:17" ht="30" x14ac:dyDescent="0.25">
      <c r="A316" s="23" t="s">
        <v>764</v>
      </c>
      <c r="B316" s="24" t="s">
        <v>765</v>
      </c>
      <c r="C316" s="25"/>
      <c r="D316" s="25" t="s">
        <v>740</v>
      </c>
      <c r="E316" s="26">
        <f>SUM(E317:E317)+100000</f>
        <v>100000</v>
      </c>
      <c r="F316" s="26">
        <f>SUM(F317:F317)+100000</f>
        <v>100000</v>
      </c>
      <c r="G316" s="26">
        <f t="shared" ref="G316:N316" si="137">SUM(G317:G317)</f>
        <v>0</v>
      </c>
      <c r="H316" s="26">
        <f t="shared" si="137"/>
        <v>0</v>
      </c>
      <c r="I316" s="26">
        <f t="shared" si="137"/>
        <v>0</v>
      </c>
      <c r="J316" s="26">
        <f t="shared" si="137"/>
        <v>0</v>
      </c>
      <c r="K316" s="26">
        <f t="shared" si="137"/>
        <v>0</v>
      </c>
      <c r="L316" s="26">
        <f t="shared" si="137"/>
        <v>0</v>
      </c>
      <c r="M316" s="26">
        <f t="shared" si="137"/>
        <v>0</v>
      </c>
      <c r="N316" s="26">
        <f t="shared" si="137"/>
        <v>0</v>
      </c>
      <c r="O316" s="25" t="s">
        <v>766</v>
      </c>
      <c r="P316" s="27" t="s">
        <v>32</v>
      </c>
      <c r="Q316" s="28" t="s">
        <v>250</v>
      </c>
    </row>
    <row r="317" spans="1:17" ht="30" x14ac:dyDescent="0.25">
      <c r="A317" s="23" t="s">
        <v>767</v>
      </c>
      <c r="B317" s="24" t="s">
        <v>768</v>
      </c>
      <c r="C317" s="25"/>
      <c r="D317" s="25" t="s">
        <v>740</v>
      </c>
      <c r="E317" s="29">
        <v>0</v>
      </c>
      <c r="F317" s="29">
        <v>0</v>
      </c>
      <c r="G317" s="29">
        <v>0</v>
      </c>
      <c r="H317" s="29">
        <v>0</v>
      </c>
      <c r="I317" s="29">
        <v>0</v>
      </c>
      <c r="J317" s="29">
        <v>0</v>
      </c>
      <c r="K317" s="29">
        <v>0</v>
      </c>
      <c r="L317" s="29">
        <v>0</v>
      </c>
      <c r="M317" s="29">
        <v>0</v>
      </c>
      <c r="N317" s="29">
        <v>0</v>
      </c>
      <c r="O317" s="25"/>
      <c r="P317" s="27"/>
      <c r="Q317" s="28"/>
    </row>
    <row r="318" spans="1:17" ht="45" x14ac:dyDescent="0.25">
      <c r="A318" s="23" t="s">
        <v>769</v>
      </c>
      <c r="B318" s="24" t="s">
        <v>770</v>
      </c>
      <c r="C318" s="25"/>
      <c r="D318" s="25" t="s">
        <v>740</v>
      </c>
      <c r="E318" s="26">
        <f>SUM(E319:E319)+142027.95</f>
        <v>142027.95000000001</v>
      </c>
      <c r="F318" s="26">
        <f>SUM(F319:F319)+120000</f>
        <v>120000</v>
      </c>
      <c r="G318" s="26">
        <f>SUM(G319:G319)</f>
        <v>0</v>
      </c>
      <c r="H318" s="26">
        <f>SUM(H319:H319)</f>
        <v>0</v>
      </c>
      <c r="I318" s="26">
        <f>SUM(I319:I319)+22027.95</f>
        <v>22027.95</v>
      </c>
      <c r="J318" s="26">
        <f>SUM(J319:J319)</f>
        <v>0</v>
      </c>
      <c r="K318" s="26">
        <f>SUM(K319:K319)</f>
        <v>0</v>
      </c>
      <c r="L318" s="26">
        <f>SUM(L319:L319)</f>
        <v>0</v>
      </c>
      <c r="M318" s="26">
        <f>SUM(M319:M319)</f>
        <v>0</v>
      </c>
      <c r="N318" s="26">
        <f>SUM(N319:N319)</f>
        <v>0</v>
      </c>
      <c r="O318" s="25" t="s">
        <v>771</v>
      </c>
      <c r="P318" s="27" t="s">
        <v>32</v>
      </c>
      <c r="Q318" s="28" t="s">
        <v>772</v>
      </c>
    </row>
    <row r="319" spans="1:17" ht="45" x14ac:dyDescent="0.25">
      <c r="A319" s="23" t="s">
        <v>773</v>
      </c>
      <c r="B319" s="24" t="s">
        <v>774</v>
      </c>
      <c r="C319" s="25"/>
      <c r="D319" s="25" t="s">
        <v>740</v>
      </c>
      <c r="E319" s="29">
        <v>0</v>
      </c>
      <c r="F319" s="29">
        <v>0</v>
      </c>
      <c r="G319" s="29">
        <v>0</v>
      </c>
      <c r="H319" s="29">
        <v>0</v>
      </c>
      <c r="I319" s="29">
        <v>0</v>
      </c>
      <c r="J319" s="29">
        <v>0</v>
      </c>
      <c r="K319" s="29">
        <v>0</v>
      </c>
      <c r="L319" s="29">
        <v>0</v>
      </c>
      <c r="M319" s="29">
        <v>0</v>
      </c>
      <c r="N319" s="29">
        <v>0</v>
      </c>
      <c r="O319" s="25"/>
      <c r="P319" s="27"/>
      <c r="Q319" s="28"/>
    </row>
    <row r="320" spans="1:17" ht="45" x14ac:dyDescent="0.25">
      <c r="A320" s="23" t="s">
        <v>775</v>
      </c>
      <c r="B320" s="24" t="s">
        <v>776</v>
      </c>
      <c r="C320" s="25"/>
      <c r="D320" s="25" t="s">
        <v>740</v>
      </c>
      <c r="E320" s="26">
        <f>SUM(E321:E323)+65000</f>
        <v>65000</v>
      </c>
      <c r="F320" s="26">
        <f>SUM(F321:F323)+65000</f>
        <v>65000</v>
      </c>
      <c r="G320" s="26">
        <f t="shared" ref="G320:N320" si="138">SUM(G321:G323)</f>
        <v>0</v>
      </c>
      <c r="H320" s="26">
        <f t="shared" si="138"/>
        <v>0</v>
      </c>
      <c r="I320" s="26">
        <f t="shared" si="138"/>
        <v>0</v>
      </c>
      <c r="J320" s="26">
        <f t="shared" si="138"/>
        <v>0</v>
      </c>
      <c r="K320" s="26">
        <f t="shared" si="138"/>
        <v>0</v>
      </c>
      <c r="L320" s="26">
        <f t="shared" si="138"/>
        <v>0</v>
      </c>
      <c r="M320" s="26">
        <f t="shared" si="138"/>
        <v>0</v>
      </c>
      <c r="N320" s="26">
        <f t="shared" si="138"/>
        <v>0</v>
      </c>
      <c r="O320" s="25" t="s">
        <v>777</v>
      </c>
      <c r="P320" s="27" t="s">
        <v>32</v>
      </c>
      <c r="Q320" s="28" t="s">
        <v>181</v>
      </c>
    </row>
    <row r="321" spans="1:17" x14ac:dyDescent="0.25">
      <c r="A321" s="23" t="s">
        <v>778</v>
      </c>
      <c r="B321" s="24" t="s">
        <v>779</v>
      </c>
      <c r="C321" s="25"/>
      <c r="D321" s="25" t="s">
        <v>740</v>
      </c>
      <c r="E321" s="29">
        <v>0</v>
      </c>
      <c r="F321" s="29">
        <v>0</v>
      </c>
      <c r="G321" s="29">
        <v>0</v>
      </c>
      <c r="H321" s="29">
        <v>0</v>
      </c>
      <c r="I321" s="29">
        <v>0</v>
      </c>
      <c r="J321" s="29">
        <v>0</v>
      </c>
      <c r="K321" s="29">
        <v>0</v>
      </c>
      <c r="L321" s="29">
        <v>0</v>
      </c>
      <c r="M321" s="29">
        <v>0</v>
      </c>
      <c r="N321" s="29">
        <v>0</v>
      </c>
      <c r="O321" s="25"/>
      <c r="P321" s="27"/>
      <c r="Q321" s="28"/>
    </row>
    <row r="322" spans="1:17" ht="30" x14ac:dyDescent="0.25">
      <c r="A322" s="23" t="s">
        <v>780</v>
      </c>
      <c r="B322" s="24" t="s">
        <v>781</v>
      </c>
      <c r="C322" s="25"/>
      <c r="D322" s="25" t="s">
        <v>740</v>
      </c>
      <c r="E322" s="29">
        <v>0</v>
      </c>
      <c r="F322" s="29">
        <v>0</v>
      </c>
      <c r="G322" s="29">
        <v>0</v>
      </c>
      <c r="H322" s="29">
        <v>0</v>
      </c>
      <c r="I322" s="29">
        <v>0</v>
      </c>
      <c r="J322" s="29">
        <v>0</v>
      </c>
      <c r="K322" s="29">
        <v>0</v>
      </c>
      <c r="L322" s="29">
        <v>0</v>
      </c>
      <c r="M322" s="29">
        <v>0</v>
      </c>
      <c r="N322" s="29">
        <v>0</v>
      </c>
      <c r="O322" s="25"/>
      <c r="P322" s="27"/>
      <c r="Q322" s="28"/>
    </row>
    <row r="323" spans="1:17" ht="30" x14ac:dyDescent="0.25">
      <c r="A323" s="23" t="s">
        <v>782</v>
      </c>
      <c r="B323" s="24" t="s">
        <v>783</v>
      </c>
      <c r="C323" s="25"/>
      <c r="D323" s="25" t="s">
        <v>740</v>
      </c>
      <c r="E323" s="29">
        <v>0</v>
      </c>
      <c r="F323" s="29">
        <v>0</v>
      </c>
      <c r="G323" s="29">
        <v>0</v>
      </c>
      <c r="H323" s="29">
        <v>0</v>
      </c>
      <c r="I323" s="29">
        <v>0</v>
      </c>
      <c r="J323" s="29">
        <v>0</v>
      </c>
      <c r="K323" s="29">
        <v>0</v>
      </c>
      <c r="L323" s="29">
        <v>0</v>
      </c>
      <c r="M323" s="29">
        <v>0</v>
      </c>
      <c r="N323" s="29">
        <v>0</v>
      </c>
      <c r="O323" s="25"/>
      <c r="P323" s="27"/>
      <c r="Q323" s="28"/>
    </row>
    <row r="324" spans="1:17" ht="45" x14ac:dyDescent="0.25">
      <c r="A324" s="23" t="s">
        <v>784</v>
      </c>
      <c r="B324" s="24" t="s">
        <v>785</v>
      </c>
      <c r="C324" s="25"/>
      <c r="D324" s="25" t="s">
        <v>740</v>
      </c>
      <c r="E324" s="26">
        <f>SUM(E325:E325)+173000</f>
        <v>173000</v>
      </c>
      <c r="F324" s="26">
        <f>SUM(F325:F325)+10000</f>
        <v>10000</v>
      </c>
      <c r="G324" s="26">
        <f>SUM(G325:G325)</f>
        <v>0</v>
      </c>
      <c r="H324" s="26">
        <f>SUM(H325:H325)</f>
        <v>0</v>
      </c>
      <c r="I324" s="26">
        <f>SUM(I325:I325)+163000</f>
        <v>163000</v>
      </c>
      <c r="J324" s="26">
        <f>SUM(J325:J325)</f>
        <v>0</v>
      </c>
      <c r="K324" s="26">
        <f>SUM(K325:K325)</f>
        <v>0</v>
      </c>
      <c r="L324" s="26">
        <f>SUM(L325:L325)</f>
        <v>0</v>
      </c>
      <c r="M324" s="26">
        <f>SUM(M325:M325)</f>
        <v>0</v>
      </c>
      <c r="N324" s="26">
        <f>SUM(N325:N325)</f>
        <v>0</v>
      </c>
      <c r="O324" s="25" t="s">
        <v>786</v>
      </c>
      <c r="P324" s="27" t="s">
        <v>32</v>
      </c>
      <c r="Q324" s="28" t="s">
        <v>69</v>
      </c>
    </row>
    <row r="325" spans="1:17" ht="45" x14ac:dyDescent="0.25">
      <c r="A325" s="23" t="s">
        <v>787</v>
      </c>
      <c r="B325" s="24" t="s">
        <v>788</v>
      </c>
      <c r="C325" s="25"/>
      <c r="D325" s="25" t="s">
        <v>740</v>
      </c>
      <c r="E325" s="29">
        <v>0</v>
      </c>
      <c r="F325" s="29">
        <v>0</v>
      </c>
      <c r="G325" s="29">
        <v>0</v>
      </c>
      <c r="H325" s="29">
        <v>0</v>
      </c>
      <c r="I325" s="29">
        <v>0</v>
      </c>
      <c r="J325" s="29">
        <v>0</v>
      </c>
      <c r="K325" s="29">
        <v>0</v>
      </c>
      <c r="L325" s="29">
        <v>0</v>
      </c>
      <c r="M325" s="29">
        <v>0</v>
      </c>
      <c r="N325" s="29">
        <v>0</v>
      </c>
      <c r="O325" s="25"/>
      <c r="P325" s="27"/>
      <c r="Q325" s="28"/>
    </row>
    <row r="326" spans="1:17" ht="45" x14ac:dyDescent="0.25">
      <c r="A326" s="23" t="s">
        <v>789</v>
      </c>
      <c r="B326" s="24" t="s">
        <v>790</v>
      </c>
      <c r="C326" s="25"/>
      <c r="D326" s="25" t="s">
        <v>740</v>
      </c>
      <c r="E326" s="26">
        <f>SUM(E327:E328)+100000</f>
        <v>100000</v>
      </c>
      <c r="F326" s="26">
        <f>SUM(F327:F328)+100000</f>
        <v>100000</v>
      </c>
      <c r="G326" s="26">
        <f t="shared" ref="G326:N326" si="139">SUM(G327:G328)</f>
        <v>0</v>
      </c>
      <c r="H326" s="26">
        <f t="shared" si="139"/>
        <v>0</v>
      </c>
      <c r="I326" s="26">
        <f t="shared" si="139"/>
        <v>0</v>
      </c>
      <c r="J326" s="26">
        <f t="shared" si="139"/>
        <v>0</v>
      </c>
      <c r="K326" s="26">
        <f t="shared" si="139"/>
        <v>0</v>
      </c>
      <c r="L326" s="26">
        <f t="shared" si="139"/>
        <v>0</v>
      </c>
      <c r="M326" s="26">
        <f t="shared" si="139"/>
        <v>0</v>
      </c>
      <c r="N326" s="26">
        <f t="shared" si="139"/>
        <v>0</v>
      </c>
      <c r="O326" s="25" t="s">
        <v>791</v>
      </c>
      <c r="P326" s="27" t="s">
        <v>32</v>
      </c>
      <c r="Q326" s="28" t="s">
        <v>792</v>
      </c>
    </row>
    <row r="327" spans="1:17" ht="45" x14ac:dyDescent="0.25">
      <c r="A327" s="23" t="s">
        <v>793</v>
      </c>
      <c r="B327" s="24" t="s">
        <v>794</v>
      </c>
      <c r="C327" s="25"/>
      <c r="D327" s="25" t="s">
        <v>740</v>
      </c>
      <c r="E327" s="29">
        <v>0</v>
      </c>
      <c r="F327" s="29">
        <v>0</v>
      </c>
      <c r="G327" s="29">
        <v>0</v>
      </c>
      <c r="H327" s="29">
        <v>0</v>
      </c>
      <c r="I327" s="29">
        <v>0</v>
      </c>
      <c r="J327" s="29">
        <v>0</v>
      </c>
      <c r="K327" s="29">
        <v>0</v>
      </c>
      <c r="L327" s="29">
        <v>0</v>
      </c>
      <c r="M327" s="29">
        <v>0</v>
      </c>
      <c r="N327" s="29">
        <v>0</v>
      </c>
      <c r="O327" s="25"/>
      <c r="P327" s="27"/>
      <c r="Q327" s="28"/>
    </row>
    <row r="328" spans="1:17" ht="45" x14ac:dyDescent="0.25">
      <c r="A328" s="23" t="s">
        <v>795</v>
      </c>
      <c r="B328" s="24" t="s">
        <v>796</v>
      </c>
      <c r="C328" s="25"/>
      <c r="D328" s="25" t="s">
        <v>740</v>
      </c>
      <c r="E328" s="29">
        <v>0</v>
      </c>
      <c r="F328" s="29">
        <v>0</v>
      </c>
      <c r="G328" s="29">
        <v>0</v>
      </c>
      <c r="H328" s="29">
        <v>0</v>
      </c>
      <c r="I328" s="29">
        <v>0</v>
      </c>
      <c r="J328" s="29">
        <v>0</v>
      </c>
      <c r="K328" s="29">
        <v>0</v>
      </c>
      <c r="L328" s="29">
        <v>0</v>
      </c>
      <c r="M328" s="29">
        <v>0</v>
      </c>
      <c r="N328" s="29">
        <v>0</v>
      </c>
      <c r="O328" s="25"/>
      <c r="P328" s="27"/>
      <c r="Q328" s="28"/>
    </row>
    <row r="329" spans="1:17" x14ac:dyDescent="0.25">
      <c r="A329" s="17" t="s">
        <v>797</v>
      </c>
      <c r="B329" s="18" t="s">
        <v>798</v>
      </c>
      <c r="C329" s="19"/>
      <c r="D329" s="19" t="s">
        <v>740</v>
      </c>
      <c r="E329" s="20">
        <f t="shared" ref="E329:N329" si="140">E330+E332</f>
        <v>20000</v>
      </c>
      <c r="F329" s="20">
        <f t="shared" si="140"/>
        <v>20000</v>
      </c>
      <c r="G329" s="20">
        <f t="shared" si="140"/>
        <v>0</v>
      </c>
      <c r="H329" s="20">
        <f t="shared" si="140"/>
        <v>0</v>
      </c>
      <c r="I329" s="20">
        <f t="shared" si="140"/>
        <v>0</v>
      </c>
      <c r="J329" s="20">
        <f t="shared" si="140"/>
        <v>0</v>
      </c>
      <c r="K329" s="20">
        <f t="shared" si="140"/>
        <v>0</v>
      </c>
      <c r="L329" s="20">
        <f t="shared" si="140"/>
        <v>0</v>
      </c>
      <c r="M329" s="20">
        <f t="shared" si="140"/>
        <v>0</v>
      </c>
      <c r="N329" s="20">
        <f t="shared" si="140"/>
        <v>0</v>
      </c>
      <c r="O329" s="19"/>
      <c r="P329" s="21"/>
      <c r="Q329" s="22"/>
    </row>
    <row r="330" spans="1:17" ht="30" x14ac:dyDescent="0.25">
      <c r="A330" s="23" t="s">
        <v>799</v>
      </c>
      <c r="B330" s="24" t="s">
        <v>800</v>
      </c>
      <c r="C330" s="25"/>
      <c r="D330" s="25" t="s">
        <v>740</v>
      </c>
      <c r="E330" s="26">
        <f>SUM(E331:E331)+20000</f>
        <v>20000</v>
      </c>
      <c r="F330" s="26">
        <f>SUM(F331:F331)+20000</f>
        <v>20000</v>
      </c>
      <c r="G330" s="26">
        <f t="shared" ref="G330:N330" si="141">SUM(G331:G331)</f>
        <v>0</v>
      </c>
      <c r="H330" s="26">
        <f t="shared" si="141"/>
        <v>0</v>
      </c>
      <c r="I330" s="26">
        <f t="shared" si="141"/>
        <v>0</v>
      </c>
      <c r="J330" s="26">
        <f t="shared" si="141"/>
        <v>0</v>
      </c>
      <c r="K330" s="26">
        <f t="shared" si="141"/>
        <v>0</v>
      </c>
      <c r="L330" s="26">
        <f t="shared" si="141"/>
        <v>0</v>
      </c>
      <c r="M330" s="26">
        <f t="shared" si="141"/>
        <v>0</v>
      </c>
      <c r="N330" s="26">
        <f t="shared" si="141"/>
        <v>0</v>
      </c>
      <c r="O330" s="25" t="s">
        <v>801</v>
      </c>
      <c r="P330" s="27" t="s">
        <v>32</v>
      </c>
      <c r="Q330" s="28" t="s">
        <v>71</v>
      </c>
    </row>
    <row r="331" spans="1:17" ht="45" x14ac:dyDescent="0.25">
      <c r="A331" s="23" t="s">
        <v>802</v>
      </c>
      <c r="B331" s="24" t="s">
        <v>803</v>
      </c>
      <c r="C331" s="25"/>
      <c r="D331" s="25" t="s">
        <v>740</v>
      </c>
      <c r="E331" s="29">
        <v>0</v>
      </c>
      <c r="F331" s="29">
        <v>0</v>
      </c>
      <c r="G331" s="29">
        <v>0</v>
      </c>
      <c r="H331" s="29">
        <v>0</v>
      </c>
      <c r="I331" s="29">
        <v>0</v>
      </c>
      <c r="J331" s="29">
        <v>0</v>
      </c>
      <c r="K331" s="29">
        <v>0</v>
      </c>
      <c r="L331" s="29">
        <v>0</v>
      </c>
      <c r="M331" s="29">
        <v>0</v>
      </c>
      <c r="N331" s="29">
        <v>0</v>
      </c>
      <c r="O331" s="25"/>
      <c r="P331" s="27"/>
      <c r="Q331" s="28"/>
    </row>
    <row r="332" spans="1:17" ht="30" x14ac:dyDescent="0.25">
      <c r="A332" s="23" t="s">
        <v>804</v>
      </c>
      <c r="B332" s="24" t="s">
        <v>805</v>
      </c>
      <c r="C332" s="25"/>
      <c r="D332" s="25" t="s">
        <v>740</v>
      </c>
      <c r="E332" s="26">
        <f t="shared" ref="E332:N332" si="142">SUM(E333:E333)</f>
        <v>0</v>
      </c>
      <c r="F332" s="26">
        <f t="shared" si="142"/>
        <v>0</v>
      </c>
      <c r="G332" s="26">
        <f t="shared" si="142"/>
        <v>0</v>
      </c>
      <c r="H332" s="26">
        <f t="shared" si="142"/>
        <v>0</v>
      </c>
      <c r="I332" s="26">
        <f t="shared" si="142"/>
        <v>0</v>
      </c>
      <c r="J332" s="26">
        <f t="shared" si="142"/>
        <v>0</v>
      </c>
      <c r="K332" s="26">
        <f t="shared" si="142"/>
        <v>0</v>
      </c>
      <c r="L332" s="26">
        <f t="shared" si="142"/>
        <v>0</v>
      </c>
      <c r="M332" s="26">
        <f t="shared" si="142"/>
        <v>0</v>
      </c>
      <c r="N332" s="26">
        <f t="shared" si="142"/>
        <v>0</v>
      </c>
      <c r="O332" s="25" t="s">
        <v>806</v>
      </c>
      <c r="P332" s="27" t="s">
        <v>32</v>
      </c>
      <c r="Q332" s="28" t="s">
        <v>807</v>
      </c>
    </row>
    <row r="333" spans="1:17" ht="30" x14ac:dyDescent="0.25">
      <c r="A333" s="23" t="s">
        <v>808</v>
      </c>
      <c r="B333" s="24" t="s">
        <v>809</v>
      </c>
      <c r="C333" s="25"/>
      <c r="D333" s="25" t="s">
        <v>740</v>
      </c>
      <c r="E333" s="29">
        <v>0</v>
      </c>
      <c r="F333" s="29">
        <v>0</v>
      </c>
      <c r="G333" s="29">
        <v>0</v>
      </c>
      <c r="H333" s="29">
        <v>0</v>
      </c>
      <c r="I333" s="29">
        <v>0</v>
      </c>
      <c r="J333" s="29">
        <v>0</v>
      </c>
      <c r="K333" s="29">
        <v>0</v>
      </c>
      <c r="L333" s="29">
        <v>0</v>
      </c>
      <c r="M333" s="29">
        <v>0</v>
      </c>
      <c r="N333" s="29">
        <v>0</v>
      </c>
      <c r="O333" s="25"/>
      <c r="P333" s="27"/>
      <c r="Q333" s="28"/>
    </row>
    <row r="334" spans="1:17" x14ac:dyDescent="0.25">
      <c r="A334" s="17" t="s">
        <v>810</v>
      </c>
      <c r="B334" s="18" t="s">
        <v>811</v>
      </c>
      <c r="C334" s="19"/>
      <c r="D334" s="19" t="s">
        <v>740</v>
      </c>
      <c r="E334" s="20">
        <f t="shared" ref="E334:N334" si="143">E335+E338+E340+E342</f>
        <v>108525</v>
      </c>
      <c r="F334" s="20">
        <f t="shared" si="143"/>
        <v>49530</v>
      </c>
      <c r="G334" s="20">
        <f t="shared" si="143"/>
        <v>0</v>
      </c>
      <c r="H334" s="20">
        <f t="shared" si="143"/>
        <v>0</v>
      </c>
      <c r="I334" s="20">
        <f t="shared" si="143"/>
        <v>0</v>
      </c>
      <c r="J334" s="20">
        <f t="shared" si="143"/>
        <v>0</v>
      </c>
      <c r="K334" s="20">
        <f t="shared" si="143"/>
        <v>0</v>
      </c>
      <c r="L334" s="20">
        <f t="shared" si="143"/>
        <v>58995</v>
      </c>
      <c r="M334" s="20">
        <f t="shared" si="143"/>
        <v>0</v>
      </c>
      <c r="N334" s="20">
        <f t="shared" si="143"/>
        <v>0</v>
      </c>
      <c r="O334" s="19"/>
      <c r="P334" s="21"/>
      <c r="Q334" s="22"/>
    </row>
    <row r="335" spans="1:17" ht="30" x14ac:dyDescent="0.25">
      <c r="A335" s="23" t="s">
        <v>812</v>
      </c>
      <c r="B335" s="24" t="s">
        <v>813</v>
      </c>
      <c r="C335" s="25"/>
      <c r="D335" s="25" t="s">
        <v>740</v>
      </c>
      <c r="E335" s="26">
        <f>SUM(E336:E337)+20000</f>
        <v>20000</v>
      </c>
      <c r="F335" s="26">
        <f>SUM(F336:F337)+20000</f>
        <v>20000</v>
      </c>
      <c r="G335" s="26">
        <f t="shared" ref="G335:N335" si="144">SUM(G336:G337)</f>
        <v>0</v>
      </c>
      <c r="H335" s="26">
        <f t="shared" si="144"/>
        <v>0</v>
      </c>
      <c r="I335" s="26">
        <f t="shared" si="144"/>
        <v>0</v>
      </c>
      <c r="J335" s="26">
        <f t="shared" si="144"/>
        <v>0</v>
      </c>
      <c r="K335" s="26">
        <f t="shared" si="144"/>
        <v>0</v>
      </c>
      <c r="L335" s="26">
        <f t="shared" si="144"/>
        <v>0</v>
      </c>
      <c r="M335" s="26">
        <f t="shared" si="144"/>
        <v>0</v>
      </c>
      <c r="N335" s="26">
        <f t="shared" si="144"/>
        <v>0</v>
      </c>
      <c r="O335" s="25" t="s">
        <v>814</v>
      </c>
      <c r="P335" s="27" t="s">
        <v>32</v>
      </c>
      <c r="Q335" s="28" t="s">
        <v>815</v>
      </c>
    </row>
    <row r="336" spans="1:17" ht="30" x14ac:dyDescent="0.25">
      <c r="A336" s="23" t="s">
        <v>816</v>
      </c>
      <c r="B336" s="24" t="s">
        <v>817</v>
      </c>
      <c r="C336" s="25"/>
      <c r="D336" s="25" t="s">
        <v>740</v>
      </c>
      <c r="E336" s="29">
        <v>0</v>
      </c>
      <c r="F336" s="29">
        <v>0</v>
      </c>
      <c r="G336" s="29">
        <v>0</v>
      </c>
      <c r="H336" s="29">
        <v>0</v>
      </c>
      <c r="I336" s="29">
        <v>0</v>
      </c>
      <c r="J336" s="29">
        <v>0</v>
      </c>
      <c r="K336" s="29">
        <v>0</v>
      </c>
      <c r="L336" s="29">
        <v>0</v>
      </c>
      <c r="M336" s="29">
        <v>0</v>
      </c>
      <c r="N336" s="29">
        <v>0</v>
      </c>
      <c r="O336" s="25"/>
      <c r="P336" s="27"/>
      <c r="Q336" s="28"/>
    </row>
    <row r="337" spans="1:17" ht="45" x14ac:dyDescent="0.25">
      <c r="A337" s="23" t="s">
        <v>818</v>
      </c>
      <c r="B337" s="24" t="s">
        <v>819</v>
      </c>
      <c r="C337" s="25"/>
      <c r="D337" s="25" t="s">
        <v>740</v>
      </c>
      <c r="E337" s="29">
        <v>0</v>
      </c>
      <c r="F337" s="29">
        <v>0</v>
      </c>
      <c r="G337" s="29">
        <v>0</v>
      </c>
      <c r="H337" s="29">
        <v>0</v>
      </c>
      <c r="I337" s="29">
        <v>0</v>
      </c>
      <c r="J337" s="29">
        <v>0</v>
      </c>
      <c r="K337" s="29">
        <v>0</v>
      </c>
      <c r="L337" s="29">
        <v>0</v>
      </c>
      <c r="M337" s="29">
        <v>0</v>
      </c>
      <c r="N337" s="29">
        <v>0</v>
      </c>
      <c r="O337" s="25"/>
      <c r="P337" s="27"/>
      <c r="Q337" s="28"/>
    </row>
    <row r="338" spans="1:17" x14ac:dyDescent="0.25">
      <c r="A338" s="23" t="s">
        <v>820</v>
      </c>
      <c r="B338" s="24" t="s">
        <v>821</v>
      </c>
      <c r="C338" s="25"/>
      <c r="D338" s="25" t="s">
        <v>740</v>
      </c>
      <c r="E338" s="26">
        <f>SUM(E339:E339)+13500</f>
        <v>13500</v>
      </c>
      <c r="F338" s="26">
        <f>SUM(F339:F339)+13500</f>
        <v>13500</v>
      </c>
      <c r="G338" s="26">
        <f t="shared" ref="G338:N338" si="145">SUM(G339:G339)</f>
        <v>0</v>
      </c>
      <c r="H338" s="26">
        <f t="shared" si="145"/>
        <v>0</v>
      </c>
      <c r="I338" s="26">
        <f t="shared" si="145"/>
        <v>0</v>
      </c>
      <c r="J338" s="26">
        <f t="shared" si="145"/>
        <v>0</v>
      </c>
      <c r="K338" s="26">
        <f t="shared" si="145"/>
        <v>0</v>
      </c>
      <c r="L338" s="26">
        <f t="shared" si="145"/>
        <v>0</v>
      </c>
      <c r="M338" s="26">
        <f t="shared" si="145"/>
        <v>0</v>
      </c>
      <c r="N338" s="26">
        <f t="shared" si="145"/>
        <v>0</v>
      </c>
      <c r="O338" s="25" t="s">
        <v>822</v>
      </c>
      <c r="P338" s="27" t="s">
        <v>32</v>
      </c>
      <c r="Q338" s="28" t="s">
        <v>179</v>
      </c>
    </row>
    <row r="339" spans="1:17" x14ac:dyDescent="0.25">
      <c r="A339" s="23" t="s">
        <v>823</v>
      </c>
      <c r="B339" s="24" t="s">
        <v>824</v>
      </c>
      <c r="C339" s="25"/>
      <c r="D339" s="25" t="s">
        <v>740</v>
      </c>
      <c r="E339" s="29">
        <v>0</v>
      </c>
      <c r="F339" s="29">
        <v>0</v>
      </c>
      <c r="G339" s="29">
        <v>0</v>
      </c>
      <c r="H339" s="29">
        <v>0</v>
      </c>
      <c r="I339" s="29">
        <v>0</v>
      </c>
      <c r="J339" s="29">
        <v>0</v>
      </c>
      <c r="K339" s="29">
        <v>0</v>
      </c>
      <c r="L339" s="29">
        <v>0</v>
      </c>
      <c r="M339" s="29">
        <v>0</v>
      </c>
      <c r="N339" s="29">
        <v>0</v>
      </c>
      <c r="O339" s="25"/>
      <c r="P339" s="27"/>
      <c r="Q339" s="28"/>
    </row>
    <row r="340" spans="1:17" ht="30" x14ac:dyDescent="0.25">
      <c r="A340" s="23" t="s">
        <v>825</v>
      </c>
      <c r="B340" s="24" t="s">
        <v>826</v>
      </c>
      <c r="C340" s="25"/>
      <c r="D340" s="25" t="s">
        <v>740</v>
      </c>
      <c r="E340" s="26">
        <f>SUM(E341:E341)+4800</f>
        <v>4800</v>
      </c>
      <c r="F340" s="26">
        <f>SUM(F341:F341)+4800</f>
        <v>4800</v>
      </c>
      <c r="G340" s="26">
        <f t="shared" ref="G340:N340" si="146">SUM(G341:G341)</f>
        <v>0</v>
      </c>
      <c r="H340" s="26">
        <f t="shared" si="146"/>
        <v>0</v>
      </c>
      <c r="I340" s="26">
        <f t="shared" si="146"/>
        <v>0</v>
      </c>
      <c r="J340" s="26">
        <f t="shared" si="146"/>
        <v>0</v>
      </c>
      <c r="K340" s="26">
        <f t="shared" si="146"/>
        <v>0</v>
      </c>
      <c r="L340" s="26">
        <f t="shared" si="146"/>
        <v>0</v>
      </c>
      <c r="M340" s="26">
        <f t="shared" si="146"/>
        <v>0</v>
      </c>
      <c r="N340" s="26">
        <f t="shared" si="146"/>
        <v>0</v>
      </c>
      <c r="O340" s="25" t="s">
        <v>827</v>
      </c>
      <c r="P340" s="27" t="s">
        <v>32</v>
      </c>
      <c r="Q340" s="28" t="s">
        <v>235</v>
      </c>
    </row>
    <row r="341" spans="1:17" x14ac:dyDescent="0.25">
      <c r="A341" s="23" t="s">
        <v>828</v>
      </c>
      <c r="B341" s="24" t="s">
        <v>829</v>
      </c>
      <c r="C341" s="25"/>
      <c r="D341" s="25" t="s">
        <v>740</v>
      </c>
      <c r="E341" s="29">
        <v>0</v>
      </c>
      <c r="F341" s="29">
        <v>0</v>
      </c>
      <c r="G341" s="29">
        <v>0</v>
      </c>
      <c r="H341" s="29">
        <v>0</v>
      </c>
      <c r="I341" s="29">
        <v>0</v>
      </c>
      <c r="J341" s="29">
        <v>0</v>
      </c>
      <c r="K341" s="29">
        <v>0</v>
      </c>
      <c r="L341" s="29">
        <v>0</v>
      </c>
      <c r="M341" s="29">
        <v>0</v>
      </c>
      <c r="N341" s="29">
        <v>0</v>
      </c>
      <c r="O341" s="25"/>
      <c r="P341" s="27"/>
      <c r="Q341" s="28"/>
    </row>
    <row r="342" spans="1:17" ht="45" x14ac:dyDescent="0.25">
      <c r="A342" s="23" t="s">
        <v>830</v>
      </c>
      <c r="B342" s="24" t="s">
        <v>831</v>
      </c>
      <c r="C342" s="25"/>
      <c r="D342" s="25" t="s">
        <v>743</v>
      </c>
      <c r="E342" s="26">
        <f>SUM(E343:E343)+70225</f>
        <v>70225</v>
      </c>
      <c r="F342" s="26">
        <f>SUM(F343:F343)+11230</f>
        <v>11230</v>
      </c>
      <c r="G342" s="26">
        <f>SUM(G343:G343)</f>
        <v>0</v>
      </c>
      <c r="H342" s="26">
        <f>SUM(H343:H343)</f>
        <v>0</v>
      </c>
      <c r="I342" s="26">
        <f>SUM(I343:I343)</f>
        <v>0</v>
      </c>
      <c r="J342" s="26">
        <f>SUM(J343:J343)</f>
        <v>0</v>
      </c>
      <c r="K342" s="26">
        <f>SUM(K343:K343)</f>
        <v>0</v>
      </c>
      <c r="L342" s="26">
        <f>SUM(L343:L343)+58995</f>
        <v>58995</v>
      </c>
      <c r="M342" s="26">
        <f>SUM(M343:M343)</f>
        <v>0</v>
      </c>
      <c r="N342" s="26">
        <f>SUM(N343:N343)</f>
        <v>0</v>
      </c>
      <c r="O342" s="25" t="s">
        <v>832</v>
      </c>
      <c r="P342" s="27" t="s">
        <v>32</v>
      </c>
      <c r="Q342" s="28" t="s">
        <v>179</v>
      </c>
    </row>
    <row r="343" spans="1:17" ht="30" x14ac:dyDescent="0.25">
      <c r="A343" s="23" t="s">
        <v>833</v>
      </c>
      <c r="B343" s="24" t="s">
        <v>834</v>
      </c>
      <c r="C343" s="25"/>
      <c r="D343" s="25" t="s">
        <v>740</v>
      </c>
      <c r="E343" s="29">
        <v>0</v>
      </c>
      <c r="F343" s="29">
        <v>0</v>
      </c>
      <c r="G343" s="29">
        <v>0</v>
      </c>
      <c r="H343" s="29">
        <v>0</v>
      </c>
      <c r="I343" s="29">
        <v>0</v>
      </c>
      <c r="J343" s="29">
        <v>0</v>
      </c>
      <c r="K343" s="29">
        <v>0</v>
      </c>
      <c r="L343" s="29">
        <v>0</v>
      </c>
      <c r="M343" s="29">
        <v>0</v>
      </c>
      <c r="N343" s="29">
        <v>0</v>
      </c>
      <c r="O343" s="25"/>
      <c r="P343" s="27"/>
      <c r="Q343" s="28"/>
    </row>
    <row r="344" spans="1:17" x14ac:dyDescent="0.25">
      <c r="A344" s="17" t="s">
        <v>835</v>
      </c>
      <c r="B344" s="18" t="s">
        <v>836</v>
      </c>
      <c r="C344" s="19"/>
      <c r="D344" s="19" t="s">
        <v>740</v>
      </c>
      <c r="E344" s="20">
        <f t="shared" ref="E344:N344" si="147">E345+E347</f>
        <v>6000</v>
      </c>
      <c r="F344" s="20">
        <f t="shared" si="147"/>
        <v>6000</v>
      </c>
      <c r="G344" s="20">
        <f t="shared" si="147"/>
        <v>0</v>
      </c>
      <c r="H344" s="20">
        <f t="shared" si="147"/>
        <v>0</v>
      </c>
      <c r="I344" s="20">
        <f t="shared" si="147"/>
        <v>0</v>
      </c>
      <c r="J344" s="20">
        <f t="shared" si="147"/>
        <v>0</v>
      </c>
      <c r="K344" s="20">
        <f t="shared" si="147"/>
        <v>0</v>
      </c>
      <c r="L344" s="20">
        <f t="shared" si="147"/>
        <v>0</v>
      </c>
      <c r="M344" s="20">
        <f t="shared" si="147"/>
        <v>0</v>
      </c>
      <c r="N344" s="20">
        <f t="shared" si="147"/>
        <v>0</v>
      </c>
      <c r="O344" s="19"/>
      <c r="P344" s="21"/>
      <c r="Q344" s="22"/>
    </row>
    <row r="345" spans="1:17" ht="30" x14ac:dyDescent="0.25">
      <c r="A345" s="23" t="s">
        <v>837</v>
      </c>
      <c r="B345" s="24" t="s">
        <v>838</v>
      </c>
      <c r="C345" s="25"/>
      <c r="D345" s="25" t="s">
        <v>740</v>
      </c>
      <c r="E345" s="26">
        <f>SUM(E346:E346)+4000</f>
        <v>4000</v>
      </c>
      <c r="F345" s="26">
        <f>SUM(F346:F346)+4000</f>
        <v>4000</v>
      </c>
      <c r="G345" s="26">
        <f t="shared" ref="G345:N345" si="148">SUM(G346:G346)</f>
        <v>0</v>
      </c>
      <c r="H345" s="26">
        <f t="shared" si="148"/>
        <v>0</v>
      </c>
      <c r="I345" s="26">
        <f t="shared" si="148"/>
        <v>0</v>
      </c>
      <c r="J345" s="26">
        <f t="shared" si="148"/>
        <v>0</v>
      </c>
      <c r="K345" s="26">
        <f t="shared" si="148"/>
        <v>0</v>
      </c>
      <c r="L345" s="26">
        <f t="shared" si="148"/>
        <v>0</v>
      </c>
      <c r="M345" s="26">
        <f t="shared" si="148"/>
        <v>0</v>
      </c>
      <c r="N345" s="26">
        <f t="shared" si="148"/>
        <v>0</v>
      </c>
      <c r="O345" s="25" t="s">
        <v>839</v>
      </c>
      <c r="P345" s="27" t="s">
        <v>32</v>
      </c>
      <c r="Q345" s="28" t="s">
        <v>124</v>
      </c>
    </row>
    <row r="346" spans="1:17" ht="30" x14ac:dyDescent="0.25">
      <c r="A346" s="23" t="s">
        <v>840</v>
      </c>
      <c r="B346" s="24" t="s">
        <v>841</v>
      </c>
      <c r="C346" s="25"/>
      <c r="D346" s="25" t="s">
        <v>740</v>
      </c>
      <c r="E346" s="29">
        <v>0</v>
      </c>
      <c r="F346" s="29">
        <v>0</v>
      </c>
      <c r="G346" s="29">
        <v>0</v>
      </c>
      <c r="H346" s="29">
        <v>0</v>
      </c>
      <c r="I346" s="29">
        <v>0</v>
      </c>
      <c r="J346" s="29">
        <v>0</v>
      </c>
      <c r="K346" s="29">
        <v>0</v>
      </c>
      <c r="L346" s="29">
        <v>0</v>
      </c>
      <c r="M346" s="29">
        <v>0</v>
      </c>
      <c r="N346" s="29">
        <v>0</v>
      </c>
      <c r="O346" s="25"/>
      <c r="P346" s="27"/>
      <c r="Q346" s="28"/>
    </row>
    <row r="347" spans="1:17" ht="30" x14ac:dyDescent="0.25">
      <c r="A347" s="23" t="s">
        <v>842</v>
      </c>
      <c r="B347" s="24" t="s">
        <v>843</v>
      </c>
      <c r="C347" s="25" t="s">
        <v>736</v>
      </c>
      <c r="D347" s="25" t="s">
        <v>740</v>
      </c>
      <c r="E347" s="26">
        <f>SUM(E348:E348)+2000</f>
        <v>2000</v>
      </c>
      <c r="F347" s="26">
        <f>SUM(F348:F348)+2000</f>
        <v>2000</v>
      </c>
      <c r="G347" s="26">
        <f t="shared" ref="G347:N347" si="149">SUM(G348:G348)</f>
        <v>0</v>
      </c>
      <c r="H347" s="26">
        <f t="shared" si="149"/>
        <v>0</v>
      </c>
      <c r="I347" s="26">
        <f t="shared" si="149"/>
        <v>0</v>
      </c>
      <c r="J347" s="26">
        <f t="shared" si="149"/>
        <v>0</v>
      </c>
      <c r="K347" s="26">
        <f t="shared" si="149"/>
        <v>0</v>
      </c>
      <c r="L347" s="26">
        <f t="shared" si="149"/>
        <v>0</v>
      </c>
      <c r="M347" s="26">
        <f t="shared" si="149"/>
        <v>0</v>
      </c>
      <c r="N347" s="26">
        <f t="shared" si="149"/>
        <v>0</v>
      </c>
      <c r="O347" s="25" t="s">
        <v>844</v>
      </c>
      <c r="P347" s="27" t="s">
        <v>32</v>
      </c>
      <c r="Q347" s="28" t="s">
        <v>845</v>
      </c>
    </row>
    <row r="348" spans="1:17" ht="30" x14ac:dyDescent="0.25">
      <c r="A348" s="23" t="s">
        <v>846</v>
      </c>
      <c r="B348" s="24" t="s">
        <v>847</v>
      </c>
      <c r="C348" s="25"/>
      <c r="D348" s="25" t="s">
        <v>740</v>
      </c>
      <c r="E348" s="29">
        <v>0</v>
      </c>
      <c r="F348" s="29">
        <v>0</v>
      </c>
      <c r="G348" s="29">
        <v>0</v>
      </c>
      <c r="H348" s="29">
        <v>0</v>
      </c>
      <c r="I348" s="29">
        <v>0</v>
      </c>
      <c r="J348" s="29">
        <v>0</v>
      </c>
      <c r="K348" s="29">
        <v>0</v>
      </c>
      <c r="L348" s="29">
        <v>0</v>
      </c>
      <c r="M348" s="29">
        <v>0</v>
      </c>
      <c r="N348" s="29">
        <v>0</v>
      </c>
      <c r="O348" s="25"/>
      <c r="P348" s="27"/>
      <c r="Q348" s="28"/>
    </row>
    <row r="349" spans="1:17" x14ac:dyDescent="0.25">
      <c r="A349" s="11" t="s">
        <v>848</v>
      </c>
      <c r="B349" s="12" t="s">
        <v>849</v>
      </c>
      <c r="C349" s="13"/>
      <c r="D349" s="13" t="s">
        <v>740</v>
      </c>
      <c r="E349" s="14">
        <f t="shared" ref="E349:N349" si="150">E350+E353+E356+E359+E362+E374+E377+E380</f>
        <v>1996090</v>
      </c>
      <c r="F349" s="14">
        <f t="shared" si="150"/>
        <v>1469546</v>
      </c>
      <c r="G349" s="14">
        <f t="shared" si="150"/>
        <v>32444</v>
      </c>
      <c r="H349" s="14">
        <f t="shared" si="150"/>
        <v>0</v>
      </c>
      <c r="I349" s="14">
        <f t="shared" si="150"/>
        <v>494100</v>
      </c>
      <c r="J349" s="14">
        <f t="shared" si="150"/>
        <v>0</v>
      </c>
      <c r="K349" s="14">
        <f t="shared" si="150"/>
        <v>0</v>
      </c>
      <c r="L349" s="14">
        <f t="shared" si="150"/>
        <v>0</v>
      </c>
      <c r="M349" s="14">
        <f t="shared" si="150"/>
        <v>0</v>
      </c>
      <c r="N349" s="14">
        <f t="shared" si="150"/>
        <v>0</v>
      </c>
      <c r="O349" s="13"/>
      <c r="P349" s="15"/>
      <c r="Q349" s="16"/>
    </row>
    <row r="350" spans="1:17" ht="28.5" x14ac:dyDescent="0.25">
      <c r="A350" s="17" t="s">
        <v>850</v>
      </c>
      <c r="B350" s="18" t="s">
        <v>851</v>
      </c>
      <c r="C350" s="19"/>
      <c r="D350" s="19" t="s">
        <v>740</v>
      </c>
      <c r="E350" s="20">
        <f t="shared" ref="E350:N350" si="151">SUM(E351:E351)</f>
        <v>10000</v>
      </c>
      <c r="F350" s="20">
        <f t="shared" si="151"/>
        <v>10000</v>
      </c>
      <c r="G350" s="20">
        <f t="shared" si="151"/>
        <v>0</v>
      </c>
      <c r="H350" s="20">
        <f t="shared" si="151"/>
        <v>0</v>
      </c>
      <c r="I350" s="20">
        <f t="shared" si="151"/>
        <v>0</v>
      </c>
      <c r="J350" s="20">
        <f t="shared" si="151"/>
        <v>0</v>
      </c>
      <c r="K350" s="20">
        <f t="shared" si="151"/>
        <v>0</v>
      </c>
      <c r="L350" s="20">
        <f t="shared" si="151"/>
        <v>0</v>
      </c>
      <c r="M350" s="20">
        <f t="shared" si="151"/>
        <v>0</v>
      </c>
      <c r="N350" s="20">
        <f t="shared" si="151"/>
        <v>0</v>
      </c>
      <c r="O350" s="19"/>
      <c r="P350" s="21"/>
      <c r="Q350" s="22"/>
    </row>
    <row r="351" spans="1:17" x14ac:dyDescent="0.25">
      <c r="A351" s="23" t="s">
        <v>852</v>
      </c>
      <c r="B351" s="24" t="s">
        <v>853</v>
      </c>
      <c r="C351" s="25"/>
      <c r="D351" s="25" t="s">
        <v>740</v>
      </c>
      <c r="E351" s="26">
        <f>SUM(E352:E352)+10000</f>
        <v>10000</v>
      </c>
      <c r="F351" s="26">
        <f>SUM(F352:F352)+10000</f>
        <v>10000</v>
      </c>
      <c r="G351" s="26">
        <f t="shared" ref="G351:N351" si="152">SUM(G352:G352)</f>
        <v>0</v>
      </c>
      <c r="H351" s="26">
        <f t="shared" si="152"/>
        <v>0</v>
      </c>
      <c r="I351" s="26">
        <f t="shared" si="152"/>
        <v>0</v>
      </c>
      <c r="J351" s="26">
        <f t="shared" si="152"/>
        <v>0</v>
      </c>
      <c r="K351" s="26">
        <f t="shared" si="152"/>
        <v>0</v>
      </c>
      <c r="L351" s="26">
        <f t="shared" si="152"/>
        <v>0</v>
      </c>
      <c r="M351" s="26">
        <f t="shared" si="152"/>
        <v>0</v>
      </c>
      <c r="N351" s="26">
        <f t="shared" si="152"/>
        <v>0</v>
      </c>
      <c r="O351" s="25" t="s">
        <v>854</v>
      </c>
      <c r="P351" s="27" t="s">
        <v>32</v>
      </c>
      <c r="Q351" s="28" t="s">
        <v>144</v>
      </c>
    </row>
    <row r="352" spans="1:17" ht="30" x14ac:dyDescent="0.25">
      <c r="A352" s="23" t="s">
        <v>855</v>
      </c>
      <c r="B352" s="24" t="s">
        <v>856</v>
      </c>
      <c r="C352" s="25"/>
      <c r="D352" s="25" t="s">
        <v>740</v>
      </c>
      <c r="E352" s="29">
        <v>0</v>
      </c>
      <c r="F352" s="29">
        <v>0</v>
      </c>
      <c r="G352" s="29">
        <v>0</v>
      </c>
      <c r="H352" s="29">
        <v>0</v>
      </c>
      <c r="I352" s="29">
        <v>0</v>
      </c>
      <c r="J352" s="29">
        <v>0</v>
      </c>
      <c r="K352" s="29">
        <v>0</v>
      </c>
      <c r="L352" s="29">
        <v>0</v>
      </c>
      <c r="M352" s="29">
        <v>0</v>
      </c>
      <c r="N352" s="29">
        <v>0</v>
      </c>
      <c r="O352" s="25"/>
      <c r="P352" s="27"/>
      <c r="Q352" s="28"/>
    </row>
    <row r="353" spans="1:17" ht="28.5" x14ac:dyDescent="0.25">
      <c r="A353" s="17" t="s">
        <v>857</v>
      </c>
      <c r="B353" s="18" t="s">
        <v>858</v>
      </c>
      <c r="C353" s="19"/>
      <c r="D353" s="19" t="s">
        <v>740</v>
      </c>
      <c r="E353" s="20">
        <f t="shared" ref="E353:N354" si="153">SUM(E354:E354)</f>
        <v>0</v>
      </c>
      <c r="F353" s="20">
        <f t="shared" si="153"/>
        <v>0</v>
      </c>
      <c r="G353" s="20">
        <f t="shared" si="153"/>
        <v>0</v>
      </c>
      <c r="H353" s="20">
        <f t="shared" si="153"/>
        <v>0</v>
      </c>
      <c r="I353" s="20">
        <f t="shared" si="153"/>
        <v>0</v>
      </c>
      <c r="J353" s="20">
        <f t="shared" si="153"/>
        <v>0</v>
      </c>
      <c r="K353" s="20">
        <f t="shared" si="153"/>
        <v>0</v>
      </c>
      <c r="L353" s="20">
        <f t="shared" si="153"/>
        <v>0</v>
      </c>
      <c r="M353" s="20">
        <f t="shared" si="153"/>
        <v>0</v>
      </c>
      <c r="N353" s="20">
        <f t="shared" si="153"/>
        <v>0</v>
      </c>
      <c r="O353" s="19"/>
      <c r="P353" s="21"/>
      <c r="Q353" s="22"/>
    </row>
    <row r="354" spans="1:17" x14ac:dyDescent="0.25">
      <c r="A354" s="23" t="s">
        <v>859</v>
      </c>
      <c r="B354" s="24" t="s">
        <v>860</v>
      </c>
      <c r="C354" s="25"/>
      <c r="D354" s="25" t="s">
        <v>740</v>
      </c>
      <c r="E354" s="26">
        <f t="shared" si="153"/>
        <v>0</v>
      </c>
      <c r="F354" s="26">
        <f t="shared" si="153"/>
        <v>0</v>
      </c>
      <c r="G354" s="26">
        <f t="shared" si="153"/>
        <v>0</v>
      </c>
      <c r="H354" s="26">
        <f t="shared" si="153"/>
        <v>0</v>
      </c>
      <c r="I354" s="26">
        <f t="shared" si="153"/>
        <v>0</v>
      </c>
      <c r="J354" s="26">
        <f t="shared" si="153"/>
        <v>0</v>
      </c>
      <c r="K354" s="26">
        <f t="shared" si="153"/>
        <v>0</v>
      </c>
      <c r="L354" s="26">
        <f t="shared" si="153"/>
        <v>0</v>
      </c>
      <c r="M354" s="26">
        <f t="shared" si="153"/>
        <v>0</v>
      </c>
      <c r="N354" s="26">
        <f t="shared" si="153"/>
        <v>0</v>
      </c>
      <c r="O354" s="25" t="s">
        <v>861</v>
      </c>
      <c r="P354" s="27" t="s">
        <v>32</v>
      </c>
      <c r="Q354" s="28" t="s">
        <v>275</v>
      </c>
    </row>
    <row r="355" spans="1:17" x14ac:dyDescent="0.25">
      <c r="A355" s="23" t="s">
        <v>862</v>
      </c>
      <c r="B355" s="24" t="s">
        <v>863</v>
      </c>
      <c r="C355" s="25"/>
      <c r="D355" s="25" t="s">
        <v>740</v>
      </c>
      <c r="E355" s="29">
        <v>0</v>
      </c>
      <c r="F355" s="29">
        <v>0</v>
      </c>
      <c r="G355" s="29">
        <v>0</v>
      </c>
      <c r="H355" s="29">
        <v>0</v>
      </c>
      <c r="I355" s="29">
        <v>0</v>
      </c>
      <c r="J355" s="29">
        <v>0</v>
      </c>
      <c r="K355" s="29">
        <v>0</v>
      </c>
      <c r="L355" s="29">
        <v>0</v>
      </c>
      <c r="M355" s="29">
        <v>0</v>
      </c>
      <c r="N355" s="29">
        <v>0</v>
      </c>
      <c r="O355" s="25"/>
      <c r="P355" s="27"/>
      <c r="Q355" s="28"/>
    </row>
    <row r="356" spans="1:17" ht="42.75" x14ac:dyDescent="0.25">
      <c r="A356" s="17" t="s">
        <v>864</v>
      </c>
      <c r="B356" s="18" t="s">
        <v>865</v>
      </c>
      <c r="C356" s="19"/>
      <c r="D356" s="19" t="s">
        <v>740</v>
      </c>
      <c r="E356" s="20">
        <f t="shared" ref="E356:N357" si="154">SUM(E357:E357)</f>
        <v>0</v>
      </c>
      <c r="F356" s="20">
        <f t="shared" si="154"/>
        <v>0</v>
      </c>
      <c r="G356" s="20">
        <f t="shared" si="154"/>
        <v>0</v>
      </c>
      <c r="H356" s="20">
        <f t="shared" si="154"/>
        <v>0</v>
      </c>
      <c r="I356" s="20">
        <f t="shared" si="154"/>
        <v>0</v>
      </c>
      <c r="J356" s="20">
        <f t="shared" si="154"/>
        <v>0</v>
      </c>
      <c r="K356" s="20">
        <f t="shared" si="154"/>
        <v>0</v>
      </c>
      <c r="L356" s="20">
        <f t="shared" si="154"/>
        <v>0</v>
      </c>
      <c r="M356" s="20">
        <f t="shared" si="154"/>
        <v>0</v>
      </c>
      <c r="N356" s="20">
        <f t="shared" si="154"/>
        <v>0</v>
      </c>
      <c r="O356" s="19"/>
      <c r="P356" s="21"/>
      <c r="Q356" s="22"/>
    </row>
    <row r="357" spans="1:17" x14ac:dyDescent="0.25">
      <c r="A357" s="23" t="s">
        <v>866</v>
      </c>
      <c r="B357" s="24" t="s">
        <v>867</v>
      </c>
      <c r="C357" s="25"/>
      <c r="D357" s="25" t="s">
        <v>740</v>
      </c>
      <c r="E357" s="26">
        <f t="shared" si="154"/>
        <v>0</v>
      </c>
      <c r="F357" s="26">
        <f t="shared" si="154"/>
        <v>0</v>
      </c>
      <c r="G357" s="26">
        <f t="shared" si="154"/>
        <v>0</v>
      </c>
      <c r="H357" s="26">
        <f t="shared" si="154"/>
        <v>0</v>
      </c>
      <c r="I357" s="26">
        <f t="shared" si="154"/>
        <v>0</v>
      </c>
      <c r="J357" s="26">
        <f t="shared" si="154"/>
        <v>0</v>
      </c>
      <c r="K357" s="26">
        <f t="shared" si="154"/>
        <v>0</v>
      </c>
      <c r="L357" s="26">
        <f t="shared" si="154"/>
        <v>0</v>
      </c>
      <c r="M357" s="26">
        <f t="shared" si="154"/>
        <v>0</v>
      </c>
      <c r="N357" s="26">
        <f t="shared" si="154"/>
        <v>0</v>
      </c>
      <c r="O357" s="25" t="s">
        <v>868</v>
      </c>
      <c r="P357" s="27" t="s">
        <v>32</v>
      </c>
      <c r="Q357" s="28" t="s">
        <v>39</v>
      </c>
    </row>
    <row r="358" spans="1:17" ht="30" x14ac:dyDescent="0.25">
      <c r="A358" s="23" t="s">
        <v>869</v>
      </c>
      <c r="B358" s="24" t="s">
        <v>870</v>
      </c>
      <c r="C358" s="25"/>
      <c r="D358" s="25" t="s">
        <v>740</v>
      </c>
      <c r="E358" s="29">
        <v>0</v>
      </c>
      <c r="F358" s="29">
        <v>0</v>
      </c>
      <c r="G358" s="29">
        <v>0</v>
      </c>
      <c r="H358" s="29">
        <v>0</v>
      </c>
      <c r="I358" s="29">
        <v>0</v>
      </c>
      <c r="J358" s="29">
        <v>0</v>
      </c>
      <c r="K358" s="29">
        <v>0</v>
      </c>
      <c r="L358" s="29">
        <v>0</v>
      </c>
      <c r="M358" s="29">
        <v>0</v>
      </c>
      <c r="N358" s="29">
        <v>0</v>
      </c>
      <c r="O358" s="25"/>
      <c r="P358" s="27"/>
      <c r="Q358" s="28"/>
    </row>
    <row r="359" spans="1:17" ht="28.5" x14ac:dyDescent="0.25">
      <c r="A359" s="17" t="s">
        <v>871</v>
      </c>
      <c r="B359" s="18" t="s">
        <v>872</v>
      </c>
      <c r="C359" s="19"/>
      <c r="D359" s="19" t="s">
        <v>740</v>
      </c>
      <c r="E359" s="20">
        <f t="shared" ref="E359:N359" si="155">SUM(E360:E360)</f>
        <v>223990</v>
      </c>
      <c r="F359" s="20">
        <f t="shared" si="155"/>
        <v>191546</v>
      </c>
      <c r="G359" s="20">
        <f t="shared" si="155"/>
        <v>32444</v>
      </c>
      <c r="H359" s="20">
        <f t="shared" si="155"/>
        <v>0</v>
      </c>
      <c r="I359" s="20">
        <f t="shared" si="155"/>
        <v>0</v>
      </c>
      <c r="J359" s="20">
        <f t="shared" si="155"/>
        <v>0</v>
      </c>
      <c r="K359" s="20">
        <f t="shared" si="155"/>
        <v>0</v>
      </c>
      <c r="L359" s="20">
        <f t="shared" si="155"/>
        <v>0</v>
      </c>
      <c r="M359" s="20">
        <f t="shared" si="155"/>
        <v>0</v>
      </c>
      <c r="N359" s="20">
        <f t="shared" si="155"/>
        <v>0</v>
      </c>
      <c r="O359" s="19"/>
      <c r="P359" s="21"/>
      <c r="Q359" s="22"/>
    </row>
    <row r="360" spans="1:17" ht="30" x14ac:dyDescent="0.25">
      <c r="A360" s="23" t="s">
        <v>873</v>
      </c>
      <c r="B360" s="24" t="s">
        <v>874</v>
      </c>
      <c r="C360" s="25"/>
      <c r="D360" s="25" t="s">
        <v>740</v>
      </c>
      <c r="E360" s="26">
        <f>SUM(E361:E361)+223990</f>
        <v>223990</v>
      </c>
      <c r="F360" s="26">
        <f>SUM(F361:F361)+191546</f>
        <v>191546</v>
      </c>
      <c r="G360" s="26">
        <f>SUM(G361:G361)+32444</f>
        <v>32444</v>
      </c>
      <c r="H360" s="26">
        <f t="shared" ref="H360:N360" si="156">SUM(H361:H361)</f>
        <v>0</v>
      </c>
      <c r="I360" s="26">
        <f t="shared" si="156"/>
        <v>0</v>
      </c>
      <c r="J360" s="26">
        <f t="shared" si="156"/>
        <v>0</v>
      </c>
      <c r="K360" s="26">
        <f t="shared" si="156"/>
        <v>0</v>
      </c>
      <c r="L360" s="26">
        <f t="shared" si="156"/>
        <v>0</v>
      </c>
      <c r="M360" s="26">
        <f t="shared" si="156"/>
        <v>0</v>
      </c>
      <c r="N360" s="26">
        <f t="shared" si="156"/>
        <v>0</v>
      </c>
      <c r="O360" s="25" t="s">
        <v>875</v>
      </c>
      <c r="P360" s="27" t="s">
        <v>32</v>
      </c>
      <c r="Q360" s="28" t="s">
        <v>39</v>
      </c>
    </row>
    <row r="361" spans="1:17" x14ac:dyDescent="0.25">
      <c r="A361" s="23" t="s">
        <v>876</v>
      </c>
      <c r="B361" s="24" t="s">
        <v>877</v>
      </c>
      <c r="C361" s="25"/>
      <c r="D361" s="25" t="s">
        <v>740</v>
      </c>
      <c r="E361" s="29">
        <v>0</v>
      </c>
      <c r="F361" s="29">
        <v>0</v>
      </c>
      <c r="G361" s="29">
        <v>0</v>
      </c>
      <c r="H361" s="29">
        <v>0</v>
      </c>
      <c r="I361" s="29">
        <v>0</v>
      </c>
      <c r="J361" s="29">
        <v>0</v>
      </c>
      <c r="K361" s="29">
        <v>0</v>
      </c>
      <c r="L361" s="29">
        <v>0</v>
      </c>
      <c r="M361" s="29">
        <v>0</v>
      </c>
      <c r="N361" s="29">
        <v>0</v>
      </c>
      <c r="O361" s="25"/>
      <c r="P361" s="27"/>
      <c r="Q361" s="28"/>
    </row>
    <row r="362" spans="1:17" ht="28.5" x14ac:dyDescent="0.25">
      <c r="A362" s="17" t="s">
        <v>878</v>
      </c>
      <c r="B362" s="18" t="s">
        <v>879</v>
      </c>
      <c r="C362" s="19"/>
      <c r="D362" s="19" t="s">
        <v>740</v>
      </c>
      <c r="E362" s="20">
        <f t="shared" ref="E362:N362" si="157">E363+E365+E367+E369+E372</f>
        <v>1740100</v>
      </c>
      <c r="F362" s="20">
        <f t="shared" si="157"/>
        <v>1247000</v>
      </c>
      <c r="G362" s="20">
        <f t="shared" si="157"/>
        <v>0</v>
      </c>
      <c r="H362" s="20">
        <f t="shared" si="157"/>
        <v>0</v>
      </c>
      <c r="I362" s="20">
        <f t="shared" si="157"/>
        <v>493100</v>
      </c>
      <c r="J362" s="20">
        <f t="shared" si="157"/>
        <v>0</v>
      </c>
      <c r="K362" s="20">
        <f t="shared" si="157"/>
        <v>0</v>
      </c>
      <c r="L362" s="20">
        <f t="shared" si="157"/>
        <v>0</v>
      </c>
      <c r="M362" s="20">
        <f t="shared" si="157"/>
        <v>0</v>
      </c>
      <c r="N362" s="20">
        <f t="shared" si="157"/>
        <v>0</v>
      </c>
      <c r="O362" s="19"/>
      <c r="P362" s="21"/>
      <c r="Q362" s="22"/>
    </row>
    <row r="363" spans="1:17" ht="30" x14ac:dyDescent="0.25">
      <c r="A363" s="23" t="s">
        <v>880</v>
      </c>
      <c r="B363" s="24" t="s">
        <v>881</v>
      </c>
      <c r="C363" s="25"/>
      <c r="D363" s="25" t="s">
        <v>740</v>
      </c>
      <c r="E363" s="26">
        <f>SUM(E364:E364)+1134000</f>
        <v>1134000</v>
      </c>
      <c r="F363" s="26">
        <f>SUM(F364:F364)+1134000</f>
        <v>1134000</v>
      </c>
      <c r="G363" s="26">
        <f t="shared" ref="G363:N363" si="158">SUM(G364:G364)</f>
        <v>0</v>
      </c>
      <c r="H363" s="26">
        <f t="shared" si="158"/>
        <v>0</v>
      </c>
      <c r="I363" s="26">
        <f t="shared" si="158"/>
        <v>0</v>
      </c>
      <c r="J363" s="26">
        <f t="shared" si="158"/>
        <v>0</v>
      </c>
      <c r="K363" s="26">
        <f t="shared" si="158"/>
        <v>0</v>
      </c>
      <c r="L363" s="26">
        <f t="shared" si="158"/>
        <v>0</v>
      </c>
      <c r="M363" s="26">
        <f t="shared" si="158"/>
        <v>0</v>
      </c>
      <c r="N363" s="26">
        <f t="shared" si="158"/>
        <v>0</v>
      </c>
      <c r="O363" s="25" t="s">
        <v>882</v>
      </c>
      <c r="P363" s="27" t="s">
        <v>32</v>
      </c>
      <c r="Q363" s="28" t="s">
        <v>883</v>
      </c>
    </row>
    <row r="364" spans="1:17" ht="30" x14ac:dyDescent="0.25">
      <c r="A364" s="23" t="s">
        <v>884</v>
      </c>
      <c r="B364" s="24" t="s">
        <v>885</v>
      </c>
      <c r="C364" s="25"/>
      <c r="D364" s="25" t="s">
        <v>740</v>
      </c>
      <c r="E364" s="29">
        <v>0</v>
      </c>
      <c r="F364" s="29">
        <v>0</v>
      </c>
      <c r="G364" s="29">
        <v>0</v>
      </c>
      <c r="H364" s="29">
        <v>0</v>
      </c>
      <c r="I364" s="29">
        <v>0</v>
      </c>
      <c r="J364" s="29">
        <v>0</v>
      </c>
      <c r="K364" s="29">
        <v>0</v>
      </c>
      <c r="L364" s="29">
        <v>0</v>
      </c>
      <c r="M364" s="29">
        <v>0</v>
      </c>
      <c r="N364" s="29">
        <v>0</v>
      </c>
      <c r="O364" s="25"/>
      <c r="P364" s="27"/>
      <c r="Q364" s="28"/>
    </row>
    <row r="365" spans="1:17" ht="30" x14ac:dyDescent="0.25">
      <c r="A365" s="23" t="s">
        <v>886</v>
      </c>
      <c r="B365" s="24" t="s">
        <v>887</v>
      </c>
      <c r="C365" s="25"/>
      <c r="D365" s="25" t="s">
        <v>740</v>
      </c>
      <c r="E365" s="26">
        <f>SUM(E366:E366)+63000</f>
        <v>63000</v>
      </c>
      <c r="F365" s="26">
        <f>SUM(F366:F366)+63000</f>
        <v>63000</v>
      </c>
      <c r="G365" s="26">
        <f t="shared" ref="G365:N365" si="159">SUM(G366:G366)</f>
        <v>0</v>
      </c>
      <c r="H365" s="26">
        <f t="shared" si="159"/>
        <v>0</v>
      </c>
      <c r="I365" s="26">
        <f t="shared" si="159"/>
        <v>0</v>
      </c>
      <c r="J365" s="26">
        <f t="shared" si="159"/>
        <v>0</v>
      </c>
      <c r="K365" s="26">
        <f t="shared" si="159"/>
        <v>0</v>
      </c>
      <c r="L365" s="26">
        <f t="shared" si="159"/>
        <v>0</v>
      </c>
      <c r="M365" s="26">
        <f t="shared" si="159"/>
        <v>0</v>
      </c>
      <c r="N365" s="26">
        <f t="shared" si="159"/>
        <v>0</v>
      </c>
      <c r="O365" s="25" t="s">
        <v>888</v>
      </c>
      <c r="P365" s="27" t="s">
        <v>32</v>
      </c>
      <c r="Q365" s="28" t="s">
        <v>889</v>
      </c>
    </row>
    <row r="366" spans="1:17" ht="30" x14ac:dyDescent="0.25">
      <c r="A366" s="23" t="s">
        <v>890</v>
      </c>
      <c r="B366" s="24" t="s">
        <v>891</v>
      </c>
      <c r="C366" s="25"/>
      <c r="D366" s="25" t="s">
        <v>740</v>
      </c>
      <c r="E366" s="29">
        <v>0</v>
      </c>
      <c r="F366" s="29">
        <v>0</v>
      </c>
      <c r="G366" s="29">
        <v>0</v>
      </c>
      <c r="H366" s="29">
        <v>0</v>
      </c>
      <c r="I366" s="29">
        <v>0</v>
      </c>
      <c r="J366" s="29">
        <v>0</v>
      </c>
      <c r="K366" s="29">
        <v>0</v>
      </c>
      <c r="L366" s="29">
        <v>0</v>
      </c>
      <c r="M366" s="29">
        <v>0</v>
      </c>
      <c r="N366" s="29">
        <v>0</v>
      </c>
      <c r="O366" s="25"/>
      <c r="P366" s="27"/>
      <c r="Q366" s="28"/>
    </row>
    <row r="367" spans="1:17" ht="30" x14ac:dyDescent="0.25">
      <c r="A367" s="23" t="s">
        <v>892</v>
      </c>
      <c r="B367" s="24" t="s">
        <v>893</v>
      </c>
      <c r="C367" s="25"/>
      <c r="D367" s="25" t="s">
        <v>740</v>
      </c>
      <c r="E367" s="26">
        <f>SUM(E368:E368)+50000</f>
        <v>50000</v>
      </c>
      <c r="F367" s="26">
        <f>SUM(F368:F368)+50000</f>
        <v>50000</v>
      </c>
      <c r="G367" s="26">
        <f t="shared" ref="G367:N367" si="160">SUM(G368:G368)</f>
        <v>0</v>
      </c>
      <c r="H367" s="26">
        <f t="shared" si="160"/>
        <v>0</v>
      </c>
      <c r="I367" s="26">
        <f t="shared" si="160"/>
        <v>0</v>
      </c>
      <c r="J367" s="26">
        <f t="shared" si="160"/>
        <v>0</v>
      </c>
      <c r="K367" s="26">
        <f t="shared" si="160"/>
        <v>0</v>
      </c>
      <c r="L367" s="26">
        <f t="shared" si="160"/>
        <v>0</v>
      </c>
      <c r="M367" s="26">
        <f t="shared" si="160"/>
        <v>0</v>
      </c>
      <c r="N367" s="26">
        <f t="shared" si="160"/>
        <v>0</v>
      </c>
      <c r="O367" s="25" t="s">
        <v>894</v>
      </c>
      <c r="P367" s="27" t="s">
        <v>32</v>
      </c>
      <c r="Q367" s="28" t="s">
        <v>181</v>
      </c>
    </row>
    <row r="368" spans="1:17" ht="30" x14ac:dyDescent="0.25">
      <c r="A368" s="23" t="s">
        <v>895</v>
      </c>
      <c r="B368" s="24" t="s">
        <v>896</v>
      </c>
      <c r="C368" s="25"/>
      <c r="D368" s="25" t="s">
        <v>740</v>
      </c>
      <c r="E368" s="29">
        <v>0</v>
      </c>
      <c r="F368" s="29">
        <v>0</v>
      </c>
      <c r="G368" s="29">
        <v>0</v>
      </c>
      <c r="H368" s="29">
        <v>0</v>
      </c>
      <c r="I368" s="29">
        <v>0</v>
      </c>
      <c r="J368" s="29">
        <v>0</v>
      </c>
      <c r="K368" s="29">
        <v>0</v>
      </c>
      <c r="L368" s="29">
        <v>0</v>
      </c>
      <c r="M368" s="29">
        <v>0</v>
      </c>
      <c r="N368" s="29">
        <v>0</v>
      </c>
      <c r="O368" s="25"/>
      <c r="P368" s="27"/>
      <c r="Q368" s="28"/>
    </row>
    <row r="369" spans="1:17" ht="30" x14ac:dyDescent="0.25">
      <c r="A369" s="23" t="s">
        <v>897</v>
      </c>
      <c r="B369" s="24" t="s">
        <v>898</v>
      </c>
      <c r="C369" s="25"/>
      <c r="D369" s="25" t="s">
        <v>740</v>
      </c>
      <c r="E369" s="26">
        <f>SUM(E370:E371)+313400</f>
        <v>313400</v>
      </c>
      <c r="F369" s="26">
        <f>SUM(F370:F371)</f>
        <v>0</v>
      </c>
      <c r="G369" s="26">
        <f>SUM(G370:G371)</f>
        <v>0</v>
      </c>
      <c r="H369" s="26">
        <f>SUM(H370:H371)</f>
        <v>0</v>
      </c>
      <c r="I369" s="26">
        <f>SUM(I370:I371)+313400</f>
        <v>313400</v>
      </c>
      <c r="J369" s="26">
        <f>SUM(J370:J371)</f>
        <v>0</v>
      </c>
      <c r="K369" s="26">
        <f>SUM(K370:K371)</f>
        <v>0</v>
      </c>
      <c r="L369" s="26">
        <f>SUM(L370:L371)</f>
        <v>0</v>
      </c>
      <c r="M369" s="26">
        <f>SUM(M370:M371)</f>
        <v>0</v>
      </c>
      <c r="N369" s="26">
        <f>SUM(N370:N371)</f>
        <v>0</v>
      </c>
      <c r="O369" s="25" t="s">
        <v>899</v>
      </c>
      <c r="P369" s="27" t="s">
        <v>32</v>
      </c>
      <c r="Q369" s="28" t="s">
        <v>900</v>
      </c>
    </row>
    <row r="370" spans="1:17" ht="30" x14ac:dyDescent="0.25">
      <c r="A370" s="30"/>
      <c r="B370" s="31"/>
      <c r="C370" s="32"/>
      <c r="D370" s="32"/>
      <c r="E370" s="33">
        <v>0</v>
      </c>
      <c r="F370" s="33">
        <v>0</v>
      </c>
      <c r="G370" s="33">
        <v>0</v>
      </c>
      <c r="H370" s="33">
        <v>0</v>
      </c>
      <c r="I370" s="33">
        <v>0</v>
      </c>
      <c r="J370" s="33">
        <v>0</v>
      </c>
      <c r="K370" s="33">
        <v>0</v>
      </c>
      <c r="L370" s="33">
        <v>0</v>
      </c>
      <c r="M370" s="33">
        <v>0</v>
      </c>
      <c r="N370" s="33">
        <v>0</v>
      </c>
      <c r="O370" s="32" t="s">
        <v>901</v>
      </c>
      <c r="P370" s="34" t="s">
        <v>32</v>
      </c>
      <c r="Q370" s="35" t="s">
        <v>902</v>
      </c>
    </row>
    <row r="371" spans="1:17" ht="30" x14ac:dyDescent="0.25">
      <c r="A371" s="23" t="s">
        <v>903</v>
      </c>
      <c r="B371" s="24" t="s">
        <v>904</v>
      </c>
      <c r="C371" s="25"/>
      <c r="D371" s="25" t="s">
        <v>740</v>
      </c>
      <c r="E371" s="29">
        <v>0</v>
      </c>
      <c r="F371" s="29">
        <v>0</v>
      </c>
      <c r="G371" s="29">
        <v>0</v>
      </c>
      <c r="H371" s="29">
        <v>0</v>
      </c>
      <c r="I371" s="29">
        <v>0</v>
      </c>
      <c r="J371" s="29">
        <v>0</v>
      </c>
      <c r="K371" s="29">
        <v>0</v>
      </c>
      <c r="L371" s="29">
        <v>0</v>
      </c>
      <c r="M371" s="29">
        <v>0</v>
      </c>
      <c r="N371" s="29">
        <v>0</v>
      </c>
      <c r="O371" s="25"/>
      <c r="P371" s="27"/>
      <c r="Q371" s="28"/>
    </row>
    <row r="372" spans="1:17" x14ac:dyDescent="0.25">
      <c r="A372" s="23" t="s">
        <v>905</v>
      </c>
      <c r="B372" s="24" t="s">
        <v>906</v>
      </c>
      <c r="C372" s="25"/>
      <c r="D372" s="25" t="s">
        <v>740</v>
      </c>
      <c r="E372" s="26">
        <f>SUM(E373:E373)+179700</f>
        <v>179700</v>
      </c>
      <c r="F372" s="26">
        <f>SUM(F373:F373)</f>
        <v>0</v>
      </c>
      <c r="G372" s="26">
        <f>SUM(G373:G373)</f>
        <v>0</v>
      </c>
      <c r="H372" s="26">
        <f>SUM(H373:H373)</f>
        <v>0</v>
      </c>
      <c r="I372" s="26">
        <f>SUM(I373:I373)+179700</f>
        <v>179700</v>
      </c>
      <c r="J372" s="26">
        <f>SUM(J373:J373)</f>
        <v>0</v>
      </c>
      <c r="K372" s="26">
        <f>SUM(K373:K373)</f>
        <v>0</v>
      </c>
      <c r="L372" s="26">
        <f>SUM(L373:L373)</f>
        <v>0</v>
      </c>
      <c r="M372" s="26">
        <f>SUM(M373:M373)</f>
        <v>0</v>
      </c>
      <c r="N372" s="26">
        <f>SUM(N373:N373)</f>
        <v>0</v>
      </c>
      <c r="O372" s="25" t="s">
        <v>907</v>
      </c>
      <c r="P372" s="27" t="s">
        <v>32</v>
      </c>
      <c r="Q372" s="28" t="s">
        <v>908</v>
      </c>
    </row>
    <row r="373" spans="1:17" x14ac:dyDescent="0.25">
      <c r="A373" s="23" t="s">
        <v>909</v>
      </c>
      <c r="B373" s="24" t="s">
        <v>910</v>
      </c>
      <c r="C373" s="25"/>
      <c r="D373" s="25" t="s">
        <v>740</v>
      </c>
      <c r="E373" s="29">
        <v>0</v>
      </c>
      <c r="F373" s="29">
        <v>0</v>
      </c>
      <c r="G373" s="29">
        <v>0</v>
      </c>
      <c r="H373" s="29">
        <v>0</v>
      </c>
      <c r="I373" s="29">
        <v>0</v>
      </c>
      <c r="J373" s="29">
        <v>0</v>
      </c>
      <c r="K373" s="29">
        <v>0</v>
      </c>
      <c r="L373" s="29">
        <v>0</v>
      </c>
      <c r="M373" s="29">
        <v>0</v>
      </c>
      <c r="N373" s="29">
        <v>0</v>
      </c>
      <c r="O373" s="25"/>
      <c r="P373" s="27"/>
      <c r="Q373" s="28"/>
    </row>
    <row r="374" spans="1:17" ht="28.5" x14ac:dyDescent="0.25">
      <c r="A374" s="17" t="s">
        <v>911</v>
      </c>
      <c r="B374" s="18" t="s">
        <v>912</v>
      </c>
      <c r="C374" s="19"/>
      <c r="D374" s="19" t="s">
        <v>740</v>
      </c>
      <c r="E374" s="20">
        <f t="shared" ref="E374:N374" si="161">SUM(E375:E375)</f>
        <v>1000</v>
      </c>
      <c r="F374" s="20">
        <f t="shared" si="161"/>
        <v>1000</v>
      </c>
      <c r="G374" s="20">
        <f t="shared" si="161"/>
        <v>0</v>
      </c>
      <c r="H374" s="20">
        <f t="shared" si="161"/>
        <v>0</v>
      </c>
      <c r="I374" s="20">
        <f t="shared" si="161"/>
        <v>0</v>
      </c>
      <c r="J374" s="20">
        <f t="shared" si="161"/>
        <v>0</v>
      </c>
      <c r="K374" s="20">
        <f t="shared" si="161"/>
        <v>0</v>
      </c>
      <c r="L374" s="20">
        <f t="shared" si="161"/>
        <v>0</v>
      </c>
      <c r="M374" s="20">
        <f t="shared" si="161"/>
        <v>0</v>
      </c>
      <c r="N374" s="20">
        <f t="shared" si="161"/>
        <v>0</v>
      </c>
      <c r="O374" s="19"/>
      <c r="P374" s="21"/>
      <c r="Q374" s="22"/>
    </row>
    <row r="375" spans="1:17" ht="30" x14ac:dyDescent="0.25">
      <c r="A375" s="23" t="s">
        <v>913</v>
      </c>
      <c r="B375" s="24" t="s">
        <v>914</v>
      </c>
      <c r="C375" s="25"/>
      <c r="D375" s="25" t="s">
        <v>740</v>
      </c>
      <c r="E375" s="26">
        <f>SUM(E376:E376)+1000</f>
        <v>1000</v>
      </c>
      <c r="F375" s="26">
        <f>SUM(F376:F376)+1000</f>
        <v>1000</v>
      </c>
      <c r="G375" s="26">
        <f t="shared" ref="G375:N375" si="162">SUM(G376:G376)</f>
        <v>0</v>
      </c>
      <c r="H375" s="26">
        <f t="shared" si="162"/>
        <v>0</v>
      </c>
      <c r="I375" s="26">
        <f t="shared" si="162"/>
        <v>0</v>
      </c>
      <c r="J375" s="26">
        <f t="shared" si="162"/>
        <v>0</v>
      </c>
      <c r="K375" s="26">
        <f t="shared" si="162"/>
        <v>0</v>
      </c>
      <c r="L375" s="26">
        <f t="shared" si="162"/>
        <v>0</v>
      </c>
      <c r="M375" s="26">
        <f t="shared" si="162"/>
        <v>0</v>
      </c>
      <c r="N375" s="26">
        <f t="shared" si="162"/>
        <v>0</v>
      </c>
      <c r="O375" s="25" t="s">
        <v>875</v>
      </c>
      <c r="P375" s="27" t="s">
        <v>32</v>
      </c>
      <c r="Q375" s="28" t="s">
        <v>39</v>
      </c>
    </row>
    <row r="376" spans="1:17" x14ac:dyDescent="0.25">
      <c r="A376" s="23" t="s">
        <v>915</v>
      </c>
      <c r="B376" s="24" t="s">
        <v>916</v>
      </c>
      <c r="C376" s="25"/>
      <c r="D376" s="25" t="s">
        <v>740</v>
      </c>
      <c r="E376" s="29">
        <v>0</v>
      </c>
      <c r="F376" s="29">
        <v>0</v>
      </c>
      <c r="G376" s="29">
        <v>0</v>
      </c>
      <c r="H376" s="29">
        <v>0</v>
      </c>
      <c r="I376" s="29">
        <v>0</v>
      </c>
      <c r="J376" s="29">
        <v>0</v>
      </c>
      <c r="K376" s="29">
        <v>0</v>
      </c>
      <c r="L376" s="29">
        <v>0</v>
      </c>
      <c r="M376" s="29">
        <v>0</v>
      </c>
      <c r="N376" s="29">
        <v>0</v>
      </c>
      <c r="O376" s="25"/>
      <c r="P376" s="27"/>
      <c r="Q376" s="28"/>
    </row>
    <row r="377" spans="1:17" x14ac:dyDescent="0.25">
      <c r="A377" s="17" t="s">
        <v>917</v>
      </c>
      <c r="B377" s="18" t="s">
        <v>918</v>
      </c>
      <c r="C377" s="19"/>
      <c r="D377" s="19" t="s">
        <v>740</v>
      </c>
      <c r="E377" s="20">
        <f t="shared" ref="E377:N377" si="163">SUM(E378:E378)</f>
        <v>10000</v>
      </c>
      <c r="F377" s="20">
        <f t="shared" si="163"/>
        <v>10000</v>
      </c>
      <c r="G377" s="20">
        <f t="shared" si="163"/>
        <v>0</v>
      </c>
      <c r="H377" s="20">
        <f t="shared" si="163"/>
        <v>0</v>
      </c>
      <c r="I377" s="20">
        <f t="shared" si="163"/>
        <v>0</v>
      </c>
      <c r="J377" s="20">
        <f t="shared" si="163"/>
        <v>0</v>
      </c>
      <c r="K377" s="20">
        <f t="shared" si="163"/>
        <v>0</v>
      </c>
      <c r="L377" s="20">
        <f t="shared" si="163"/>
        <v>0</v>
      </c>
      <c r="M377" s="20">
        <f t="shared" si="163"/>
        <v>0</v>
      </c>
      <c r="N377" s="20">
        <f t="shared" si="163"/>
        <v>0</v>
      </c>
      <c r="O377" s="19"/>
      <c r="P377" s="21"/>
      <c r="Q377" s="22"/>
    </row>
    <row r="378" spans="1:17" ht="30" x14ac:dyDescent="0.25">
      <c r="A378" s="23" t="s">
        <v>919</v>
      </c>
      <c r="B378" s="24" t="s">
        <v>920</v>
      </c>
      <c r="C378" s="25"/>
      <c r="D378" s="25" t="s">
        <v>740</v>
      </c>
      <c r="E378" s="26">
        <f>SUM(E379:E379)+10000</f>
        <v>10000</v>
      </c>
      <c r="F378" s="26">
        <f>SUM(F379:F379)+10000</f>
        <v>10000</v>
      </c>
      <c r="G378" s="26">
        <f t="shared" ref="G378:N378" si="164">SUM(G379:G379)</f>
        <v>0</v>
      </c>
      <c r="H378" s="26">
        <f t="shared" si="164"/>
        <v>0</v>
      </c>
      <c r="I378" s="26">
        <f t="shared" si="164"/>
        <v>0</v>
      </c>
      <c r="J378" s="26">
        <f t="shared" si="164"/>
        <v>0</v>
      </c>
      <c r="K378" s="26">
        <f t="shared" si="164"/>
        <v>0</v>
      </c>
      <c r="L378" s="26">
        <f t="shared" si="164"/>
        <v>0</v>
      </c>
      <c r="M378" s="26">
        <f t="shared" si="164"/>
        <v>0</v>
      </c>
      <c r="N378" s="26">
        <f t="shared" si="164"/>
        <v>0</v>
      </c>
      <c r="O378" s="25" t="s">
        <v>921</v>
      </c>
      <c r="P378" s="27" t="s">
        <v>32</v>
      </c>
      <c r="Q378" s="28" t="s">
        <v>144</v>
      </c>
    </row>
    <row r="379" spans="1:17" ht="30" x14ac:dyDescent="0.25">
      <c r="A379" s="23" t="s">
        <v>922</v>
      </c>
      <c r="B379" s="24" t="s">
        <v>923</v>
      </c>
      <c r="C379" s="25"/>
      <c r="D379" s="25" t="s">
        <v>740</v>
      </c>
      <c r="E379" s="29">
        <v>0</v>
      </c>
      <c r="F379" s="29">
        <v>0</v>
      </c>
      <c r="G379" s="29">
        <v>0</v>
      </c>
      <c r="H379" s="29">
        <v>0</v>
      </c>
      <c r="I379" s="29">
        <v>0</v>
      </c>
      <c r="J379" s="29">
        <v>0</v>
      </c>
      <c r="K379" s="29">
        <v>0</v>
      </c>
      <c r="L379" s="29">
        <v>0</v>
      </c>
      <c r="M379" s="29">
        <v>0</v>
      </c>
      <c r="N379" s="29">
        <v>0</v>
      </c>
      <c r="O379" s="25"/>
      <c r="P379" s="27"/>
      <c r="Q379" s="28"/>
    </row>
    <row r="380" spans="1:17" x14ac:dyDescent="0.25">
      <c r="A380" s="17" t="s">
        <v>924</v>
      </c>
      <c r="B380" s="18" t="s">
        <v>925</v>
      </c>
      <c r="C380" s="19"/>
      <c r="D380" s="19" t="s">
        <v>740</v>
      </c>
      <c r="E380" s="20">
        <f t="shared" ref="E380:N380" si="165">E381+E383</f>
        <v>11000</v>
      </c>
      <c r="F380" s="20">
        <f t="shared" si="165"/>
        <v>10000</v>
      </c>
      <c r="G380" s="20">
        <f t="shared" si="165"/>
        <v>0</v>
      </c>
      <c r="H380" s="20">
        <f t="shared" si="165"/>
        <v>0</v>
      </c>
      <c r="I380" s="20">
        <f t="shared" si="165"/>
        <v>1000</v>
      </c>
      <c r="J380" s="20">
        <f t="shared" si="165"/>
        <v>0</v>
      </c>
      <c r="K380" s="20">
        <f t="shared" si="165"/>
        <v>0</v>
      </c>
      <c r="L380" s="20">
        <f t="shared" si="165"/>
        <v>0</v>
      </c>
      <c r="M380" s="20">
        <f t="shared" si="165"/>
        <v>0</v>
      </c>
      <c r="N380" s="20">
        <f t="shared" si="165"/>
        <v>0</v>
      </c>
      <c r="O380" s="19"/>
      <c r="P380" s="21"/>
      <c r="Q380" s="22"/>
    </row>
    <row r="381" spans="1:17" ht="30" x14ac:dyDescent="0.25">
      <c r="A381" s="23" t="s">
        <v>926</v>
      </c>
      <c r="B381" s="24" t="s">
        <v>927</v>
      </c>
      <c r="C381" s="25"/>
      <c r="D381" s="25" t="s">
        <v>740</v>
      </c>
      <c r="E381" s="26">
        <f>SUM(E382:E382)+1000</f>
        <v>1000</v>
      </c>
      <c r="F381" s="26">
        <f>SUM(F382:F382)</f>
        <v>0</v>
      </c>
      <c r="G381" s="26">
        <f>SUM(G382:G382)</f>
        <v>0</v>
      </c>
      <c r="H381" s="26">
        <f>SUM(H382:H382)</f>
        <v>0</v>
      </c>
      <c r="I381" s="26">
        <f>SUM(I382:I382)+1000</f>
        <v>1000</v>
      </c>
      <c r="J381" s="26">
        <f>SUM(J382:J382)</f>
        <v>0</v>
      </c>
      <c r="K381" s="26">
        <f>SUM(K382:K382)</f>
        <v>0</v>
      </c>
      <c r="L381" s="26">
        <f>SUM(L382:L382)</f>
        <v>0</v>
      </c>
      <c r="M381" s="26">
        <f>SUM(M382:M382)</f>
        <v>0</v>
      </c>
      <c r="N381" s="26">
        <f>SUM(N382:N382)</f>
        <v>0</v>
      </c>
      <c r="O381" s="25" t="s">
        <v>928</v>
      </c>
      <c r="P381" s="27" t="s">
        <v>32</v>
      </c>
      <c r="Q381" s="28" t="s">
        <v>929</v>
      </c>
    </row>
    <row r="382" spans="1:17" x14ac:dyDescent="0.25">
      <c r="A382" s="23" t="s">
        <v>930</v>
      </c>
      <c r="B382" s="24" t="s">
        <v>931</v>
      </c>
      <c r="C382" s="25"/>
      <c r="D382" s="25" t="s">
        <v>740</v>
      </c>
      <c r="E382" s="29">
        <v>0</v>
      </c>
      <c r="F382" s="29">
        <v>0</v>
      </c>
      <c r="G382" s="29">
        <v>0</v>
      </c>
      <c r="H382" s="29">
        <v>0</v>
      </c>
      <c r="I382" s="29">
        <v>0</v>
      </c>
      <c r="J382" s="29">
        <v>0</v>
      </c>
      <c r="K382" s="29">
        <v>0</v>
      </c>
      <c r="L382" s="29">
        <v>0</v>
      </c>
      <c r="M382" s="29">
        <v>0</v>
      </c>
      <c r="N382" s="29">
        <v>0</v>
      </c>
      <c r="O382" s="25"/>
      <c r="P382" s="27"/>
      <c r="Q382" s="28"/>
    </row>
    <row r="383" spans="1:17" x14ac:dyDescent="0.25">
      <c r="A383" s="23" t="s">
        <v>932</v>
      </c>
      <c r="B383" s="24" t="s">
        <v>933</v>
      </c>
      <c r="C383" s="25"/>
      <c r="D383" s="25" t="s">
        <v>740</v>
      </c>
      <c r="E383" s="26">
        <f>SUM(E384:E384)+10000</f>
        <v>10000</v>
      </c>
      <c r="F383" s="26">
        <f>SUM(F384:F384)+10000</f>
        <v>10000</v>
      </c>
      <c r="G383" s="26">
        <f t="shared" ref="G383:N383" si="166">SUM(G384:G384)</f>
        <v>0</v>
      </c>
      <c r="H383" s="26">
        <f t="shared" si="166"/>
        <v>0</v>
      </c>
      <c r="I383" s="26">
        <f t="shared" si="166"/>
        <v>0</v>
      </c>
      <c r="J383" s="26">
        <f t="shared" si="166"/>
        <v>0</v>
      </c>
      <c r="K383" s="26">
        <f t="shared" si="166"/>
        <v>0</v>
      </c>
      <c r="L383" s="26">
        <f t="shared" si="166"/>
        <v>0</v>
      </c>
      <c r="M383" s="26">
        <f t="shared" si="166"/>
        <v>0</v>
      </c>
      <c r="N383" s="26">
        <f t="shared" si="166"/>
        <v>0</v>
      </c>
      <c r="O383" s="25" t="s">
        <v>934</v>
      </c>
      <c r="P383" s="27" t="s">
        <v>32</v>
      </c>
      <c r="Q383" s="28" t="s">
        <v>179</v>
      </c>
    </row>
    <row r="384" spans="1:17" ht="30" x14ac:dyDescent="0.25">
      <c r="A384" s="23" t="s">
        <v>935</v>
      </c>
      <c r="B384" s="24" t="s">
        <v>936</v>
      </c>
      <c r="C384" s="25"/>
      <c r="D384" s="25" t="s">
        <v>740</v>
      </c>
      <c r="E384" s="29">
        <v>0</v>
      </c>
      <c r="F384" s="29">
        <v>0</v>
      </c>
      <c r="G384" s="29">
        <v>0</v>
      </c>
      <c r="H384" s="29">
        <v>0</v>
      </c>
      <c r="I384" s="29">
        <v>0</v>
      </c>
      <c r="J384" s="29">
        <v>0</v>
      </c>
      <c r="K384" s="29">
        <v>0</v>
      </c>
      <c r="L384" s="29">
        <v>0</v>
      </c>
      <c r="M384" s="29">
        <v>0</v>
      </c>
      <c r="N384" s="29">
        <v>0</v>
      </c>
      <c r="O384" s="25"/>
      <c r="P384" s="27"/>
      <c r="Q384" s="28"/>
    </row>
    <row r="385" spans="1:17" ht="28.5" x14ac:dyDescent="0.25">
      <c r="A385" s="11" t="s">
        <v>937</v>
      </c>
      <c r="B385" s="12" t="s">
        <v>938</v>
      </c>
      <c r="C385" s="13"/>
      <c r="D385" s="13" t="s">
        <v>939</v>
      </c>
      <c r="E385" s="14">
        <f t="shared" ref="E385:N385" si="167">E386+E389+E392+E395</f>
        <v>817000</v>
      </c>
      <c r="F385" s="14">
        <f t="shared" si="167"/>
        <v>3000</v>
      </c>
      <c r="G385" s="14">
        <f t="shared" si="167"/>
        <v>0</v>
      </c>
      <c r="H385" s="14">
        <f t="shared" si="167"/>
        <v>0</v>
      </c>
      <c r="I385" s="14">
        <f t="shared" si="167"/>
        <v>814000</v>
      </c>
      <c r="J385" s="14">
        <f t="shared" si="167"/>
        <v>0</v>
      </c>
      <c r="K385" s="14">
        <f t="shared" si="167"/>
        <v>0</v>
      </c>
      <c r="L385" s="14">
        <f t="shared" si="167"/>
        <v>0</v>
      </c>
      <c r="M385" s="14">
        <f t="shared" si="167"/>
        <v>0</v>
      </c>
      <c r="N385" s="14">
        <f t="shared" si="167"/>
        <v>0</v>
      </c>
      <c r="O385" s="13"/>
      <c r="P385" s="15"/>
      <c r="Q385" s="16"/>
    </row>
    <row r="386" spans="1:17" ht="28.5" x14ac:dyDescent="0.25">
      <c r="A386" s="17" t="s">
        <v>940</v>
      </c>
      <c r="B386" s="18" t="s">
        <v>941</v>
      </c>
      <c r="C386" s="19"/>
      <c r="D386" s="19" t="s">
        <v>939</v>
      </c>
      <c r="E386" s="20">
        <f t="shared" ref="E386:N386" si="168">SUM(E387:E387)</f>
        <v>778900</v>
      </c>
      <c r="F386" s="20">
        <f t="shared" si="168"/>
        <v>0</v>
      </c>
      <c r="G386" s="20">
        <f t="shared" si="168"/>
        <v>0</v>
      </c>
      <c r="H386" s="20">
        <f t="shared" si="168"/>
        <v>0</v>
      </c>
      <c r="I386" s="20">
        <f t="shared" si="168"/>
        <v>778900</v>
      </c>
      <c r="J386" s="20">
        <f t="shared" si="168"/>
        <v>0</v>
      </c>
      <c r="K386" s="20">
        <f t="shared" si="168"/>
        <v>0</v>
      </c>
      <c r="L386" s="20">
        <f t="shared" si="168"/>
        <v>0</v>
      </c>
      <c r="M386" s="20">
        <f t="shared" si="168"/>
        <v>0</v>
      </c>
      <c r="N386" s="20">
        <f t="shared" si="168"/>
        <v>0</v>
      </c>
      <c r="O386" s="19"/>
      <c r="P386" s="21"/>
      <c r="Q386" s="22"/>
    </row>
    <row r="387" spans="1:17" ht="45" x14ac:dyDescent="0.25">
      <c r="A387" s="23" t="s">
        <v>942</v>
      </c>
      <c r="B387" s="24" t="s">
        <v>943</v>
      </c>
      <c r="C387" s="25" t="s">
        <v>944</v>
      </c>
      <c r="D387" s="25" t="s">
        <v>939</v>
      </c>
      <c r="E387" s="26">
        <f>SUM(E388:E388)+778900</f>
        <v>778900</v>
      </c>
      <c r="F387" s="26">
        <f>SUM(F388:F388)</f>
        <v>0</v>
      </c>
      <c r="G387" s="26">
        <f>SUM(G388:G388)</f>
        <v>0</v>
      </c>
      <c r="H387" s="26">
        <f>SUM(H388:H388)</f>
        <v>0</v>
      </c>
      <c r="I387" s="26">
        <f>SUM(I388:I388)+778900</f>
        <v>778900</v>
      </c>
      <c r="J387" s="26">
        <f>SUM(J388:J388)</f>
        <v>0</v>
      </c>
      <c r="K387" s="26">
        <f>SUM(K388:K388)</f>
        <v>0</v>
      </c>
      <c r="L387" s="26">
        <f>SUM(L388:L388)</f>
        <v>0</v>
      </c>
      <c r="M387" s="26">
        <f>SUM(M388:M388)</f>
        <v>0</v>
      </c>
      <c r="N387" s="26">
        <f>SUM(N388:N388)</f>
        <v>0</v>
      </c>
      <c r="O387" s="25" t="s">
        <v>945</v>
      </c>
      <c r="P387" s="27" t="s">
        <v>32</v>
      </c>
      <c r="Q387" s="28" t="s">
        <v>39</v>
      </c>
    </row>
    <row r="388" spans="1:17" x14ac:dyDescent="0.25">
      <c r="A388" s="23" t="s">
        <v>946</v>
      </c>
      <c r="B388" s="24" t="s">
        <v>947</v>
      </c>
      <c r="C388" s="25"/>
      <c r="D388" s="25" t="s">
        <v>740</v>
      </c>
      <c r="E388" s="29">
        <v>0</v>
      </c>
      <c r="F388" s="29">
        <v>0</v>
      </c>
      <c r="G388" s="29">
        <v>0</v>
      </c>
      <c r="H388" s="29">
        <v>0</v>
      </c>
      <c r="I388" s="29">
        <v>0</v>
      </c>
      <c r="J388" s="29">
        <v>0</v>
      </c>
      <c r="K388" s="29">
        <v>0</v>
      </c>
      <c r="L388" s="29">
        <v>0</v>
      </c>
      <c r="M388" s="29">
        <v>0</v>
      </c>
      <c r="N388" s="29">
        <v>0</v>
      </c>
      <c r="O388" s="25"/>
      <c r="P388" s="27"/>
      <c r="Q388" s="28"/>
    </row>
    <row r="389" spans="1:17" ht="28.5" x14ac:dyDescent="0.25">
      <c r="A389" s="17" t="s">
        <v>948</v>
      </c>
      <c r="B389" s="18" t="s">
        <v>949</v>
      </c>
      <c r="C389" s="19"/>
      <c r="D389" s="19" t="s">
        <v>939</v>
      </c>
      <c r="E389" s="20">
        <f t="shared" ref="E389:N389" si="169">SUM(E390:E390)</f>
        <v>2000</v>
      </c>
      <c r="F389" s="20">
        <f t="shared" si="169"/>
        <v>2000</v>
      </c>
      <c r="G389" s="20">
        <f t="shared" si="169"/>
        <v>0</v>
      </c>
      <c r="H389" s="20">
        <f t="shared" si="169"/>
        <v>0</v>
      </c>
      <c r="I389" s="20">
        <f t="shared" si="169"/>
        <v>0</v>
      </c>
      <c r="J389" s="20">
        <f t="shared" si="169"/>
        <v>0</v>
      </c>
      <c r="K389" s="20">
        <f t="shared" si="169"/>
        <v>0</v>
      </c>
      <c r="L389" s="20">
        <f t="shared" si="169"/>
        <v>0</v>
      </c>
      <c r="M389" s="20">
        <f t="shared" si="169"/>
        <v>0</v>
      </c>
      <c r="N389" s="20">
        <f t="shared" si="169"/>
        <v>0</v>
      </c>
      <c r="O389" s="19"/>
      <c r="P389" s="21"/>
      <c r="Q389" s="22"/>
    </row>
    <row r="390" spans="1:17" ht="45" x14ac:dyDescent="0.25">
      <c r="A390" s="23" t="s">
        <v>950</v>
      </c>
      <c r="B390" s="24" t="s">
        <v>951</v>
      </c>
      <c r="C390" s="25" t="s">
        <v>944</v>
      </c>
      <c r="D390" s="25" t="s">
        <v>939</v>
      </c>
      <c r="E390" s="26">
        <f>SUM(E391:E391)+2000</f>
        <v>2000</v>
      </c>
      <c r="F390" s="26">
        <f>SUM(F391:F391)+2000</f>
        <v>2000</v>
      </c>
      <c r="G390" s="26">
        <f t="shared" ref="G390:N390" si="170">SUM(G391:G391)</f>
        <v>0</v>
      </c>
      <c r="H390" s="26">
        <f t="shared" si="170"/>
        <v>0</v>
      </c>
      <c r="I390" s="26">
        <f t="shared" si="170"/>
        <v>0</v>
      </c>
      <c r="J390" s="26">
        <f t="shared" si="170"/>
        <v>0</v>
      </c>
      <c r="K390" s="26">
        <f t="shared" si="170"/>
        <v>0</v>
      </c>
      <c r="L390" s="26">
        <f t="shared" si="170"/>
        <v>0</v>
      </c>
      <c r="M390" s="26">
        <f t="shared" si="170"/>
        <v>0</v>
      </c>
      <c r="N390" s="26">
        <f t="shared" si="170"/>
        <v>0</v>
      </c>
      <c r="O390" s="25" t="s">
        <v>952</v>
      </c>
      <c r="P390" s="27" t="s">
        <v>32</v>
      </c>
      <c r="Q390" s="28" t="s">
        <v>94</v>
      </c>
    </row>
    <row r="391" spans="1:17" ht="30" x14ac:dyDescent="0.25">
      <c r="A391" s="23" t="s">
        <v>953</v>
      </c>
      <c r="B391" s="24" t="s">
        <v>954</v>
      </c>
      <c r="C391" s="25"/>
      <c r="D391" s="25" t="s">
        <v>939</v>
      </c>
      <c r="E391" s="29">
        <v>0</v>
      </c>
      <c r="F391" s="29">
        <v>0</v>
      </c>
      <c r="G391" s="29">
        <v>0</v>
      </c>
      <c r="H391" s="29">
        <v>0</v>
      </c>
      <c r="I391" s="29">
        <v>0</v>
      </c>
      <c r="J391" s="29">
        <v>0</v>
      </c>
      <c r="K391" s="29">
        <v>0</v>
      </c>
      <c r="L391" s="29">
        <v>0</v>
      </c>
      <c r="M391" s="29">
        <v>0</v>
      </c>
      <c r="N391" s="29">
        <v>0</v>
      </c>
      <c r="O391" s="25"/>
      <c r="P391" s="27"/>
      <c r="Q391" s="28"/>
    </row>
    <row r="392" spans="1:17" ht="28.5" x14ac:dyDescent="0.25">
      <c r="A392" s="17" t="s">
        <v>955</v>
      </c>
      <c r="B392" s="18" t="s">
        <v>956</v>
      </c>
      <c r="C392" s="19"/>
      <c r="D392" s="19" t="s">
        <v>939</v>
      </c>
      <c r="E392" s="20">
        <f t="shared" ref="E392:N392" si="171">SUM(E393:E393)</f>
        <v>1000</v>
      </c>
      <c r="F392" s="20">
        <f t="shared" si="171"/>
        <v>1000</v>
      </c>
      <c r="G392" s="20">
        <f t="shared" si="171"/>
        <v>0</v>
      </c>
      <c r="H392" s="20">
        <f t="shared" si="171"/>
        <v>0</v>
      </c>
      <c r="I392" s="20">
        <f t="shared" si="171"/>
        <v>0</v>
      </c>
      <c r="J392" s="20">
        <f t="shared" si="171"/>
        <v>0</v>
      </c>
      <c r="K392" s="20">
        <f t="shared" si="171"/>
        <v>0</v>
      </c>
      <c r="L392" s="20">
        <f t="shared" si="171"/>
        <v>0</v>
      </c>
      <c r="M392" s="20">
        <f t="shared" si="171"/>
        <v>0</v>
      </c>
      <c r="N392" s="20">
        <f t="shared" si="171"/>
        <v>0</v>
      </c>
      <c r="O392" s="19"/>
      <c r="P392" s="21"/>
      <c r="Q392" s="22"/>
    </row>
    <row r="393" spans="1:17" ht="45" x14ac:dyDescent="0.25">
      <c r="A393" s="23" t="s">
        <v>957</v>
      </c>
      <c r="B393" s="24" t="s">
        <v>958</v>
      </c>
      <c r="C393" s="25" t="s">
        <v>944</v>
      </c>
      <c r="D393" s="25" t="s">
        <v>939</v>
      </c>
      <c r="E393" s="26">
        <f>SUM(E394:E394)+1000</f>
        <v>1000</v>
      </c>
      <c r="F393" s="26">
        <f>SUM(F394:F394)+1000</f>
        <v>1000</v>
      </c>
      <c r="G393" s="26">
        <f t="shared" ref="G393:N393" si="172">SUM(G394:G394)</f>
        <v>0</v>
      </c>
      <c r="H393" s="26">
        <f t="shared" si="172"/>
        <v>0</v>
      </c>
      <c r="I393" s="26">
        <f t="shared" si="172"/>
        <v>0</v>
      </c>
      <c r="J393" s="26">
        <f t="shared" si="172"/>
        <v>0</v>
      </c>
      <c r="K393" s="26">
        <f t="shared" si="172"/>
        <v>0</v>
      </c>
      <c r="L393" s="26">
        <f t="shared" si="172"/>
        <v>0</v>
      </c>
      <c r="M393" s="26">
        <f t="shared" si="172"/>
        <v>0</v>
      </c>
      <c r="N393" s="26">
        <f t="shared" si="172"/>
        <v>0</v>
      </c>
      <c r="O393" s="25" t="s">
        <v>959</v>
      </c>
      <c r="P393" s="27" t="s">
        <v>32</v>
      </c>
      <c r="Q393" s="28" t="s">
        <v>71</v>
      </c>
    </row>
    <row r="394" spans="1:17" ht="30" x14ac:dyDescent="0.25">
      <c r="A394" s="23" t="s">
        <v>960</v>
      </c>
      <c r="B394" s="24" t="s">
        <v>961</v>
      </c>
      <c r="C394" s="25"/>
      <c r="D394" s="25" t="s">
        <v>939</v>
      </c>
      <c r="E394" s="29">
        <v>0</v>
      </c>
      <c r="F394" s="29">
        <v>0</v>
      </c>
      <c r="G394" s="29">
        <v>0</v>
      </c>
      <c r="H394" s="29">
        <v>0</v>
      </c>
      <c r="I394" s="29">
        <v>0</v>
      </c>
      <c r="J394" s="29">
        <v>0</v>
      </c>
      <c r="K394" s="29">
        <v>0</v>
      </c>
      <c r="L394" s="29">
        <v>0</v>
      </c>
      <c r="M394" s="29">
        <v>0</v>
      </c>
      <c r="N394" s="29">
        <v>0</v>
      </c>
      <c r="O394" s="25"/>
      <c r="P394" s="27"/>
      <c r="Q394" s="28"/>
    </row>
    <row r="395" spans="1:17" x14ac:dyDescent="0.25">
      <c r="A395" s="17" t="s">
        <v>962</v>
      </c>
      <c r="B395" s="18" t="s">
        <v>963</v>
      </c>
      <c r="C395" s="19"/>
      <c r="D395" s="19" t="s">
        <v>964</v>
      </c>
      <c r="E395" s="20">
        <f t="shared" ref="E395:N395" si="173">SUM(E396:E396)</f>
        <v>35100</v>
      </c>
      <c r="F395" s="20">
        <f t="shared" si="173"/>
        <v>0</v>
      </c>
      <c r="G395" s="20">
        <f t="shared" si="173"/>
        <v>0</v>
      </c>
      <c r="H395" s="20">
        <f t="shared" si="173"/>
        <v>0</v>
      </c>
      <c r="I395" s="20">
        <f t="shared" si="173"/>
        <v>35100</v>
      </c>
      <c r="J395" s="20">
        <f t="shared" si="173"/>
        <v>0</v>
      </c>
      <c r="K395" s="20">
        <f t="shared" si="173"/>
        <v>0</v>
      </c>
      <c r="L395" s="20">
        <f t="shared" si="173"/>
        <v>0</v>
      </c>
      <c r="M395" s="20">
        <f t="shared" si="173"/>
        <v>0</v>
      </c>
      <c r="N395" s="20">
        <f t="shared" si="173"/>
        <v>0</v>
      </c>
      <c r="O395" s="19"/>
      <c r="P395" s="21"/>
      <c r="Q395" s="22"/>
    </row>
    <row r="396" spans="1:17" ht="30" x14ac:dyDescent="0.25">
      <c r="A396" s="23" t="s">
        <v>965</v>
      </c>
      <c r="B396" s="24" t="s">
        <v>966</v>
      </c>
      <c r="C396" s="25"/>
      <c r="D396" s="25" t="s">
        <v>964</v>
      </c>
      <c r="E396" s="26">
        <f>SUM(E397:E397)+35100</f>
        <v>35100</v>
      </c>
      <c r="F396" s="26">
        <f>SUM(F397:F397)</f>
        <v>0</v>
      </c>
      <c r="G396" s="26">
        <f>SUM(G397:G397)</f>
        <v>0</v>
      </c>
      <c r="H396" s="26">
        <f>SUM(H397:H397)</f>
        <v>0</v>
      </c>
      <c r="I396" s="26">
        <f>SUM(I397:I397)+35100</f>
        <v>35100</v>
      </c>
      <c r="J396" s="26">
        <f>SUM(J397:J397)</f>
        <v>0</v>
      </c>
      <c r="K396" s="26">
        <f>SUM(K397:K397)</f>
        <v>0</v>
      </c>
      <c r="L396" s="26">
        <f>SUM(L397:L397)</f>
        <v>0</v>
      </c>
      <c r="M396" s="26">
        <f>SUM(M397:M397)</f>
        <v>0</v>
      </c>
      <c r="N396" s="26">
        <f>SUM(N397:N397)</f>
        <v>0</v>
      </c>
      <c r="O396" s="25" t="s">
        <v>967</v>
      </c>
      <c r="P396" s="27" t="s">
        <v>32</v>
      </c>
      <c r="Q396" s="28" t="s">
        <v>39</v>
      </c>
    </row>
    <row r="397" spans="1:17" x14ac:dyDescent="0.25">
      <c r="A397" s="23" t="s">
        <v>968</v>
      </c>
      <c r="B397" s="24" t="s">
        <v>969</v>
      </c>
      <c r="C397" s="25"/>
      <c r="D397" s="25" t="s">
        <v>964</v>
      </c>
      <c r="E397" s="29">
        <v>0</v>
      </c>
      <c r="F397" s="29">
        <v>0</v>
      </c>
      <c r="G397" s="29">
        <v>0</v>
      </c>
      <c r="H397" s="29">
        <v>0</v>
      </c>
      <c r="I397" s="29">
        <v>0</v>
      </c>
      <c r="J397" s="29">
        <v>0</v>
      </c>
      <c r="K397" s="29">
        <v>0</v>
      </c>
      <c r="L397" s="29">
        <v>0</v>
      </c>
      <c r="M397" s="29">
        <v>0</v>
      </c>
      <c r="N397" s="29">
        <v>0</v>
      </c>
      <c r="O397" s="25"/>
      <c r="P397" s="27"/>
      <c r="Q397" s="28"/>
    </row>
    <row r="398" spans="1:17" ht="28.5" x14ac:dyDescent="0.25">
      <c r="A398" s="11" t="s">
        <v>970</v>
      </c>
      <c r="B398" s="12" t="s">
        <v>971</v>
      </c>
      <c r="C398" s="13"/>
      <c r="D398" s="13" t="s">
        <v>964</v>
      </c>
      <c r="E398" s="14">
        <f t="shared" ref="E398:N400" si="174">SUM(E399:E399)</f>
        <v>0</v>
      </c>
      <c r="F398" s="14">
        <f t="shared" si="174"/>
        <v>0</v>
      </c>
      <c r="G398" s="14">
        <f t="shared" si="174"/>
        <v>0</v>
      </c>
      <c r="H398" s="14">
        <f t="shared" si="174"/>
        <v>0</v>
      </c>
      <c r="I398" s="14">
        <f t="shared" si="174"/>
        <v>0</v>
      </c>
      <c r="J398" s="14">
        <f t="shared" si="174"/>
        <v>0</v>
      </c>
      <c r="K398" s="14">
        <f t="shared" si="174"/>
        <v>0</v>
      </c>
      <c r="L398" s="14">
        <f t="shared" si="174"/>
        <v>0</v>
      </c>
      <c r="M398" s="14">
        <f t="shared" si="174"/>
        <v>0</v>
      </c>
      <c r="N398" s="14">
        <f t="shared" si="174"/>
        <v>0</v>
      </c>
      <c r="O398" s="13"/>
      <c r="P398" s="15"/>
      <c r="Q398" s="16"/>
    </row>
    <row r="399" spans="1:17" ht="28.5" x14ac:dyDescent="0.25">
      <c r="A399" s="17" t="s">
        <v>972</v>
      </c>
      <c r="B399" s="18" t="s">
        <v>973</v>
      </c>
      <c r="C399" s="19"/>
      <c r="D399" s="19" t="s">
        <v>964</v>
      </c>
      <c r="E399" s="20">
        <f t="shared" si="174"/>
        <v>0</v>
      </c>
      <c r="F399" s="20">
        <f t="shared" si="174"/>
        <v>0</v>
      </c>
      <c r="G399" s="20">
        <f t="shared" si="174"/>
        <v>0</v>
      </c>
      <c r="H399" s="20">
        <f t="shared" si="174"/>
        <v>0</v>
      </c>
      <c r="I399" s="20">
        <f t="shared" si="174"/>
        <v>0</v>
      </c>
      <c r="J399" s="20">
        <f t="shared" si="174"/>
        <v>0</v>
      </c>
      <c r="K399" s="20">
        <f t="shared" si="174"/>
        <v>0</v>
      </c>
      <c r="L399" s="20">
        <f t="shared" si="174"/>
        <v>0</v>
      </c>
      <c r="M399" s="20">
        <f t="shared" si="174"/>
        <v>0</v>
      </c>
      <c r="N399" s="20">
        <f t="shared" si="174"/>
        <v>0</v>
      </c>
      <c r="O399" s="19"/>
      <c r="P399" s="21"/>
      <c r="Q399" s="22"/>
    </row>
    <row r="400" spans="1:17" ht="30" x14ac:dyDescent="0.25">
      <c r="A400" s="23" t="s">
        <v>974</v>
      </c>
      <c r="B400" s="24" t="s">
        <v>975</v>
      </c>
      <c r="C400" s="25"/>
      <c r="D400" s="25" t="s">
        <v>964</v>
      </c>
      <c r="E400" s="26">
        <f t="shared" si="174"/>
        <v>0</v>
      </c>
      <c r="F400" s="26">
        <f t="shared" si="174"/>
        <v>0</v>
      </c>
      <c r="G400" s="26">
        <f t="shared" si="174"/>
        <v>0</v>
      </c>
      <c r="H400" s="26">
        <f t="shared" si="174"/>
        <v>0</v>
      </c>
      <c r="I400" s="26">
        <f t="shared" si="174"/>
        <v>0</v>
      </c>
      <c r="J400" s="26">
        <f t="shared" si="174"/>
        <v>0</v>
      </c>
      <c r="K400" s="26">
        <f t="shared" si="174"/>
        <v>0</v>
      </c>
      <c r="L400" s="26">
        <f t="shared" si="174"/>
        <v>0</v>
      </c>
      <c r="M400" s="26">
        <f t="shared" si="174"/>
        <v>0</v>
      </c>
      <c r="N400" s="26">
        <f t="shared" si="174"/>
        <v>0</v>
      </c>
      <c r="O400" s="25" t="s">
        <v>976</v>
      </c>
      <c r="P400" s="27" t="s">
        <v>32</v>
      </c>
      <c r="Q400" s="28" t="s">
        <v>39</v>
      </c>
    </row>
    <row r="401" spans="1:17" ht="30" x14ac:dyDescent="0.25">
      <c r="A401" s="23" t="s">
        <v>977</v>
      </c>
      <c r="B401" s="24" t="s">
        <v>978</v>
      </c>
      <c r="C401" s="25"/>
      <c r="D401" s="25" t="s">
        <v>964</v>
      </c>
      <c r="E401" s="29">
        <v>0</v>
      </c>
      <c r="F401" s="29">
        <v>0</v>
      </c>
      <c r="G401" s="29">
        <v>0</v>
      </c>
      <c r="H401" s="29">
        <v>0</v>
      </c>
      <c r="I401" s="29">
        <v>0</v>
      </c>
      <c r="J401" s="29">
        <v>0</v>
      </c>
      <c r="K401" s="29">
        <v>0</v>
      </c>
      <c r="L401" s="29">
        <v>0</v>
      </c>
      <c r="M401" s="29">
        <v>0</v>
      </c>
      <c r="N401" s="29">
        <v>0</v>
      </c>
      <c r="O401" s="25"/>
      <c r="P401" s="27"/>
      <c r="Q401" s="28"/>
    </row>
    <row r="402" spans="1:17" ht="28.5" x14ac:dyDescent="0.25">
      <c r="A402" s="11" t="s">
        <v>979</v>
      </c>
      <c r="B402" s="12" t="s">
        <v>980</v>
      </c>
      <c r="C402" s="13"/>
      <c r="D402" s="13" t="s">
        <v>964</v>
      </c>
      <c r="E402" s="14">
        <f t="shared" ref="E402:N403" si="175">SUM(E403:E403)</f>
        <v>32000</v>
      </c>
      <c r="F402" s="14">
        <f t="shared" si="175"/>
        <v>32000</v>
      </c>
      <c r="G402" s="14">
        <f t="shared" si="175"/>
        <v>0</v>
      </c>
      <c r="H402" s="14">
        <f t="shared" si="175"/>
        <v>0</v>
      </c>
      <c r="I402" s="14">
        <f t="shared" si="175"/>
        <v>0</v>
      </c>
      <c r="J402" s="14">
        <f t="shared" si="175"/>
        <v>0</v>
      </c>
      <c r="K402" s="14">
        <f t="shared" si="175"/>
        <v>0</v>
      </c>
      <c r="L402" s="14">
        <f t="shared" si="175"/>
        <v>0</v>
      </c>
      <c r="M402" s="14">
        <f t="shared" si="175"/>
        <v>0</v>
      </c>
      <c r="N402" s="14">
        <f t="shared" si="175"/>
        <v>0</v>
      </c>
      <c r="O402" s="13"/>
      <c r="P402" s="15"/>
      <c r="Q402" s="16"/>
    </row>
    <row r="403" spans="1:17" ht="28.5" x14ac:dyDescent="0.25">
      <c r="A403" s="17" t="s">
        <v>981</v>
      </c>
      <c r="B403" s="18" t="s">
        <v>982</v>
      </c>
      <c r="C403" s="19"/>
      <c r="D403" s="19" t="s">
        <v>964</v>
      </c>
      <c r="E403" s="20">
        <f t="shared" si="175"/>
        <v>32000</v>
      </c>
      <c r="F403" s="20">
        <f t="shared" si="175"/>
        <v>32000</v>
      </c>
      <c r="G403" s="20">
        <f t="shared" si="175"/>
        <v>0</v>
      </c>
      <c r="H403" s="20">
        <f t="shared" si="175"/>
        <v>0</v>
      </c>
      <c r="I403" s="20">
        <f t="shared" si="175"/>
        <v>0</v>
      </c>
      <c r="J403" s="20">
        <f t="shared" si="175"/>
        <v>0</v>
      </c>
      <c r="K403" s="20">
        <f t="shared" si="175"/>
        <v>0</v>
      </c>
      <c r="L403" s="20">
        <f t="shared" si="175"/>
        <v>0</v>
      </c>
      <c r="M403" s="20">
        <f t="shared" si="175"/>
        <v>0</v>
      </c>
      <c r="N403" s="20">
        <f t="shared" si="175"/>
        <v>0</v>
      </c>
      <c r="O403" s="19"/>
      <c r="P403" s="21"/>
      <c r="Q403" s="22"/>
    </row>
    <row r="404" spans="1:17" ht="30" x14ac:dyDescent="0.25">
      <c r="A404" s="23" t="s">
        <v>983</v>
      </c>
      <c r="B404" s="24" t="s">
        <v>984</v>
      </c>
      <c r="C404" s="25"/>
      <c r="D404" s="25" t="s">
        <v>964</v>
      </c>
      <c r="E404" s="26">
        <f>SUM(E405:E410)+32000</f>
        <v>32000</v>
      </c>
      <c r="F404" s="26">
        <f>SUM(F405:F410)+32000</f>
        <v>32000</v>
      </c>
      <c r="G404" s="26">
        <f t="shared" ref="G404:N404" si="176">SUM(G405:G410)</f>
        <v>0</v>
      </c>
      <c r="H404" s="26">
        <f t="shared" si="176"/>
        <v>0</v>
      </c>
      <c r="I404" s="26">
        <f t="shared" si="176"/>
        <v>0</v>
      </c>
      <c r="J404" s="26">
        <f t="shared" si="176"/>
        <v>0</v>
      </c>
      <c r="K404" s="26">
        <f t="shared" si="176"/>
        <v>0</v>
      </c>
      <c r="L404" s="26">
        <f t="shared" si="176"/>
        <v>0</v>
      </c>
      <c r="M404" s="26">
        <f t="shared" si="176"/>
        <v>0</v>
      </c>
      <c r="N404" s="26">
        <f t="shared" si="176"/>
        <v>0</v>
      </c>
      <c r="O404" s="25" t="s">
        <v>985</v>
      </c>
      <c r="P404" s="27" t="s">
        <v>986</v>
      </c>
      <c r="Q404" s="28" t="s">
        <v>987</v>
      </c>
    </row>
    <row r="405" spans="1:17" x14ac:dyDescent="0.25">
      <c r="A405" s="30"/>
      <c r="B405" s="31"/>
      <c r="C405" s="32"/>
      <c r="D405" s="32"/>
      <c r="E405" s="33">
        <v>0</v>
      </c>
      <c r="F405" s="33">
        <v>0</v>
      </c>
      <c r="G405" s="33">
        <v>0</v>
      </c>
      <c r="H405" s="33">
        <v>0</v>
      </c>
      <c r="I405" s="33">
        <v>0</v>
      </c>
      <c r="J405" s="33">
        <v>0</v>
      </c>
      <c r="K405" s="33">
        <v>0</v>
      </c>
      <c r="L405" s="33">
        <v>0</v>
      </c>
      <c r="M405" s="33">
        <v>0</v>
      </c>
      <c r="N405" s="33">
        <v>0</v>
      </c>
      <c r="O405" s="32" t="s">
        <v>988</v>
      </c>
      <c r="P405" s="34" t="s">
        <v>384</v>
      </c>
      <c r="Q405" s="35" t="s">
        <v>69</v>
      </c>
    </row>
    <row r="406" spans="1:17" ht="30" x14ac:dyDescent="0.25">
      <c r="A406" s="30"/>
      <c r="B406" s="31"/>
      <c r="C406" s="32"/>
      <c r="D406" s="32"/>
      <c r="E406" s="33">
        <v>0</v>
      </c>
      <c r="F406" s="33">
        <v>0</v>
      </c>
      <c r="G406" s="33">
        <v>0</v>
      </c>
      <c r="H406" s="33">
        <v>0</v>
      </c>
      <c r="I406" s="33">
        <v>0</v>
      </c>
      <c r="J406" s="33">
        <v>0</v>
      </c>
      <c r="K406" s="33">
        <v>0</v>
      </c>
      <c r="L406" s="33">
        <v>0</v>
      </c>
      <c r="M406" s="33">
        <v>0</v>
      </c>
      <c r="N406" s="33">
        <v>0</v>
      </c>
      <c r="O406" s="32" t="s">
        <v>989</v>
      </c>
      <c r="P406" s="34" t="s">
        <v>32</v>
      </c>
      <c r="Q406" s="35" t="s">
        <v>990</v>
      </c>
    </row>
    <row r="407" spans="1:17" ht="45" x14ac:dyDescent="0.25">
      <c r="A407" s="30"/>
      <c r="B407" s="31"/>
      <c r="C407" s="32"/>
      <c r="D407" s="32"/>
      <c r="E407" s="33">
        <v>0</v>
      </c>
      <c r="F407" s="33">
        <v>0</v>
      </c>
      <c r="G407" s="33">
        <v>0</v>
      </c>
      <c r="H407" s="33">
        <v>0</v>
      </c>
      <c r="I407" s="33">
        <v>0</v>
      </c>
      <c r="J407" s="33">
        <v>0</v>
      </c>
      <c r="K407" s="33">
        <v>0</v>
      </c>
      <c r="L407" s="33">
        <v>0</v>
      </c>
      <c r="M407" s="33">
        <v>0</v>
      </c>
      <c r="N407" s="33">
        <v>0</v>
      </c>
      <c r="O407" s="32" t="s">
        <v>991</v>
      </c>
      <c r="P407" s="34" t="s">
        <v>986</v>
      </c>
      <c r="Q407" s="35" t="s">
        <v>992</v>
      </c>
    </row>
    <row r="408" spans="1:17" ht="30" x14ac:dyDescent="0.25">
      <c r="A408" s="30"/>
      <c r="B408" s="31"/>
      <c r="C408" s="32"/>
      <c r="D408" s="32"/>
      <c r="E408" s="33">
        <v>0</v>
      </c>
      <c r="F408" s="33">
        <v>0</v>
      </c>
      <c r="G408" s="33">
        <v>0</v>
      </c>
      <c r="H408" s="33">
        <v>0</v>
      </c>
      <c r="I408" s="33">
        <v>0</v>
      </c>
      <c r="J408" s="33">
        <v>0</v>
      </c>
      <c r="K408" s="33">
        <v>0</v>
      </c>
      <c r="L408" s="33">
        <v>0</v>
      </c>
      <c r="M408" s="33">
        <v>0</v>
      </c>
      <c r="N408" s="33">
        <v>0</v>
      </c>
      <c r="O408" s="32" t="s">
        <v>993</v>
      </c>
      <c r="P408" s="34" t="s">
        <v>32</v>
      </c>
      <c r="Q408" s="35" t="s">
        <v>33</v>
      </c>
    </row>
    <row r="409" spans="1:17" ht="30" x14ac:dyDescent="0.25">
      <c r="A409" s="30"/>
      <c r="B409" s="31"/>
      <c r="C409" s="32"/>
      <c r="D409" s="32"/>
      <c r="E409" s="33">
        <v>0</v>
      </c>
      <c r="F409" s="33">
        <v>0</v>
      </c>
      <c r="G409" s="33">
        <v>0</v>
      </c>
      <c r="H409" s="33">
        <v>0</v>
      </c>
      <c r="I409" s="33">
        <v>0</v>
      </c>
      <c r="J409" s="33">
        <v>0</v>
      </c>
      <c r="K409" s="33">
        <v>0</v>
      </c>
      <c r="L409" s="33">
        <v>0</v>
      </c>
      <c r="M409" s="33">
        <v>0</v>
      </c>
      <c r="N409" s="33">
        <v>0</v>
      </c>
      <c r="O409" s="32" t="s">
        <v>994</v>
      </c>
      <c r="P409" s="34" t="s">
        <v>32</v>
      </c>
      <c r="Q409" s="35" t="s">
        <v>114</v>
      </c>
    </row>
    <row r="410" spans="1:17" x14ac:dyDescent="0.25">
      <c r="A410" s="37" t="s">
        <v>995</v>
      </c>
      <c r="B410" s="38" t="s">
        <v>996</v>
      </c>
      <c r="C410" s="39"/>
      <c r="D410" s="39" t="s">
        <v>964</v>
      </c>
      <c r="E410" s="40">
        <v>0</v>
      </c>
      <c r="F410" s="40">
        <v>0</v>
      </c>
      <c r="G410" s="40">
        <v>0</v>
      </c>
      <c r="H410" s="40">
        <v>0</v>
      </c>
      <c r="I410" s="40">
        <v>0</v>
      </c>
      <c r="J410" s="40">
        <v>0</v>
      </c>
      <c r="K410" s="40">
        <v>0</v>
      </c>
      <c r="L410" s="40">
        <v>0</v>
      </c>
      <c r="M410" s="40">
        <v>0</v>
      </c>
      <c r="N410" s="40">
        <v>0</v>
      </c>
      <c r="O410" s="39"/>
      <c r="P410" s="41"/>
      <c r="Q410" s="42"/>
    </row>
    <row r="411" spans="1:17" s="47" customFormat="1" x14ac:dyDescent="0.25">
      <c r="A411" s="43"/>
      <c r="B411" s="43"/>
      <c r="C411" s="44"/>
      <c r="D411" s="44"/>
      <c r="E411" s="45"/>
      <c r="F411" s="45"/>
      <c r="G411" s="45"/>
      <c r="H411" s="45"/>
      <c r="I411" s="45"/>
      <c r="J411" s="45"/>
      <c r="K411" s="45"/>
      <c r="L411" s="45"/>
      <c r="M411" s="45"/>
      <c r="N411" s="45"/>
      <c r="O411" s="44"/>
      <c r="P411" s="46"/>
      <c r="Q411" s="46"/>
    </row>
    <row r="412" spans="1:17" s="47" customFormat="1" x14ac:dyDescent="0.25">
      <c r="A412" s="43"/>
      <c r="B412" s="43"/>
      <c r="C412" s="44"/>
      <c r="D412" s="44"/>
      <c r="E412" s="45"/>
      <c r="F412" s="45"/>
      <c r="G412" s="45"/>
      <c r="H412" s="45"/>
      <c r="I412" s="45"/>
      <c r="J412" s="45"/>
      <c r="K412" s="45"/>
      <c r="L412" s="45"/>
      <c r="M412" s="45"/>
      <c r="N412" s="45"/>
      <c r="O412" s="44"/>
      <c r="P412" s="46"/>
      <c r="Q412" s="46"/>
    </row>
    <row r="413" spans="1:17" s="47" customFormat="1" x14ac:dyDescent="0.25">
      <c r="A413" s="43"/>
      <c r="B413" s="43"/>
      <c r="C413" s="44"/>
      <c r="D413" s="44"/>
      <c r="E413" s="45"/>
      <c r="F413" s="45"/>
      <c r="G413" s="45"/>
      <c r="H413" s="45"/>
      <c r="I413" s="45"/>
      <c r="J413" s="45"/>
      <c r="K413" s="45"/>
      <c r="L413" s="45"/>
      <c r="M413" s="45"/>
      <c r="N413" s="45"/>
      <c r="O413" s="44"/>
      <c r="P413" s="46"/>
      <c r="Q413" s="46"/>
    </row>
    <row r="414" spans="1:17" s="47" customFormat="1" x14ac:dyDescent="0.25">
      <c r="A414" s="43"/>
      <c r="B414" s="43"/>
      <c r="C414" s="44"/>
      <c r="D414" s="44"/>
      <c r="E414" s="45"/>
      <c r="F414" s="45"/>
      <c r="G414" s="45"/>
      <c r="H414" s="45"/>
      <c r="I414" s="45"/>
      <c r="J414" s="45"/>
      <c r="K414" s="45"/>
      <c r="L414" s="45"/>
      <c r="M414" s="45"/>
      <c r="N414" s="45"/>
      <c r="O414" s="44"/>
      <c r="P414" s="46"/>
      <c r="Q414" s="46"/>
    </row>
    <row r="415" spans="1:17" s="47" customFormat="1" x14ac:dyDescent="0.25">
      <c r="A415" s="43"/>
      <c r="B415" s="43"/>
      <c r="C415" s="44"/>
      <c r="D415" s="44"/>
      <c r="E415" s="45"/>
      <c r="F415" s="45"/>
      <c r="G415" s="45"/>
      <c r="H415" s="45"/>
      <c r="I415" s="45"/>
      <c r="J415" s="45"/>
      <c r="K415" s="45"/>
      <c r="L415" s="45"/>
      <c r="M415" s="45"/>
      <c r="N415" s="45"/>
      <c r="O415" s="44"/>
      <c r="P415" s="46"/>
      <c r="Q415" s="46"/>
    </row>
    <row r="416" spans="1:17" x14ac:dyDescent="0.25">
      <c r="A416" s="54" t="s">
        <v>1</v>
      </c>
      <c r="B416" s="54" t="s">
        <v>2</v>
      </c>
      <c r="C416" s="54" t="s">
        <v>5</v>
      </c>
      <c r="D416" s="54" t="s">
        <v>6</v>
      </c>
      <c r="E416" s="54"/>
      <c r="F416" s="54"/>
      <c r="G416" s="54"/>
      <c r="H416" s="54"/>
      <c r="I416" s="54"/>
      <c r="J416" s="54"/>
      <c r="K416" s="54"/>
      <c r="L416" s="54"/>
    </row>
    <row r="417" spans="1:12" x14ac:dyDescent="0.25">
      <c r="A417" s="54"/>
      <c r="B417" s="54"/>
      <c r="C417" s="54"/>
      <c r="D417" s="49" t="s">
        <v>8</v>
      </c>
      <c r="E417" s="49" t="s">
        <v>9</v>
      </c>
      <c r="F417" s="49" t="s">
        <v>10</v>
      </c>
      <c r="G417" s="49" t="s">
        <v>11</v>
      </c>
      <c r="H417" s="49" t="s">
        <v>12</v>
      </c>
      <c r="I417" s="49" t="s">
        <v>13</v>
      </c>
      <c r="J417" s="49" t="s">
        <v>14</v>
      </c>
      <c r="K417" s="49" t="s">
        <v>15</v>
      </c>
      <c r="L417" s="49" t="s">
        <v>16</v>
      </c>
    </row>
    <row r="418" spans="1:12" x14ac:dyDescent="0.25">
      <c r="A418" s="31" t="s">
        <v>997</v>
      </c>
      <c r="B418" s="31" t="s">
        <v>998</v>
      </c>
      <c r="C418" s="50">
        <f t="shared" ref="C418:L418" si="177">SUM(C419:C424)</f>
        <v>13544571.34</v>
      </c>
      <c r="D418" s="50">
        <f t="shared" si="177"/>
        <v>8846975.75</v>
      </c>
      <c r="E418" s="50">
        <f t="shared" si="177"/>
        <v>49344</v>
      </c>
      <c r="F418" s="50">
        <f t="shared" si="177"/>
        <v>0</v>
      </c>
      <c r="G418" s="50">
        <f t="shared" si="177"/>
        <v>2417905.9500000002</v>
      </c>
      <c r="H418" s="50">
        <f t="shared" si="177"/>
        <v>778042.05</v>
      </c>
      <c r="I418" s="50">
        <f t="shared" si="177"/>
        <v>1132369.5900000001</v>
      </c>
      <c r="J418" s="50">
        <f t="shared" si="177"/>
        <v>319934</v>
      </c>
      <c r="K418" s="50">
        <f t="shared" si="177"/>
        <v>0</v>
      </c>
      <c r="L418" s="50">
        <f t="shared" si="177"/>
        <v>0</v>
      </c>
    </row>
    <row r="419" spans="1:12" x14ac:dyDescent="0.25">
      <c r="A419" s="31" t="s">
        <v>999</v>
      </c>
      <c r="B419" s="31" t="s">
        <v>1000</v>
      </c>
      <c r="C419" s="33">
        <v>8846975.75</v>
      </c>
      <c r="D419" s="33">
        <v>8846975.75</v>
      </c>
      <c r="E419" s="33">
        <v>0</v>
      </c>
      <c r="F419" s="33">
        <v>0</v>
      </c>
      <c r="G419" s="33">
        <v>0</v>
      </c>
      <c r="H419" s="33">
        <v>0</v>
      </c>
      <c r="I419" s="33">
        <v>0</v>
      </c>
      <c r="J419" s="33">
        <v>0</v>
      </c>
      <c r="K419" s="33">
        <v>0</v>
      </c>
      <c r="L419" s="33">
        <v>0</v>
      </c>
    </row>
    <row r="420" spans="1:12" x14ac:dyDescent="0.25">
      <c r="A420" s="31" t="s">
        <v>1001</v>
      </c>
      <c r="B420" s="31" t="s">
        <v>1002</v>
      </c>
      <c r="C420" s="33">
        <v>49344</v>
      </c>
      <c r="D420" s="33">
        <v>0</v>
      </c>
      <c r="E420" s="33">
        <v>49344</v>
      </c>
      <c r="F420" s="33">
        <v>0</v>
      </c>
      <c r="G420" s="33">
        <v>0</v>
      </c>
      <c r="H420" s="33">
        <v>0</v>
      </c>
      <c r="I420" s="33">
        <v>0</v>
      </c>
      <c r="J420" s="33">
        <v>0</v>
      </c>
      <c r="K420" s="33">
        <v>0</v>
      </c>
      <c r="L420" s="33">
        <v>0</v>
      </c>
    </row>
    <row r="421" spans="1:12" x14ac:dyDescent="0.25">
      <c r="A421" s="31" t="s">
        <v>1003</v>
      </c>
      <c r="B421" s="31" t="s">
        <v>1004</v>
      </c>
      <c r="C421" s="33">
        <v>2417905.9500000002</v>
      </c>
      <c r="D421" s="33">
        <v>0</v>
      </c>
      <c r="E421" s="33">
        <v>0</v>
      </c>
      <c r="F421" s="33">
        <v>0</v>
      </c>
      <c r="G421" s="33">
        <v>2417905.9500000002</v>
      </c>
      <c r="H421" s="33">
        <v>0</v>
      </c>
      <c r="I421" s="33">
        <v>0</v>
      </c>
      <c r="J421" s="33">
        <v>0</v>
      </c>
      <c r="K421" s="33">
        <v>0</v>
      </c>
      <c r="L421" s="33">
        <v>0</v>
      </c>
    </row>
    <row r="422" spans="1:12" x14ac:dyDescent="0.25">
      <c r="A422" s="31" t="s">
        <v>1005</v>
      </c>
      <c r="B422" s="31" t="s">
        <v>1006</v>
      </c>
      <c r="C422" s="33">
        <v>778042.05</v>
      </c>
      <c r="D422" s="33">
        <v>0</v>
      </c>
      <c r="E422" s="33">
        <v>0</v>
      </c>
      <c r="F422" s="33">
        <v>0</v>
      </c>
      <c r="G422" s="33">
        <v>0</v>
      </c>
      <c r="H422" s="33">
        <v>778042.05</v>
      </c>
      <c r="I422" s="33">
        <v>0</v>
      </c>
      <c r="J422" s="33">
        <v>0</v>
      </c>
      <c r="K422" s="33">
        <v>0</v>
      </c>
      <c r="L422" s="33">
        <v>0</v>
      </c>
    </row>
    <row r="423" spans="1:12" x14ac:dyDescent="0.25">
      <c r="A423" s="31" t="s">
        <v>1007</v>
      </c>
      <c r="B423" s="31" t="s">
        <v>1008</v>
      </c>
      <c r="C423" s="33">
        <v>1132369.5900000001</v>
      </c>
      <c r="D423" s="33">
        <v>0</v>
      </c>
      <c r="E423" s="33">
        <v>0</v>
      </c>
      <c r="F423" s="33">
        <v>0</v>
      </c>
      <c r="G423" s="33">
        <v>0</v>
      </c>
      <c r="H423" s="33">
        <v>0</v>
      </c>
      <c r="I423" s="33">
        <v>1132369.5900000001</v>
      </c>
      <c r="J423" s="33">
        <v>0</v>
      </c>
      <c r="K423" s="33">
        <v>0</v>
      </c>
      <c r="L423" s="33">
        <v>0</v>
      </c>
    </row>
    <row r="424" spans="1:12" ht="45" x14ac:dyDescent="0.25">
      <c r="A424" s="31" t="s">
        <v>1009</v>
      </c>
      <c r="B424" s="31" t="s">
        <v>1010</v>
      </c>
      <c r="C424" s="33">
        <v>319934</v>
      </c>
      <c r="D424" s="33">
        <v>0</v>
      </c>
      <c r="E424" s="33">
        <v>0</v>
      </c>
      <c r="F424" s="33">
        <v>0</v>
      </c>
      <c r="G424" s="33">
        <v>0</v>
      </c>
      <c r="H424" s="33">
        <v>0</v>
      </c>
      <c r="I424" s="33">
        <v>0</v>
      </c>
      <c r="J424" s="33">
        <v>319934</v>
      </c>
      <c r="K424" s="33">
        <v>0</v>
      </c>
      <c r="L424" s="33">
        <v>0</v>
      </c>
    </row>
    <row r="425" spans="1:12" x14ac:dyDescent="0.25">
      <c r="A425" s="31" t="s">
        <v>1011</v>
      </c>
      <c r="B425" s="31" t="s">
        <v>1012</v>
      </c>
      <c r="C425" s="33">
        <v>2718247.58</v>
      </c>
      <c r="D425" s="33">
        <v>0</v>
      </c>
      <c r="E425" s="33">
        <v>0</v>
      </c>
      <c r="F425" s="33">
        <v>0</v>
      </c>
      <c r="G425" s="33">
        <v>0</v>
      </c>
      <c r="H425" s="33">
        <v>0</v>
      </c>
      <c r="I425" s="33">
        <v>2718247.58</v>
      </c>
      <c r="J425" s="33">
        <v>0</v>
      </c>
      <c r="K425" s="33">
        <v>0</v>
      </c>
      <c r="L425" s="33">
        <v>0</v>
      </c>
    </row>
    <row r="426" spans="1:12" ht="30" x14ac:dyDescent="0.25">
      <c r="A426" s="31" t="s">
        <v>1013</v>
      </c>
      <c r="B426" s="31" t="s">
        <v>1014</v>
      </c>
      <c r="C426" s="33">
        <v>345061.04</v>
      </c>
      <c r="D426" s="33">
        <v>0</v>
      </c>
      <c r="E426" s="33">
        <v>0</v>
      </c>
      <c r="F426" s="33">
        <v>0</v>
      </c>
      <c r="G426" s="33">
        <v>0</v>
      </c>
      <c r="H426" s="33">
        <v>0</v>
      </c>
      <c r="I426" s="33">
        <v>0</v>
      </c>
      <c r="J426" s="33">
        <v>345061.04</v>
      </c>
      <c r="K426" s="33">
        <v>0</v>
      </c>
      <c r="L426" s="33">
        <v>0</v>
      </c>
    </row>
    <row r="427" spans="1:12" x14ac:dyDescent="0.25">
      <c r="A427" s="31" t="s">
        <v>1015</v>
      </c>
      <c r="B427" s="31" t="s">
        <v>1016</v>
      </c>
      <c r="C427" s="50">
        <f t="shared" ref="C427:L427" si="178">SUM(C428:C429)</f>
        <v>544302</v>
      </c>
      <c r="D427" s="50">
        <f t="shared" si="178"/>
        <v>0</v>
      </c>
      <c r="E427" s="50">
        <f t="shared" si="178"/>
        <v>0</v>
      </c>
      <c r="F427" s="50">
        <f t="shared" si="178"/>
        <v>0</v>
      </c>
      <c r="G427" s="50">
        <f t="shared" si="178"/>
        <v>0</v>
      </c>
      <c r="H427" s="50">
        <f t="shared" si="178"/>
        <v>0</v>
      </c>
      <c r="I427" s="50">
        <f t="shared" si="178"/>
        <v>0</v>
      </c>
      <c r="J427" s="50">
        <f t="shared" si="178"/>
        <v>0</v>
      </c>
      <c r="K427" s="50">
        <f t="shared" si="178"/>
        <v>0</v>
      </c>
      <c r="L427" s="50">
        <f t="shared" si="178"/>
        <v>544302</v>
      </c>
    </row>
    <row r="428" spans="1:12" x14ac:dyDescent="0.25">
      <c r="A428" s="31" t="s">
        <v>1017</v>
      </c>
      <c r="B428" s="31" t="s">
        <v>1018</v>
      </c>
      <c r="C428" s="33">
        <v>16400</v>
      </c>
      <c r="D428" s="33">
        <v>0</v>
      </c>
      <c r="E428" s="33">
        <v>0</v>
      </c>
      <c r="F428" s="33">
        <v>0</v>
      </c>
      <c r="G428" s="33">
        <v>0</v>
      </c>
      <c r="H428" s="33">
        <v>0</v>
      </c>
      <c r="I428" s="33">
        <v>0</v>
      </c>
      <c r="J428" s="33">
        <v>0</v>
      </c>
      <c r="K428" s="33">
        <v>0</v>
      </c>
      <c r="L428" s="33">
        <v>16400</v>
      </c>
    </row>
    <row r="429" spans="1:12" x14ac:dyDescent="0.25">
      <c r="A429" s="31" t="s">
        <v>1019</v>
      </c>
      <c r="B429" s="31" t="s">
        <v>1020</v>
      </c>
      <c r="C429" s="33">
        <v>527902</v>
      </c>
      <c r="D429" s="33">
        <v>0</v>
      </c>
      <c r="E429" s="33">
        <v>0</v>
      </c>
      <c r="F429" s="33">
        <v>0</v>
      </c>
      <c r="G429" s="33">
        <v>0</v>
      </c>
      <c r="H429" s="33">
        <v>0</v>
      </c>
      <c r="I429" s="33">
        <v>0</v>
      </c>
      <c r="J429" s="33">
        <v>0</v>
      </c>
      <c r="K429" s="33">
        <v>0</v>
      </c>
      <c r="L429" s="33">
        <v>527902</v>
      </c>
    </row>
    <row r="430" spans="1:12" x14ac:dyDescent="0.25">
      <c r="A430" s="51"/>
      <c r="B430" s="52" t="s">
        <v>1021</v>
      </c>
      <c r="C430" s="53">
        <f t="shared" ref="C430:L430" si="179">C418+C425+C426+C427</f>
        <v>17152181.960000001</v>
      </c>
      <c r="D430" s="53">
        <f t="shared" si="179"/>
        <v>8846975.75</v>
      </c>
      <c r="E430" s="53">
        <f t="shared" si="179"/>
        <v>49344</v>
      </c>
      <c r="F430" s="53">
        <f t="shared" si="179"/>
        <v>0</v>
      </c>
      <c r="G430" s="53">
        <f t="shared" si="179"/>
        <v>2417905.9500000002</v>
      </c>
      <c r="H430" s="53">
        <f t="shared" si="179"/>
        <v>778042.05</v>
      </c>
      <c r="I430" s="53">
        <f t="shared" si="179"/>
        <v>3850617.17</v>
      </c>
      <c r="J430" s="53">
        <f t="shared" si="179"/>
        <v>664995.04</v>
      </c>
      <c r="K430" s="53">
        <f t="shared" si="179"/>
        <v>0</v>
      </c>
      <c r="L430" s="53">
        <f t="shared" si="179"/>
        <v>544302</v>
      </c>
    </row>
  </sheetData>
  <mergeCells count="23">
    <mergeCell ref="A1:Q1"/>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F5:N5"/>
    <mergeCell ref="O5:Q5"/>
    <mergeCell ref="A416:A417"/>
    <mergeCell ref="B416:B417"/>
    <mergeCell ref="C416:C417"/>
    <mergeCell ref="D416:L416"/>
  </mergeCells>
  <pageMargins left="0.4" right="0.4" top="0.4" bottom="0.4" header="0.4" footer="0.4"/>
  <pageSetup paperSize="8" scale="7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Planas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2019-04-29T13:15:24Z</cp:lastPrinted>
  <dcterms:created xsi:type="dcterms:W3CDTF">2019-04-29T13:07:10Z</dcterms:created>
  <dcterms:modified xsi:type="dcterms:W3CDTF">2019-04-29T13:54:28Z</dcterms:modified>
</cp:coreProperties>
</file>