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ISKAS_D\dokumentai\2026\Sprendimai\Darbui\"/>
    </mc:Choice>
  </mc:AlternateContent>
  <xr:revisionPtr revIDLastSave="0" documentId="13_ncr:1_{749296E0-9427-4412-AE12-8677E1DE3E67}" xr6:coauthVersionLast="47" xr6:coauthVersionMax="47" xr10:uidLastSave="{00000000-0000-0000-0000-000000000000}"/>
  <bookViews>
    <workbookView xWindow="-120" yWindow="-120" windowWidth="29040" windowHeight="15840" xr2:uid="{BA18E4A0-9000-4376-8966-81B91D7D2F03}"/>
  </bookViews>
  <sheets>
    <sheet name="2025-20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1" i="1" l="1"/>
  <c r="G94" i="1" l="1"/>
  <c r="F77" i="1"/>
  <c r="G32" i="1"/>
  <c r="F123" i="1"/>
  <c r="F122" i="1"/>
  <c r="G122" i="1" s="1"/>
  <c r="F121" i="1"/>
  <c r="F120" i="1"/>
  <c r="G120" i="1" s="1"/>
  <c r="G41" i="1" l="1"/>
  <c r="G34" i="1"/>
  <c r="G97" i="1"/>
  <c r="F42" i="1"/>
  <c r="F85" i="1"/>
  <c r="G85" i="1" s="1"/>
  <c r="F86" i="1"/>
  <c r="F27" i="1"/>
  <c r="G27" i="1" s="1"/>
  <c r="F28" i="1"/>
  <c r="F9" i="1"/>
  <c r="F134" i="1"/>
  <c r="F79" i="1"/>
  <c r="G79" i="1" s="1"/>
  <c r="F78" i="1"/>
  <c r="G78" i="1" s="1"/>
  <c r="G77" i="1"/>
  <c r="F76" i="1"/>
  <c r="G76" i="1" s="1"/>
  <c r="F70" i="1"/>
  <c r="G70" i="1" s="1"/>
  <c r="F67" i="1"/>
  <c r="G66" i="1"/>
  <c r="F59" i="1"/>
  <c r="F58" i="1"/>
  <c r="G68" i="1" l="1"/>
  <c r="F130" i="1"/>
  <c r="F129" i="1"/>
  <c r="F128" i="1"/>
  <c r="F124" i="1"/>
  <c r="F119" i="1"/>
  <c r="F116" i="1"/>
  <c r="F102" i="1"/>
  <c r="F89" i="1"/>
  <c r="F20" i="1"/>
  <c r="F19" i="1"/>
  <c r="F18" i="1"/>
  <c r="F99" i="1"/>
  <c r="G99" i="1" s="1"/>
  <c r="F35" i="1" l="1"/>
  <c r="G35" i="1" s="1"/>
  <c r="F46" i="1"/>
  <c r="G46" i="1" s="1"/>
  <c r="G106" i="1"/>
  <c r="F97" i="1"/>
  <c r="F64" i="1"/>
  <c r="F56" i="1"/>
  <c r="F54" i="1"/>
  <c r="F53" i="1"/>
  <c r="F40" i="1"/>
  <c r="F25" i="1"/>
  <c r="G25" i="1" s="1"/>
  <c r="F117" i="1"/>
  <c r="G117" i="1" s="1"/>
  <c r="F57" i="1"/>
  <c r="F26" i="1"/>
  <c r="G26" i="1" s="1"/>
  <c r="F45" i="1" l="1"/>
  <c r="G45" i="1" s="1"/>
  <c r="F43" i="1"/>
  <c r="G43" i="1" s="1"/>
  <c r="F8" i="1"/>
  <c r="F91" i="1"/>
  <c r="G135" i="1" l="1"/>
  <c r="F133" i="1"/>
  <c r="F115" i="1"/>
  <c r="F114" i="1"/>
  <c r="F113" i="1"/>
  <c r="G113" i="1" s="1"/>
  <c r="F112" i="1"/>
  <c r="G112" i="1" s="1"/>
  <c r="F111" i="1"/>
  <c r="G111" i="1" s="1"/>
  <c r="F110" i="1"/>
  <c r="G110" i="1" s="1"/>
  <c r="F109" i="1"/>
  <c r="G109" i="1" s="1"/>
  <c r="F108" i="1"/>
  <c r="G108" i="1" s="1"/>
  <c r="F107" i="1"/>
  <c r="G107" i="1" s="1"/>
  <c r="F98" i="1"/>
  <c r="G98" i="1" s="1"/>
  <c r="F96" i="1"/>
  <c r="F90" i="1"/>
  <c r="G90" i="1" s="1"/>
  <c r="F83" i="1"/>
  <c r="F75" i="1"/>
  <c r="G75" i="1" s="1"/>
  <c r="F74" i="1"/>
  <c r="G74" i="1" s="1"/>
  <c r="F73" i="1"/>
  <c r="G73" i="1" s="1"/>
  <c r="F72" i="1"/>
  <c r="G72" i="1" s="1"/>
  <c r="F71" i="1"/>
  <c r="G71" i="1" s="1"/>
  <c r="A71" i="1"/>
  <c r="A72" i="1" s="1"/>
  <c r="A73" i="1" s="1"/>
  <c r="A74" i="1" s="1"/>
  <c r="A75" i="1" s="1"/>
  <c r="A76" i="1" s="1"/>
  <c r="A77" i="1" s="1"/>
  <c r="A78" i="1" s="1"/>
  <c r="A79" i="1" s="1"/>
  <c r="F65" i="1"/>
  <c r="F63" i="1"/>
  <c r="F55" i="1"/>
  <c r="A50" i="1"/>
  <c r="A51" i="1" s="1"/>
  <c r="A52" i="1" s="1"/>
  <c r="A53" i="1" s="1"/>
  <c r="A54" i="1" s="1"/>
  <c r="A55" i="1" s="1"/>
  <c r="A56" i="1" s="1"/>
  <c r="A57" i="1" s="1"/>
  <c r="A58" i="1" s="1"/>
  <c r="A59" i="1" s="1"/>
  <c r="F52" i="1"/>
  <c r="F44" i="1"/>
  <c r="G44" i="1" s="1"/>
  <c r="A40" i="1"/>
  <c r="A41" i="1" s="1"/>
  <c r="A42" i="1" s="1"/>
  <c r="A43" i="1" s="1"/>
  <c r="A44" i="1" s="1"/>
  <c r="A45" i="1" s="1"/>
  <c r="F36" i="1"/>
  <c r="G36" i="1" s="1"/>
  <c r="F33" i="1"/>
  <c r="F23" i="1"/>
  <c r="F17" i="1"/>
  <c r="F16" i="1"/>
  <c r="G92" i="1" l="1"/>
  <c r="G80" i="1"/>
  <c r="G47" i="1"/>
  <c r="G96" i="1"/>
  <c r="F118" i="1"/>
  <c r="F105" i="1"/>
  <c r="G105" i="1" s="1"/>
  <c r="F104" i="1"/>
  <c r="G104" i="1" s="1"/>
  <c r="F103" i="1"/>
  <c r="F84" i="1"/>
  <c r="G84" i="1" s="1"/>
  <c r="F82" i="1"/>
  <c r="G82" i="1" s="1"/>
  <c r="G87" i="1" s="1"/>
  <c r="F66" i="1"/>
  <c r="F62" i="1"/>
  <c r="F51" i="1"/>
  <c r="G51" i="1" s="1"/>
  <c r="F50" i="1"/>
  <c r="F49" i="1"/>
  <c r="F39" i="1"/>
  <c r="F32" i="1"/>
  <c r="F31" i="1"/>
  <c r="G31" i="1" s="1"/>
  <c r="F24" i="1"/>
  <c r="G24" i="1" s="1"/>
  <c r="F15" i="1"/>
  <c r="G15" i="1" s="1"/>
  <c r="F14" i="1"/>
  <c r="F13" i="1"/>
  <c r="G13" i="1" s="1"/>
  <c r="F12" i="1"/>
  <c r="G10" i="1"/>
  <c r="G131" i="1" l="1"/>
  <c r="G100" i="1"/>
  <c r="G60" i="1"/>
  <c r="G29" i="1"/>
  <c r="G21" i="1"/>
  <c r="G136" i="1" s="1"/>
  <c r="G37" i="1"/>
  <c r="A104" i="1"/>
  <c r="A106" i="1" s="1"/>
  <c r="A107" i="1" l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</calcChain>
</file>

<file path=xl/sharedStrings.xml><?xml version="1.0" encoding="utf-8"?>
<sst xmlns="http://schemas.openxmlformats.org/spreadsheetml/2006/main" count="377" uniqueCount="250">
  <si>
    <t>PATVIRTINTA</t>
  </si>
  <si>
    <t>Šakių rajono savivaldybės tarybos</t>
  </si>
  <si>
    <t>Eil. Nr.</t>
  </si>
  <si>
    <t>Objektas 
(gatvės, kelio pavadinimas)</t>
  </si>
  <si>
    <t>Preliminari kaina, tūkst. Eur</t>
  </si>
  <si>
    <t>Barzdų seniūnija</t>
  </si>
  <si>
    <t>Iš viso:</t>
  </si>
  <si>
    <t>Gelgaudiškio seniūnija</t>
  </si>
  <si>
    <t>Griškabūdžio seniūnija</t>
  </si>
  <si>
    <t>Kidulių seniūnija</t>
  </si>
  <si>
    <t>Kriūkų seniūnija</t>
  </si>
  <si>
    <t>Sutkų kaimo kelias Ki-III-44</t>
  </si>
  <si>
    <t>Kudirkos Naumiesčio seniūnija</t>
  </si>
  <si>
    <t>Lekėčių seniūnija</t>
  </si>
  <si>
    <t>Lukšių seniūnija</t>
  </si>
  <si>
    <t>Plokščių seniūnija</t>
  </si>
  <si>
    <t>Sintautų seniūnija</t>
  </si>
  <si>
    <t>Slavikų seniūnija</t>
  </si>
  <si>
    <t>Sudargo seniūnija</t>
  </si>
  <si>
    <t>Šakių seniūnija</t>
  </si>
  <si>
    <t>Žvirgždaičių seniūnija</t>
  </si>
  <si>
    <t>IŠ VISO LĖŠŲ:</t>
  </si>
  <si>
    <t>Kelio vieta žemėlapyje
(URL)</t>
  </si>
  <si>
    <t>proj.</t>
  </si>
  <si>
    <t>Barzdai</t>
  </si>
  <si>
    <t>B-III-33</t>
  </si>
  <si>
    <t>B-II-22</t>
  </si>
  <si>
    <t>Gelgaudiškis</t>
  </si>
  <si>
    <t>Gel-12</t>
  </si>
  <si>
    <t>Gel-9</t>
  </si>
  <si>
    <t>Dau-3</t>
  </si>
  <si>
    <t>Gel-18</t>
  </si>
  <si>
    <t>Skaistakaimio k., Nemuno g. Nr. Ska-2 atkarpa iki valstybinio kelio Nr. 3807</t>
  </si>
  <si>
    <t>Ska-2</t>
  </si>
  <si>
    <t>Gel-19</t>
  </si>
  <si>
    <t>Griškabūdis</t>
  </si>
  <si>
    <t>darbai</t>
  </si>
  <si>
    <t>remontas</t>
  </si>
  <si>
    <t>Pat-3</t>
  </si>
  <si>
    <t>Gri-5</t>
  </si>
  <si>
    <t>Gri-15</t>
  </si>
  <si>
    <t>Gelgaudiškio m., Kranto g. Nr. Gel-9</t>
  </si>
  <si>
    <t>Gelgaudiškio m., Smėlio g. Nr. Gel-18</t>
  </si>
  <si>
    <t>Griškabūdžio mstl., Draugystės g. Nr. Gri-5</t>
  </si>
  <si>
    <t>Griškabūdžio mstl., Ryto g. Nr. Gri-15</t>
  </si>
  <si>
    <t>Kiduliai</t>
  </si>
  <si>
    <t>Žyg-1</t>
  </si>
  <si>
    <t>Žyg-3</t>
  </si>
  <si>
    <t>Voverių k., Lauko g. Nr. Vov-4</t>
  </si>
  <si>
    <t>Vov-4</t>
  </si>
  <si>
    <t>Voverių k., Liepų g. Nr. Vov-5</t>
  </si>
  <si>
    <t>Vov-5</t>
  </si>
  <si>
    <t>Šia-2</t>
  </si>
  <si>
    <t>Kid-4</t>
  </si>
  <si>
    <t>Kidulių k., Tilto g. Nr. Kid-4</t>
  </si>
  <si>
    <t xml:space="preserve"> Žygėnų k., Gandrų g. Nr. Žyg-3</t>
  </si>
  <si>
    <t>Kriūkai</t>
  </si>
  <si>
    <t>Kri-3</t>
  </si>
  <si>
    <t>Žpa-4 ir Žpa-3</t>
  </si>
  <si>
    <t>Ki-III-44</t>
  </si>
  <si>
    <t>Morkų k., kelias Nr. Ki-III-11</t>
  </si>
  <si>
    <t>Ki-III-11</t>
  </si>
  <si>
    <t>Kelias Kriūkai-Ilguva (dviračio takas) Nr. Ki-001</t>
  </si>
  <si>
    <t>Ki-001</t>
  </si>
  <si>
    <t>Kriūkų k., Pušyno g. atšaka į ambulatoriją</t>
  </si>
  <si>
    <t>atšaka</t>
  </si>
  <si>
    <t>Kna-6</t>
  </si>
  <si>
    <t>Tar-2</t>
  </si>
  <si>
    <t>Kna-1</t>
  </si>
  <si>
    <t>Kna-7</t>
  </si>
  <si>
    <t>Pan-1</t>
  </si>
  <si>
    <t>Tot-2</t>
  </si>
  <si>
    <t>Tur-4</t>
  </si>
  <si>
    <t>Kna-12</t>
  </si>
  <si>
    <t>Kudirkos Naumiestis</t>
  </si>
  <si>
    <t>Jan-2</t>
  </si>
  <si>
    <t>Lek-8</t>
  </si>
  <si>
    <t>Jančių k., Pamiškio g. Nr. Jan-2</t>
  </si>
  <si>
    <t>Lek-4</t>
  </si>
  <si>
    <t>Lek-1</t>
  </si>
  <si>
    <t>Lek-11</t>
  </si>
  <si>
    <t>Lekėčiai</t>
  </si>
  <si>
    <t>Lukšiai</t>
  </si>
  <si>
    <t>Luk-9</t>
  </si>
  <si>
    <t>Luk-17</t>
  </si>
  <si>
    <t>Lie-4</t>
  </si>
  <si>
    <t>Liepalotų k., Mokyklos g. Nr. Lie-4</t>
  </si>
  <si>
    <t>Luk-2</t>
  </si>
  <si>
    <t>Lukšių mstl., Pavasario g. Nr. Luk-8</t>
  </si>
  <si>
    <t>Luk-8</t>
  </si>
  <si>
    <t>Luk-13</t>
  </si>
  <si>
    <t>Lukšių mstl., Siesarties g. Nr. Luk-13</t>
  </si>
  <si>
    <t>Plokščiai</t>
  </si>
  <si>
    <t>Plo-2</t>
  </si>
  <si>
    <t>P-II-6</t>
  </si>
  <si>
    <t>Plo-11</t>
  </si>
  <si>
    <t>Sintautai</t>
  </si>
  <si>
    <t>Užs-3</t>
  </si>
  <si>
    <t xml:space="preserve">Ver-4 </t>
  </si>
  <si>
    <t>Veršių k., Ateities g. Nr. Ver-1</t>
  </si>
  <si>
    <t>Ver-1</t>
  </si>
  <si>
    <t>Slavikai</t>
  </si>
  <si>
    <t>Sudargas</t>
  </si>
  <si>
    <t>Per-2</t>
  </si>
  <si>
    <t>Sudargo mstl., Kalno g. Nr. Sud-1</t>
  </si>
  <si>
    <t>Sud-1</t>
  </si>
  <si>
    <t>Šakiai</t>
  </si>
  <si>
    <t>Šak-10</t>
  </si>
  <si>
    <t>Šak-23</t>
  </si>
  <si>
    <t>Šak-35</t>
  </si>
  <si>
    <t>Š-III-71</t>
  </si>
  <si>
    <t>Š-II-17</t>
  </si>
  <si>
    <t>Duo-1</t>
  </si>
  <si>
    <t xml:space="preserve"> Šakių m., Nepriklausomybės g. Nr. Šak-23</t>
  </si>
  <si>
    <t>Girėnų k., Suvalkiečių g. Nr. Šak-38</t>
  </si>
  <si>
    <t>Šak-38</t>
  </si>
  <si>
    <t>Giedručių k., Degučių g. Nr. Gie-3</t>
  </si>
  <si>
    <t>Gie-3</t>
  </si>
  <si>
    <t>Gie-8</t>
  </si>
  <si>
    <t>Gie-2</t>
  </si>
  <si>
    <t>Šakių m., Bijūnų g. Nr. Šak-24</t>
  </si>
  <si>
    <t>Šak-24</t>
  </si>
  <si>
    <t>Išd-8</t>
  </si>
  <si>
    <t>Šakių m., Šiaurės g. skersgatvis iki Miško g.</t>
  </si>
  <si>
    <t>Skersgatvis</t>
  </si>
  <si>
    <t>Šakių m., Beržų g. Nr. Šak-3 (pėsčiųjų takas)</t>
  </si>
  <si>
    <t>Šak-3</t>
  </si>
  <si>
    <t>Šak-48</t>
  </si>
  <si>
    <t>Kelias Ritiniai - Prūseliai Nr. Š-II-17</t>
  </si>
  <si>
    <t xml:space="preserve"> Kelias Vyžpiniai-Janukiškiai Nr. Ž-III-10</t>
  </si>
  <si>
    <t>Žvirgždaičiai</t>
  </si>
  <si>
    <t>Ž-III-10</t>
  </si>
  <si>
    <t>*** remontas - atlikami inžinerinio statinio (kelio/gatvės) paprastojo remonto darbai pagal parengtą paprastojo remonto darbų aprašą.</t>
  </si>
  <si>
    <t xml:space="preserve">** darbai - atliekami inžinerinio statinio (kelio/gatvės) kapitalinio remonto, rekonstrukcijos, naujos statybos darbai, pagal parengtą projektą; </t>
  </si>
  <si>
    <t>takas</t>
  </si>
  <si>
    <t>Veršių k., Lauko g. Nr. Ver-4 ir Mokyklos g. atkarpa iki Tujų g. Nr. Ver-5</t>
  </si>
  <si>
    <t>Jog-1</t>
  </si>
  <si>
    <t>Lekėčių mstl., Kaštonų g. (skersgatvis) Nr. Lek-4</t>
  </si>
  <si>
    <t>Lekėčių mstl., Ateities g. (skersgatvis) Nr. Lek-1</t>
  </si>
  <si>
    <t>Griškabūdžio mstl., Skrynupių g. Nr. Gri-16 (nuo sankryžos iki Kermuškalnio g.)</t>
  </si>
  <si>
    <t>Gri-16</t>
  </si>
  <si>
    <t>Šiaudinės k., Aušros g. Nr. Šia-2, atkarpa nuo žvyrkelio</t>
  </si>
  <si>
    <t>Tot-1</t>
  </si>
  <si>
    <t>Gir-1</t>
  </si>
  <si>
    <t>Totorviečių k., Beržų g. Nr. Tot-2 ir Pentos g. Nr. Tot-3</t>
  </si>
  <si>
    <t>Lukšių mstl., Topolių g. Nr. Luk-17, atkarpa</t>
  </si>
  <si>
    <t>Rociškių k., Pajotijo g. Nr. Roc-2</t>
  </si>
  <si>
    <t>Šakių m., Žalgirio g. Nr. Šak-48 (pėsčiųjų takas)</t>
  </si>
  <si>
    <t>Girėnų k., Augustavos g. Nr. Gir-1</t>
  </si>
  <si>
    <t>Lukšių mstl., Draugystės g. Nr. Luk-2 (atkarpa prie dvaro)</t>
  </si>
  <si>
    <t>Kriūkų k., Smėlio g. Nr. Kri-3</t>
  </si>
  <si>
    <t>Gelgaudiškio m., Miško g. Nr. Gel-12</t>
  </si>
  <si>
    <t>Daukantiškių k., Liepų g. Nr. Dau-3</t>
  </si>
  <si>
    <t>proj./darbai</t>
  </si>
  <si>
    <t xml:space="preserve">proj. </t>
  </si>
  <si>
    <t>Gelgaudiškio m., Vakarų g. Nr. Gel-23</t>
  </si>
  <si>
    <t>Gelgaudiškio m., Pievų g. Nr. Gel-17</t>
  </si>
  <si>
    <t>Daukantiškių k., Rytų g. Nr. Dau-5</t>
  </si>
  <si>
    <t>Užsienių k., P. Orintaitės g. Nr. Užs-3 (atkarpa iki asfaltuoto kelio)</t>
  </si>
  <si>
    <t xml:space="preserve">darbai </t>
  </si>
  <si>
    <t>proj./remontas</t>
  </si>
  <si>
    <t>Šakių m., Jaunystės takas Nr. Šak-13</t>
  </si>
  <si>
    <t>Šakių m., Naujoji g. Nr. Šak-22</t>
  </si>
  <si>
    <t>Šakių m., Žemaitės  g. Nr. Šak-49</t>
  </si>
  <si>
    <t>Šakių m., Kranto g. Nr. Šak-17</t>
  </si>
  <si>
    <t>Striūpų k., Žalioji g. Nr. Str-6</t>
  </si>
  <si>
    <t>Šakių m., Siesarties g. Nr.  Šak-34</t>
  </si>
  <si>
    <t>Švarplių k. kelio Batiškiai-Briedžiai Nr. Š-II-24 atkarpa</t>
  </si>
  <si>
    <t>Papartynų k. Papartynų g. Nr. Par-1 atkarpa</t>
  </si>
  <si>
    <t>Totorviečių k., Alyvų g., Nr. Tot-1, nuo kelio 3809 iki gyvenvietės</t>
  </si>
  <si>
    <t>Kudirkos Naumiesčio m., Šešupės g. Nr. Kna-10</t>
  </si>
  <si>
    <t>Lukšių mstl., Sodžiaus g. Nr. Luk-15</t>
  </si>
  <si>
    <t>Lukšių mstl., Liepų g. Nr. Luk-5</t>
  </si>
  <si>
    <t>Paluobių k., Liepų g. Nr. Pal-6</t>
  </si>
  <si>
    <t>Kubilių k., Nemuno g. Nr. Kub-1</t>
  </si>
  <si>
    <t>Kudirkos Naumiesčio m., Kranto g. Nr. Kna-6</t>
  </si>
  <si>
    <t>Kudirkos Naumiesčio m., Baltkalnio g.Nr. Kna-1</t>
  </si>
  <si>
    <t>proj,/darbai</t>
  </si>
  <si>
    <t xml:space="preserve">Duobiškių k., Alyvų g. Nr. Duo-1 ir Pušų g. Nr. Duo-2 </t>
  </si>
  <si>
    <t>Žvirgždaičių mstl., Ąžuolų g.  Nr. Žvi-1</t>
  </si>
  <si>
    <t>ŠAKIŲ RAJONO SAVIVALDYBĖS VIETINĖS REIKŠMĖS KELIŲ (GATVIŲ) TIESIMO, REKONSTRAVIMO, KAPITALINIO AR  PAPRASTOJO REMONTO DARBŲ 2026 – 2028 METŲ PRIORITETINIS OBJEKTŲ SĄRAŠAS</t>
  </si>
  <si>
    <t>Gel-23</t>
  </si>
  <si>
    <t>Gel-17</t>
  </si>
  <si>
    <t>Dau-5</t>
  </si>
  <si>
    <t>Pal-6</t>
  </si>
  <si>
    <t>Bliuviškių k., Alksnupio g. Nr. Bli-1</t>
  </si>
  <si>
    <t>Bli-1</t>
  </si>
  <si>
    <t>Ki-III-22</t>
  </si>
  <si>
    <t>Pieščių k. kalno kelias Nr. Ki-III-22 (žvyras)</t>
  </si>
  <si>
    <t>Kna-10</t>
  </si>
  <si>
    <t>Pan-8</t>
  </si>
  <si>
    <t>Luk-10</t>
  </si>
  <si>
    <t>Luk-15</t>
  </si>
  <si>
    <t>Luk-5</t>
  </si>
  <si>
    <t>Kub-1</t>
  </si>
  <si>
    <t>P-III-2</t>
  </si>
  <si>
    <t>Roc-2</t>
  </si>
  <si>
    <t>Bur-3</t>
  </si>
  <si>
    <t>Gie-6</t>
  </si>
  <si>
    <t>Šak-47</t>
  </si>
  <si>
    <t>Š-II-24</t>
  </si>
  <si>
    <t>Šak-13</t>
  </si>
  <si>
    <t>Šak-22</t>
  </si>
  <si>
    <t>Šak-17</t>
  </si>
  <si>
    <t>Šak-49</t>
  </si>
  <si>
    <t>* proj. - Atliekami projektavimo darbai, pagal statybos rūšį, kapitalinio remonto, rekonstrukcijos, naujos statybos;</t>
  </si>
  <si>
    <t>Str-6</t>
  </si>
  <si>
    <t>Šak-34</t>
  </si>
  <si>
    <t>Šak-1</t>
  </si>
  <si>
    <t>Biz-7</t>
  </si>
  <si>
    <t>Par-1</t>
  </si>
  <si>
    <t>Kudirkos Naumiesčio m., Tiesos g. Nr. Kna-12</t>
  </si>
  <si>
    <t>Panovių k., Pašešupio g. Nr. Pan-8</t>
  </si>
  <si>
    <t>Lukšių mstl., Rasos g. Nr. Luk-10 ir Lygumų g. Nr. Luk-6 atkarpa</t>
  </si>
  <si>
    <t>Giedručių k., Giedručių g. (pėsčiųjų takas) Nr. Gie-6</t>
  </si>
  <si>
    <t>Šakių m., Zanavykų g. (pėsčiųjų takas) Nr. Šak-47</t>
  </si>
  <si>
    <t>2026 m. vasario 13 d. sprendimu Nr. T-</t>
  </si>
  <si>
    <t>Barzdų mstl., Bažnyčios g. Nr. B-III-33</t>
  </si>
  <si>
    <t xml:space="preserve">Ambrasų k., kelio Nr. B-II-22 atkarpa nuo gyvenvietės pradžios iki paskutinio namo </t>
  </si>
  <si>
    <t>Gelgaudiškio m., Sodų g. Nr. Gel-19</t>
  </si>
  <si>
    <t>Patašinės k., Lauko g. Nr. Pat-3 atkarpa</t>
  </si>
  <si>
    <t xml:space="preserve"> Žygėnų k., Centrinė g. Nr. Žyg-1</t>
  </si>
  <si>
    <t>Žemosios Panemunės k., Kalno g. Nr. Žpa-4 ir Jazminų g. Nr. Žpa-3 atkarpa</t>
  </si>
  <si>
    <t>Joginiškių k., Joginiškių g. Nr. Jog-1</t>
  </si>
  <si>
    <t>Kudirkos Naumiesčio m., P. Mašioto g. Nr. Kna-7 atkarpa (link naujų kapinių)</t>
  </si>
  <si>
    <t>Tarpučių I k., Liepų g. Nr. Tar-2</t>
  </si>
  <si>
    <t xml:space="preserve">Panovių k., Aukspirtos g. (Nr. Pan-1) dalis, Saulėtelio g. (Nr. Pan-10), Beržyno g. (Nr. Pan-4) ir Lauko g. Nr. Pan-5 </t>
  </si>
  <si>
    <t>Turčinų k., Trumpoji g. Nr. Tur-4</t>
  </si>
  <si>
    <t>Lekėčių mstl., Pušyno g. Nr. Lek-8 atkarpa</t>
  </si>
  <si>
    <t>Lekėčių mstl., Šilo g. Nr. Lek-11 atkarpa</t>
  </si>
  <si>
    <t>Lekėčių mstl., Kaštonų g. Nr. Lek-4 atkarpa (nuo Nr. 17 iki sankryžos su Jaunystės g. )</t>
  </si>
  <si>
    <t>Lukšių mstl., Pergalės g. Nr. Luk-9 atkarpa</t>
  </si>
  <si>
    <t>Lukšių mstl., Draugystės g. Nr. Luk-2 (pėsčiųjų - dviračių takas)</t>
  </si>
  <si>
    <t>Plokščių k., Bažnyčios g. Nr. Plo-2 atkarpa</t>
  </si>
  <si>
    <t>Kelias Voniškiai-Obeliškiai Nr. P-II-6</t>
  </si>
  <si>
    <t>Plokščių k., Žaliakalnio g. Nr. Plo-11</t>
  </si>
  <si>
    <t>Privažiavimo kelias prie mobilios prieplaukos Nr. P-III-2</t>
  </si>
  <si>
    <t>Pervazninkų k., Kaštonų g. Nr. Per-2 atkarpa</t>
  </si>
  <si>
    <t>Burgaičių k., Piliakalnių g. Nr. Bur-3</t>
  </si>
  <si>
    <t xml:space="preserve">Kelias Agrochemija-Papartynai, Papartynų g. Nr. Š-III-71 </t>
  </si>
  <si>
    <t>Šakių m., Bažnyčios g. Nr. Šak-10 atkarpa nuo Vasario 16-osios g. iki Vytauto g.</t>
  </si>
  <si>
    <t>Šakių m., Sodų g. Nr. Šak-35 atkarpa</t>
  </si>
  <si>
    <t>Giedručių k., Lauko g. Nr. Gie-8 (nuo Draugystės g. iki Ūkininkų g.)</t>
  </si>
  <si>
    <t>Giedručių k., Ateities g. Nr. Gie-2 (nuo Draugystės g. iki Ūkininkų g.)</t>
  </si>
  <si>
    <t>Šakių m., Aušros g. (pėsčiųjų takas)</t>
  </si>
  <si>
    <t>Šakių m., A. Jakšto g. Nr. Šak-1 (pėsčiųjų takas)</t>
  </si>
  <si>
    <t>Briedžių k., Ryto g. (pėsčiųjų takas) Nr. Biz-7</t>
  </si>
  <si>
    <t>Žvi-1</t>
  </si>
  <si>
    <r>
      <t>Preliminarus kiekis, m</t>
    </r>
    <r>
      <rPr>
        <b/>
        <vertAlign val="superscript"/>
        <sz val="11.5"/>
        <rFont val="Times New Roman"/>
        <family val="1"/>
      </rPr>
      <t>2</t>
    </r>
  </si>
  <si>
    <t>Išdagų k., Žiedo g. Nr. Išd-8 (atkarpa)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</si>
</sst>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12"/>
      <color indexed="8"/>
      <name val="Times New Roman"/>
      <family val="1"/>
      <charset val="186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8"/>
      <name val="Calibri"/>
      <family val="2"/>
      <charset val="186"/>
      <scheme val="minor"/>
    </font>
    <font>
      <b/>
      <sz val="12"/>
      <name val="Times New Roman"/>
      <family val="1"/>
    </font>
    <font>
      <u/>
      <sz val="12"/>
      <color rgb="FF0563C1"/>
      <name val="Times New Roman"/>
      <family val="1"/>
    </font>
    <font>
      <sz val="12"/>
      <name val="Times New Roman"/>
      <family val="1"/>
    </font>
    <font>
      <sz val="12"/>
      <color rgb="FF0563C1"/>
      <name val="Times New Roman"/>
      <family val="1"/>
    </font>
    <font>
      <b/>
      <sz val="11.5"/>
      <name val="Times New Roman"/>
      <family val="1"/>
    </font>
    <font>
      <b/>
      <vertAlign val="superscript"/>
      <sz val="11.5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auto="1"/>
      </top>
      <bottom style="thick">
        <color auto="1"/>
      </bottom>
      <diagonal/>
    </border>
  </borders>
  <cellStyleXfs count="4">
    <xf numFmtId="0" fontId="0" fillId="0" borderId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0" borderId="0" applyNumberFormat="0" applyFill="0" applyBorder="0" applyAlignment="0" applyProtection="0"/>
  </cellStyleXfs>
  <cellXfs count="126">
    <xf numFmtId="0" fontId="0" fillId="0" borderId="0" xfId="0"/>
    <xf numFmtId="1" fontId="1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horizontal="left" vertical="center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left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2" fontId="1" fillId="0" borderId="13" xfId="0" applyNumberFormat="1" applyFont="1" applyBorder="1" applyAlignment="1">
      <alignment horizontal="center" vertical="center" wrapText="1"/>
    </xf>
    <xf numFmtId="4" fontId="3" fillId="0" borderId="13" xfId="0" applyNumberFormat="1" applyFont="1" applyBorder="1" applyAlignment="1">
      <alignment horizontal="center"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1" fillId="0" borderId="14" xfId="0" applyNumberFormat="1" applyFont="1" applyBorder="1" applyAlignment="1">
      <alignment horizontal="center" vertical="center" wrapText="1"/>
    </xf>
    <xf numFmtId="4" fontId="5" fillId="0" borderId="13" xfId="0" applyNumberFormat="1" applyFont="1" applyBorder="1" applyAlignment="1">
      <alignment horizontal="center" vertical="center" wrapText="1"/>
    </xf>
    <xf numFmtId="4" fontId="1" fillId="0" borderId="13" xfId="0" applyNumberFormat="1" applyFont="1" applyBorder="1" applyAlignment="1">
      <alignment horizontal="center" vertical="center" wrapText="1"/>
    </xf>
    <xf numFmtId="4" fontId="3" fillId="0" borderId="16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4" fontId="3" fillId="0" borderId="17" xfId="0" applyNumberFormat="1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center" vertical="center" wrapText="1"/>
    </xf>
    <xf numFmtId="4" fontId="4" fillId="3" borderId="18" xfId="0" applyNumberFormat="1" applyFont="1" applyFill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19" xfId="0" applyNumberFormat="1" applyFont="1" applyBorder="1" applyAlignment="1">
      <alignment horizontal="center" vertical="center" wrapText="1"/>
    </xf>
    <xf numFmtId="4" fontId="4" fillId="4" borderId="20" xfId="0" applyNumberFormat="1" applyFont="1" applyFill="1" applyBorder="1" applyAlignment="1">
      <alignment horizontal="center" vertical="center" wrapText="1"/>
    </xf>
    <xf numFmtId="4" fontId="1" fillId="0" borderId="17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4" fillId="0" borderId="17" xfId="0" applyNumberFormat="1" applyFont="1" applyBorder="1" applyAlignment="1">
      <alignment horizontal="center" vertical="center" wrapText="1"/>
    </xf>
    <xf numFmtId="4" fontId="4" fillId="3" borderId="32" xfId="0" applyNumberFormat="1" applyFont="1" applyFill="1" applyBorder="1" applyAlignment="1">
      <alignment horizontal="center" vertical="center" wrapText="1"/>
    </xf>
    <xf numFmtId="4" fontId="9" fillId="0" borderId="28" xfId="0" applyNumberFormat="1" applyFont="1" applyBorder="1" applyAlignment="1">
      <alignment horizontal="center" vertical="center" wrapText="1"/>
    </xf>
    <xf numFmtId="4" fontId="1" fillId="0" borderId="28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4" fontId="5" fillId="8" borderId="2" xfId="0" applyNumberFormat="1" applyFont="1" applyFill="1" applyBorder="1" applyAlignment="1">
      <alignment horizontal="left" vertical="center" wrapText="1"/>
    </xf>
    <xf numFmtId="0" fontId="1" fillId="8" borderId="2" xfId="0" applyFont="1" applyFill="1" applyBorder="1"/>
    <xf numFmtId="4" fontId="5" fillId="8" borderId="13" xfId="0" applyNumberFormat="1" applyFont="1" applyFill="1" applyBorder="1" applyAlignment="1">
      <alignment horizontal="left" vertical="center" wrapText="1"/>
    </xf>
    <xf numFmtId="4" fontId="5" fillId="8" borderId="14" xfId="0" applyNumberFormat="1" applyFont="1" applyFill="1" applyBorder="1" applyAlignment="1">
      <alignment horizontal="left" vertical="center" wrapText="1"/>
    </xf>
    <xf numFmtId="4" fontId="3" fillId="8" borderId="2" xfId="0" applyNumberFormat="1" applyFont="1" applyFill="1" applyBorder="1" applyAlignment="1">
      <alignment horizontal="left" vertical="center" wrapText="1"/>
    </xf>
    <xf numFmtId="4" fontId="3" fillId="8" borderId="13" xfId="0" applyNumberFormat="1" applyFont="1" applyFill="1" applyBorder="1" applyAlignment="1">
      <alignment horizontal="left" vertical="center" wrapText="1"/>
    </xf>
    <xf numFmtId="2" fontId="1" fillId="8" borderId="13" xfId="0" applyNumberFormat="1" applyFont="1" applyFill="1" applyBorder="1" applyAlignment="1">
      <alignment horizontal="left" vertical="top" wrapText="1"/>
    </xf>
    <xf numFmtId="0" fontId="3" fillId="8" borderId="2" xfId="0" applyFont="1" applyFill="1" applyBorder="1" applyAlignment="1">
      <alignment vertical="center" wrapText="1"/>
    </xf>
    <xf numFmtId="4" fontId="4" fillId="3" borderId="33" xfId="0" applyNumberFormat="1" applyFont="1" applyFill="1" applyBorder="1" applyAlignment="1">
      <alignment horizontal="center" vertical="center" wrapText="1"/>
    </xf>
    <xf numFmtId="2" fontId="1" fillId="8" borderId="2" xfId="0" applyNumberFormat="1" applyFont="1" applyFill="1" applyBorder="1" applyAlignment="1">
      <alignment horizontal="left" vertical="top" wrapText="1"/>
    </xf>
    <xf numFmtId="4" fontId="10" fillId="0" borderId="2" xfId="0" applyNumberFormat="1" applyFont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0" fontId="1" fillId="8" borderId="2" xfId="0" applyFont="1" applyFill="1" applyBorder="1" applyAlignment="1">
      <alignment wrapText="1"/>
    </xf>
    <xf numFmtId="0" fontId="3" fillId="8" borderId="2" xfId="0" applyFont="1" applyFill="1" applyBorder="1" applyAlignment="1">
      <alignment wrapText="1"/>
    </xf>
    <xf numFmtId="0" fontId="1" fillId="8" borderId="13" xfId="0" applyFont="1" applyFill="1" applyBorder="1" applyAlignment="1">
      <alignment vertical="center" wrapText="1"/>
    </xf>
    <xf numFmtId="4" fontId="1" fillId="8" borderId="13" xfId="0" applyNumberFormat="1" applyFont="1" applyFill="1" applyBorder="1" applyAlignment="1">
      <alignment horizontal="left" vertical="center" wrapText="1"/>
    </xf>
    <xf numFmtId="4" fontId="10" fillId="0" borderId="13" xfId="0" applyNumberFormat="1" applyFont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left" vertical="center" wrapText="1"/>
    </xf>
    <xf numFmtId="2" fontId="3" fillId="0" borderId="0" xfId="0" applyNumberFormat="1" applyFont="1" applyAlignment="1">
      <alignment horizontal="left" vertical="center" wrapText="1"/>
    </xf>
    <xf numFmtId="4" fontId="15" fillId="0" borderId="2" xfId="0" applyNumberFormat="1" applyFont="1" applyBorder="1" applyAlignment="1">
      <alignment horizontal="center" vertical="center" wrapText="1"/>
    </xf>
    <xf numFmtId="4" fontId="11" fillId="0" borderId="13" xfId="0" applyNumberFormat="1" applyFont="1" applyBorder="1" applyAlignment="1">
      <alignment horizontal="center" vertical="center" wrapText="1"/>
    </xf>
    <xf numFmtId="3" fontId="3" fillId="0" borderId="37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3" fontId="3" fillId="0" borderId="38" xfId="0" applyNumberFormat="1" applyFont="1" applyBorder="1" applyAlignment="1">
      <alignment horizontal="center" vertical="center" wrapText="1"/>
    </xf>
    <xf numFmtId="3" fontId="5" fillId="0" borderId="37" xfId="0" applyNumberFormat="1" applyFont="1" applyBorder="1" applyAlignment="1">
      <alignment horizontal="center" vertical="center" wrapText="1"/>
    </xf>
    <xf numFmtId="3" fontId="5" fillId="0" borderId="40" xfId="0" applyNumberFormat="1" applyFont="1" applyBorder="1" applyAlignment="1">
      <alignment horizontal="center" vertical="center" wrapText="1"/>
    </xf>
    <xf numFmtId="3" fontId="5" fillId="0" borderId="38" xfId="0" applyNumberFormat="1" applyFont="1" applyBorder="1" applyAlignment="1">
      <alignment horizontal="center" vertical="center" wrapText="1"/>
    </xf>
    <xf numFmtId="3" fontId="5" fillId="0" borderId="41" xfId="0" applyNumberFormat="1" applyFont="1" applyBorder="1" applyAlignment="1">
      <alignment horizontal="center" vertical="center" wrapText="1"/>
    </xf>
    <xf numFmtId="49" fontId="14" fillId="0" borderId="22" xfId="3" applyNumberFormat="1" applyFont="1" applyBorder="1" applyAlignment="1">
      <alignment horizontal="center" vertical="center" wrapText="1"/>
    </xf>
    <xf numFmtId="49" fontId="14" fillId="0" borderId="8" xfId="3" applyNumberFormat="1" applyFont="1" applyBorder="1" applyAlignment="1">
      <alignment horizontal="center" vertical="center" wrapText="1"/>
    </xf>
    <xf numFmtId="49" fontId="14" fillId="0" borderId="28" xfId="3" applyNumberFormat="1" applyFont="1" applyBorder="1" applyAlignment="1">
      <alignment horizontal="center" vertical="center" wrapText="1"/>
    </xf>
    <xf numFmtId="49" fontId="14" fillId="0" borderId="24" xfId="3" applyNumberFormat="1" applyFont="1" applyBorder="1" applyAlignment="1">
      <alignment horizontal="center" vertical="center" wrapText="1"/>
    </xf>
    <xf numFmtId="49" fontId="14" fillId="0" borderId="43" xfId="3" applyNumberFormat="1" applyFont="1" applyBorder="1" applyAlignment="1">
      <alignment horizontal="center" vertical="center" wrapText="1"/>
    </xf>
    <xf numFmtId="3" fontId="1" fillId="0" borderId="37" xfId="0" applyNumberFormat="1" applyFont="1" applyBorder="1" applyAlignment="1">
      <alignment horizontal="center" vertical="center" wrapText="1"/>
    </xf>
    <xf numFmtId="4" fontId="1" fillId="0" borderId="7" xfId="0" applyNumberFormat="1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center" vertical="center" wrapText="1"/>
    </xf>
    <xf numFmtId="2" fontId="1" fillId="0" borderId="7" xfId="0" applyNumberFormat="1" applyFont="1" applyFill="1" applyBorder="1" applyAlignment="1">
      <alignment horizontal="center" vertical="center" wrapText="1"/>
    </xf>
    <xf numFmtId="4" fontId="1" fillId="0" borderId="28" xfId="0" applyNumberFormat="1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13" xfId="0" applyNumberFormat="1" applyFont="1" applyFill="1" applyBorder="1" applyAlignment="1">
      <alignment horizontal="center" vertical="center" wrapText="1"/>
    </xf>
    <xf numFmtId="4" fontId="1" fillId="0" borderId="13" xfId="0" applyNumberFormat="1" applyFont="1" applyFill="1" applyBorder="1" applyAlignment="1">
      <alignment horizontal="center" vertical="center" wrapText="1"/>
    </xf>
    <xf numFmtId="4" fontId="1" fillId="0" borderId="19" xfId="0" applyNumberFormat="1" applyFont="1" applyFill="1" applyBorder="1" applyAlignment="1">
      <alignment horizontal="center" vertical="center" wrapText="1"/>
    </xf>
    <xf numFmtId="4" fontId="3" fillId="0" borderId="17" xfId="0" applyNumberFormat="1" applyFont="1" applyFill="1" applyBorder="1" applyAlignment="1">
      <alignment horizontal="center" vertical="center" wrapText="1"/>
    </xf>
    <xf numFmtId="2" fontId="16" fillId="0" borderId="0" xfId="0" applyNumberFormat="1" applyFont="1" applyAlignment="1">
      <alignment horizontal="left" vertical="center" wrapText="1"/>
    </xf>
    <xf numFmtId="2" fontId="16" fillId="0" borderId="0" xfId="0" applyNumberFormat="1" applyFont="1" applyAlignment="1">
      <alignment horizontal="center" vertical="center" wrapText="1"/>
    </xf>
    <xf numFmtId="49" fontId="16" fillId="7" borderId="25" xfId="2" applyNumberFormat="1" applyFont="1" applyBorder="1" applyAlignment="1">
      <alignment horizontal="center" vertical="center" wrapText="1"/>
    </xf>
    <xf numFmtId="2" fontId="14" fillId="0" borderId="8" xfId="3" applyNumberFormat="1" applyFont="1" applyBorder="1" applyAlignment="1">
      <alignment horizontal="center" vertical="center" wrapText="1"/>
    </xf>
    <xf numFmtId="49" fontId="16" fillId="7" borderId="22" xfId="2" applyNumberFormat="1" applyFont="1" applyBorder="1" applyAlignment="1">
      <alignment horizontal="center" vertical="center" wrapText="1"/>
    </xf>
    <xf numFmtId="49" fontId="16" fillId="6" borderId="22" xfId="1" applyNumberFormat="1" applyFont="1" applyBorder="1" applyAlignment="1">
      <alignment horizontal="center" vertical="center" wrapText="1"/>
    </xf>
    <xf numFmtId="49" fontId="14" fillId="0" borderId="44" xfId="3" applyNumberFormat="1" applyFont="1" applyBorder="1" applyAlignment="1">
      <alignment horizontal="center" vertical="center" wrapText="1"/>
    </xf>
    <xf numFmtId="49" fontId="16" fillId="7" borderId="23" xfId="2" applyNumberFormat="1" applyFont="1" applyBorder="1" applyAlignment="1">
      <alignment horizontal="center" vertical="center" wrapText="1"/>
    </xf>
    <xf numFmtId="49" fontId="15" fillId="6" borderId="22" xfId="1" applyNumberFormat="1" applyFont="1" applyBorder="1" applyAlignment="1">
      <alignment horizontal="center" vertical="center" wrapText="1"/>
    </xf>
    <xf numFmtId="49" fontId="15" fillId="6" borderId="8" xfId="1" applyNumberFormat="1" applyFont="1" applyBorder="1" applyAlignment="1">
      <alignment horizontal="center" vertical="center" wrapText="1"/>
    </xf>
    <xf numFmtId="49" fontId="15" fillId="6" borderId="25" xfId="1" applyNumberFormat="1" applyFont="1" applyBorder="1" applyAlignment="1">
      <alignment horizontal="center" vertical="center" wrapText="1"/>
    </xf>
    <xf numFmtId="4" fontId="17" fillId="0" borderId="26" xfId="0" applyNumberFormat="1" applyFont="1" applyBorder="1" applyAlignment="1">
      <alignment horizontal="center" vertical="center" wrapText="1"/>
    </xf>
    <xf numFmtId="4" fontId="17" fillId="0" borderId="20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17" fillId="0" borderId="27" xfId="0" applyNumberFormat="1" applyFont="1" applyBorder="1" applyAlignment="1">
      <alignment horizontal="center" vertical="center" wrapText="1"/>
    </xf>
    <xf numFmtId="2" fontId="13" fillId="0" borderId="36" xfId="0" applyNumberFormat="1" applyFont="1" applyBorder="1" applyAlignment="1">
      <alignment horizontal="center" vertical="center" wrapText="1"/>
    </xf>
    <xf numFmtId="2" fontId="15" fillId="6" borderId="21" xfId="1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left" vertical="top" wrapText="1"/>
    </xf>
    <xf numFmtId="4" fontId="4" fillId="5" borderId="45" xfId="0" applyNumberFormat="1" applyFont="1" applyFill="1" applyBorder="1" applyAlignment="1">
      <alignment horizontal="right" vertical="center" wrapText="1"/>
    </xf>
    <xf numFmtId="4" fontId="4" fillId="5" borderId="11" xfId="0" applyNumberFormat="1" applyFont="1" applyFill="1" applyBorder="1" applyAlignment="1">
      <alignment horizontal="right" vertical="center" wrapText="1"/>
    </xf>
    <xf numFmtId="4" fontId="4" fillId="5" borderId="12" xfId="0" applyNumberFormat="1" applyFont="1" applyFill="1" applyBorder="1" applyAlignment="1">
      <alignment horizontal="right" vertical="center" wrapText="1"/>
    </xf>
    <xf numFmtId="4" fontId="4" fillId="2" borderId="3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4" fontId="4" fillId="2" borderId="15" xfId="0" applyNumberFormat="1" applyFont="1" applyFill="1" applyBorder="1" applyAlignment="1">
      <alignment horizontal="center" vertical="center" wrapText="1"/>
    </xf>
    <xf numFmtId="4" fontId="4" fillId="3" borderId="39" xfId="0" applyNumberFormat="1" applyFont="1" applyFill="1" applyBorder="1" applyAlignment="1">
      <alignment horizontal="righ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4" fontId="4" fillId="3" borderId="30" xfId="0" applyNumberFormat="1" applyFont="1" applyFill="1" applyBorder="1" applyAlignment="1">
      <alignment horizontal="right" vertical="top" wrapText="1"/>
    </xf>
    <xf numFmtId="4" fontId="4" fillId="2" borderId="42" xfId="0" applyNumberFormat="1" applyFont="1" applyFill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4" fillId="2" borderId="35" xfId="0" applyNumberFormat="1" applyFont="1" applyFill="1" applyBorder="1" applyAlignment="1">
      <alignment horizontal="center" vertical="center" wrapText="1"/>
    </xf>
    <xf numFmtId="4" fontId="4" fillId="3" borderId="39" xfId="0" applyNumberFormat="1" applyFont="1" applyFill="1" applyBorder="1" applyAlignment="1">
      <alignment horizontal="right" vertical="center" wrapText="1"/>
    </xf>
    <xf numFmtId="4" fontId="4" fillId="3" borderId="3" xfId="0" applyNumberFormat="1" applyFont="1" applyFill="1" applyBorder="1" applyAlignment="1">
      <alignment horizontal="right" vertical="center" wrapText="1"/>
    </xf>
    <xf numFmtId="4" fontId="4" fillId="3" borderId="4" xfId="0" applyNumberFormat="1" applyFont="1" applyFill="1" applyBorder="1" applyAlignment="1">
      <alignment horizontal="right" vertical="center" wrapText="1"/>
    </xf>
    <xf numFmtId="4" fontId="13" fillId="2" borderId="34" xfId="0" applyNumberFormat="1" applyFont="1" applyFill="1" applyBorder="1" applyAlignment="1">
      <alignment horizontal="center" vertical="center" wrapText="1"/>
    </xf>
    <xf numFmtId="4" fontId="13" fillId="2" borderId="9" xfId="0" applyNumberFormat="1" applyFont="1" applyFill="1" applyBorder="1" applyAlignment="1">
      <alignment horizontal="center" vertical="center" wrapText="1"/>
    </xf>
    <xf numFmtId="4" fontId="13" fillId="2" borderId="15" xfId="0" applyNumberFormat="1" applyFont="1" applyFill="1" applyBorder="1" applyAlignment="1">
      <alignment horizontal="center" vertical="center" wrapText="1"/>
    </xf>
    <xf numFmtId="4" fontId="13" fillId="2" borderId="42" xfId="0" applyNumberFormat="1" applyFont="1" applyFill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" fontId="1" fillId="0" borderId="0" xfId="0" applyNumberFormat="1" applyFont="1" applyAlignment="1">
      <alignment horizontal="left" vertical="top" wrapText="1"/>
    </xf>
    <xf numFmtId="2" fontId="4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26" xfId="0" applyNumberFormat="1" applyFont="1" applyFill="1" applyBorder="1" applyAlignment="1">
      <alignment horizontal="center" vertical="center" wrapText="1"/>
    </xf>
    <xf numFmtId="4" fontId="13" fillId="2" borderId="29" xfId="0" applyNumberFormat="1" applyFont="1" applyFill="1" applyBorder="1" applyAlignment="1">
      <alignment horizontal="center" vertical="center" wrapText="1"/>
    </xf>
    <xf numFmtId="4" fontId="13" fillId="2" borderId="31" xfId="0" applyNumberFormat="1" applyFont="1" applyFill="1" applyBorder="1" applyAlignment="1">
      <alignment horizontal="center" vertical="center" wrapText="1"/>
    </xf>
  </cellXfs>
  <cellStyles count="4">
    <cellStyle name="20% – paryškinimas 1" xfId="1" builtinId="30"/>
    <cellStyle name="60% – paryškinimas 3" xfId="2" builtinId="40"/>
    <cellStyle name="Hipersaitas" xfId="3" builtinId="8"/>
    <cellStyle name="Įprastas" xfId="0" builtinId="0"/>
  </cellStyles>
  <dxfs count="0"/>
  <tableStyles count="0" defaultTableStyle="TableStyleMedium2" defaultPivotStyle="PivotStyleLight16"/>
  <colors>
    <mruColors>
      <color rgb="FF0563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maps.lt/map/search/%C5%BDaliakalnio%20g.%2C%20Plok%C5%A1%C4%8D/key/czE5MjMxMw%3D%3D?c=2578126.1%2C7377667.6&amp;r=0&amp;s=2256.9943525&amp;b=orto" TargetMode="External"/><Relationship Id="rId21" Type="http://schemas.openxmlformats.org/officeDocument/2006/relationships/hyperlink" Target="https://maps.lt/map/search/Slavik%C5%B3%20seni%C5%ABnija/key/ZDE0NA%3D%3D?c=2526023.3%2C7353223.6&amp;r=0&amp;s=144447.638572&amp;b=orto" TargetMode="External"/><Relationship Id="rId42" Type="http://schemas.openxmlformats.org/officeDocument/2006/relationships/hyperlink" Target="https://maps.lt/map/search/Pami%C5%A1kio%20g.%2C%20Jan%C4%8Di%C5%B3/key/czE5NzY4Nw%3D%3D?c=2605955.5%2C7358466.6&amp;r=0&amp;s=18055.9548215&amp;b=orto" TargetMode="External"/><Relationship Id="rId47" Type="http://schemas.openxmlformats.org/officeDocument/2006/relationships/hyperlink" Target="https://maps.lt/map/search/Baltkalnio%20g.%2C%20Kudirkos%20Naumiestis/key/czE5ODkzMA%3D%3D?c=2545687.9%2C7317774.4&amp;r=0&amp;s=9027.977411&amp;b=orto" TargetMode="External"/><Relationship Id="rId63" Type="http://schemas.openxmlformats.org/officeDocument/2006/relationships/hyperlink" Target="https://maps.lt/map/search/Centrin%C4%97%20g.%2C%20%C5%BDyg%C4%97nai/key/czE5NDk2OQ%3D%3D?c=2546352%2C7370704.4&amp;r=1.650357702312834&amp;s=4513.9887055&amp;b=orto" TargetMode="External"/><Relationship Id="rId68" Type="http://schemas.openxmlformats.org/officeDocument/2006/relationships/hyperlink" Target="https://maps.lt/map/search/Gri%C5%A1kab%C5%ABd%C5%BEio%20se/key/ZDE5MQ%3D%3D?c=2578828.4%2C7333085&amp;r=0&amp;s=4513.9887055&amp;b=orto" TargetMode="External"/><Relationship Id="rId84" Type="http://schemas.openxmlformats.org/officeDocument/2006/relationships/hyperlink" Target="https://www.maps.lt/short/9ffd798c" TargetMode="External"/><Relationship Id="rId89" Type="http://schemas.openxmlformats.org/officeDocument/2006/relationships/hyperlink" Target="https://www.maps.lt/short/3a3d0344" TargetMode="External"/><Relationship Id="rId112" Type="http://schemas.openxmlformats.org/officeDocument/2006/relationships/hyperlink" Target="https://maps.lt/short/24436335" TargetMode="External"/><Relationship Id="rId16" Type="http://schemas.openxmlformats.org/officeDocument/2006/relationships/hyperlink" Target="https://maps.lt/short/1059930b" TargetMode="External"/><Relationship Id="rId107" Type="http://schemas.openxmlformats.org/officeDocument/2006/relationships/hyperlink" Target="https://www.maps.lt/short/0d2d62ef" TargetMode="External"/><Relationship Id="rId11" Type="http://schemas.openxmlformats.org/officeDocument/2006/relationships/hyperlink" Target="https://maps.lt/map/search/Suvalkie%C4%8Di%C5%B3%20g.%2C%20Gir%C4%97nai/key/czIwMDg5Mw%3D%3D?c=2566857.8%2C7353078.8&amp;r=0&amp;s=2256.9943525&amp;b=orto" TargetMode="External"/><Relationship Id="rId32" Type="http://schemas.openxmlformats.org/officeDocument/2006/relationships/hyperlink" Target="https://maps.lt/short/7b45812a" TargetMode="External"/><Relationship Id="rId37" Type="http://schemas.openxmlformats.org/officeDocument/2006/relationships/hyperlink" Target="https://maps.lt/map/search/Lek%C4%97%C4%8Di%C5%B3%20seni%C5%ABnija/key/ZDQxNA%3D%3D?c=2615212.4%2C7358149&amp;r=0&amp;s=4513.9887055&amp;b=orto" TargetMode="External"/><Relationship Id="rId53" Type="http://schemas.openxmlformats.org/officeDocument/2006/relationships/hyperlink" Target="https://maps.lt/short/b109d549" TargetMode="External"/><Relationship Id="rId58" Type="http://schemas.openxmlformats.org/officeDocument/2006/relationships/hyperlink" Target="https://maps.lt/map/search/Kri%C5%ABk%C5%B3%20se/key/ZDE0Ng%3D%3D?c=2599549.2%2C7363972.9&amp;r=0&amp;s=288895.2771445&amp;b=orto" TargetMode="External"/><Relationship Id="rId74" Type="http://schemas.openxmlformats.org/officeDocument/2006/relationships/hyperlink" Target="https://maps.lt/map/search/Mi%C5%A1ko%20g.%2C%20Gelgaudi%C5%A1kis/key/czIwMTg0Ng%3D%3D?c=2559127.5%2C7376541.9&amp;r=0&amp;s=4513.9887055&amp;b=orto" TargetMode="External"/><Relationship Id="rId79" Type="http://schemas.openxmlformats.org/officeDocument/2006/relationships/hyperlink" Target="https://maps.lt/map/search/Au%C5%A1ros%20g.%2C%20%C5%A0akiai/key/czE5MjY2OA%3D%3D?c=2566366.7%2C7353519.2&amp;r=0&amp;s=4513.9887055&amp;b=orto" TargetMode="External"/><Relationship Id="rId102" Type="http://schemas.openxmlformats.org/officeDocument/2006/relationships/hyperlink" Target="https://www.maps.lt/short/9741d1fb" TargetMode="External"/><Relationship Id="rId5" Type="http://schemas.openxmlformats.org/officeDocument/2006/relationships/hyperlink" Target="https://maps.lt/map/search/Ber%C5%BE%C5%B3%20g.%2C%20%C5%A0akiai/key/czE5MjUxNw%3D%3D?c=2563395.9%2C7353629.6&amp;r=0&amp;s=4513.9887055&amp;b=orto" TargetMode="External"/><Relationship Id="rId90" Type="http://schemas.openxmlformats.org/officeDocument/2006/relationships/hyperlink" Target="https://www.maps.lt/short/0c9f1d9c" TargetMode="External"/><Relationship Id="rId95" Type="http://schemas.openxmlformats.org/officeDocument/2006/relationships/hyperlink" Target="https://www.maps.lt/short/01b16310" TargetMode="External"/><Relationship Id="rId22" Type="http://schemas.openxmlformats.org/officeDocument/2006/relationships/hyperlink" Target="https://maps.lt/map/search/Ateities%20g.%2C%20Ver%C5%A1iai/key/czE5NDMzOA%3D%3D?c=2567687.6%2C7335722.5&amp;r=0&amp;s=18055.9548215&amp;b=orto" TargetMode="External"/><Relationship Id="rId27" Type="http://schemas.openxmlformats.org/officeDocument/2006/relationships/hyperlink" Target="https://maps.lt/short/1e3a8461" TargetMode="External"/><Relationship Id="rId43" Type="http://schemas.openxmlformats.org/officeDocument/2006/relationships/hyperlink" Target="https://maps.lt/map/search/Tiesos%20g.%2C%20Kudirkos/key/czE5ODU1Ng%3D%3D?c=2545269.2%2C7318309.5&amp;r=0&amp;s=4513.9887055&amp;b=orto" TargetMode="External"/><Relationship Id="rId48" Type="http://schemas.openxmlformats.org/officeDocument/2006/relationships/hyperlink" Target="https://maps.lt/map/search/Liep%C5%B3%20g.%2C%20Tarpu/key/czE5NTEzOA%3D%3D?c=2552593.3%2C7320481&amp;r=0&amp;s=4513.9887055&amp;b=orto" TargetMode="External"/><Relationship Id="rId64" Type="http://schemas.openxmlformats.org/officeDocument/2006/relationships/hyperlink" Target="https://maps.lt/map/search/Kiduli%C5%B3%20seni%C5%ABnija/key/ZDQ2Mw%3D%3D?c=2528338.9%2C7372191.5&amp;r=1.650357702312834&amp;s=288895.2771445&amp;b=orto" TargetMode="External"/><Relationship Id="rId69" Type="http://schemas.openxmlformats.org/officeDocument/2006/relationships/hyperlink" Target="https://maps.lt/map/search/Sod%C5%B3%20g.%2C%20Gelgaudi%C5%A1kis/key/czE4NjY2OQ%3D%3D?c=2554294.1%2C7375720.6&amp;r=0&amp;s=18055.9548215&amp;b=orto" TargetMode="External"/><Relationship Id="rId113" Type="http://schemas.openxmlformats.org/officeDocument/2006/relationships/hyperlink" Target="https://www.maps.lt/short/72dec789" TargetMode="External"/><Relationship Id="rId80" Type="http://schemas.openxmlformats.org/officeDocument/2006/relationships/hyperlink" Target="https://maps.lt/map/search/Jogini%C5%A1ki%C5%B3%20g.%20/key/czE5ODg2Ng%3D%3D?c=2604213.7%2C7374156.3&amp;r=0&amp;s=4513.9887055&amp;b=topo" TargetMode="External"/><Relationship Id="rId85" Type="http://schemas.openxmlformats.org/officeDocument/2006/relationships/hyperlink" Target="https://www.maps.lt/short/226b0390" TargetMode="External"/><Relationship Id="rId12" Type="http://schemas.openxmlformats.org/officeDocument/2006/relationships/hyperlink" Target="https://maps.lt/map/search/Alyv%C5%B3%20g.%2C%20Duobi%C5%A1kiai/key/czE5MTg0MQ%3D%3D?c=2554400.9%2C7354197&amp;r=0&amp;s=9027.977411&amp;b=orto" TargetMode="External"/><Relationship Id="rId17" Type="http://schemas.openxmlformats.org/officeDocument/2006/relationships/hyperlink" Target="https://maps.lt/map/search/%C5%A0aki%C5%B3%20seni%C5%ABnija/key/ZDE5Mw%3D%3D?c=2554528.6%2C7354177.4&amp;r=0&amp;s=144447.638572&amp;b=orto" TargetMode="External"/><Relationship Id="rId33" Type="http://schemas.openxmlformats.org/officeDocument/2006/relationships/hyperlink" Target="https://maps.lt/map/search/Mokyklos%20g.%2C%20LIepalot%C5%B3/key/czE5NTMxOQ%3D%3D?c=2588047.7%2C7351491.6&amp;r=0&amp;s=4513.9887055&amp;b=orto" TargetMode="External"/><Relationship Id="rId38" Type="http://schemas.openxmlformats.org/officeDocument/2006/relationships/hyperlink" Target="https://maps.lt/map/search/%5Eilo%20g.%2C%20Lek%C4%97%C4%8Diai%2C%20Lek%C4%97%C4%8Di%C5%B3%20sen.%2C%20%C5%A0aki%C5%B3%20r.%20sav./key/czE5NTEyNw%3D%3D?c=2614783.7%2C7358378.9&amp;r=0&amp;s=9027.977411&amp;b=orto" TargetMode="External"/><Relationship Id="rId59" Type="http://schemas.openxmlformats.org/officeDocument/2006/relationships/hyperlink" Target="https://maps.lt/map/search/Tilto%20g.%2C%20Kiduliai%2C%20Kiduli%C5%B3%20sen.%2C%20%C5%A0aki%C5%B3%20r.%20sav./key/czE5ODg2OQ%3D%3D?c=2535152.5%2C7374214&amp;r=0&amp;s=9027.977411&amp;b=orto" TargetMode="External"/><Relationship Id="rId103" Type="http://schemas.openxmlformats.org/officeDocument/2006/relationships/hyperlink" Target="https://www.maps.lt/short/a3e6f497" TargetMode="External"/><Relationship Id="rId108" Type="http://schemas.openxmlformats.org/officeDocument/2006/relationships/hyperlink" Target="https://www.maps.lt/short/670102f8" TargetMode="External"/><Relationship Id="rId54" Type="http://schemas.openxmlformats.org/officeDocument/2006/relationships/hyperlink" Target="https://maps.lt/short/e6c3ef80" TargetMode="External"/><Relationship Id="rId70" Type="http://schemas.openxmlformats.org/officeDocument/2006/relationships/hyperlink" Target="https://maps.lt/map/search/Gelgaudi%C5%A1kis/key/cDI4Mzkx?c=2554294.1%2C7375720.6&amp;r=0&amp;s=18055.9548215&amp;b=orto" TargetMode="External"/><Relationship Id="rId75" Type="http://schemas.openxmlformats.org/officeDocument/2006/relationships/hyperlink" Target="https://maps.lt/map/search/Gelgaudi%C5%A1kio%20seni%C5%AB/key/ZDQxNQ%3D%3D?c=2565002.1%2C7318752.9&amp;r=0&amp;s=288895.2771445&amp;b=topo&amp;bl=false" TargetMode="External"/><Relationship Id="rId91" Type="http://schemas.openxmlformats.org/officeDocument/2006/relationships/hyperlink" Target="https://www.maps.lt/short/cdf132b5" TargetMode="External"/><Relationship Id="rId96" Type="http://schemas.openxmlformats.org/officeDocument/2006/relationships/hyperlink" Target="https://www.maps.lt/short/d88f5a34" TargetMode="External"/><Relationship Id="rId1" Type="http://schemas.openxmlformats.org/officeDocument/2006/relationships/hyperlink" Target="https://maps.lt/map/search/Vy%C5%BEupiniai/key/cDQxOTg2?c=2570282.1%2C7321188.6&amp;r=0&amp;s=36111.909643&amp;b=orto" TargetMode="External"/><Relationship Id="rId6" Type="http://schemas.openxmlformats.org/officeDocument/2006/relationships/hyperlink" Target="https://maps.lt/short/2ce4ea22" TargetMode="External"/><Relationship Id="rId15" Type="http://schemas.openxmlformats.org/officeDocument/2006/relationships/hyperlink" Target="https://maps.lt/short/b8d6e8c8" TargetMode="External"/><Relationship Id="rId23" Type="http://schemas.openxmlformats.org/officeDocument/2006/relationships/hyperlink" Target="https://maps.lt/short/03f0eddb" TargetMode="External"/><Relationship Id="rId28" Type="http://schemas.openxmlformats.org/officeDocument/2006/relationships/hyperlink" Target="https://maps.lt/short/13f37120" TargetMode="External"/><Relationship Id="rId36" Type="http://schemas.openxmlformats.org/officeDocument/2006/relationships/hyperlink" Target="https://maps.lt/map/search/Luk%C5%A1i%C5%B3%20seni%C5%ABnija%2C%20%C5%A0aki%C5%B3%20r.%20sav./key/ZDE0NQ%3D%3D?c=2603357.7%2C7361976.5&amp;r=0&amp;s=144447.638572&amp;b=orto" TargetMode="External"/><Relationship Id="rId49" Type="http://schemas.openxmlformats.org/officeDocument/2006/relationships/hyperlink" Target="https://maps.lt/map/search/Kranto%20g.%2C%20Kudirkos%20Naumiestis%2C%20Kudirkos%20Naumies%C4%8Dio%20sen.%2C%20%C5%A0aki%C5%B3%20r.%20sav./key/czE5ODU1Mg%3D%3D?c=2544860.6%2C7317472.6&amp;r=0&amp;s=9027.977411&amp;b=orto" TargetMode="External"/><Relationship Id="rId57" Type="http://schemas.openxmlformats.org/officeDocument/2006/relationships/hyperlink" Target="https://maps.lt/map/search/Sm%C4%97lio%20g.%2C%20Kri%C5%ABkai%2C%20Kri%C5%ABk%C5%B3%20sen.%2C%20%C5%A0aki%C5%B3%20r.%20sav./key/czE5ODkyOQ%3D%3D?c=2605930.4%2C7374913.1&amp;r=0&amp;s=4513.9887055&amp;b=orto" TargetMode="External"/><Relationship Id="rId106" Type="http://schemas.openxmlformats.org/officeDocument/2006/relationships/hyperlink" Target="https://www.maps.lt/short/6ca22fdc" TargetMode="External"/><Relationship Id="rId114" Type="http://schemas.openxmlformats.org/officeDocument/2006/relationships/hyperlink" Target="https://maps.lt/short/edac1f76" TargetMode="External"/><Relationship Id="rId10" Type="http://schemas.openxmlformats.org/officeDocument/2006/relationships/hyperlink" Target="https://maps.lt/map/search/Degu%C4%8Di%C5%B3%20g.%2C%20/key/czE5MTY1NQ%3D%3D?c=2563107%2C7353413.8&amp;r=0&amp;s=2256.9943525&amp;b=orto" TargetMode="External"/><Relationship Id="rId31" Type="http://schemas.openxmlformats.org/officeDocument/2006/relationships/hyperlink" Target="https://maps.lt/map/search/Pavasario%20g.%2C%20Luk%C5%A1iai/key/czE5NTc2NA%3D%3D?c=2580195.2%2C7352079&amp;r=0&amp;s=4513.9887055&amp;b=orto" TargetMode="External"/><Relationship Id="rId44" Type="http://schemas.openxmlformats.org/officeDocument/2006/relationships/hyperlink" Target="https://maps.lt/map/search/Trumposios%20g.%2C%20Tur%C4%8Di/key/czE5MzMxMQ%3D%3D?c=2544722.3%2C7335833.4&amp;r=0&amp;s=2256.9943525&amp;b=orto" TargetMode="External"/><Relationship Id="rId52" Type="http://schemas.openxmlformats.org/officeDocument/2006/relationships/hyperlink" Target="https://maps.lt/short/67815c56" TargetMode="External"/><Relationship Id="rId60" Type="http://schemas.openxmlformats.org/officeDocument/2006/relationships/hyperlink" Target="https://maps.lt/map/search/Liep%C5%B3%20g.%2C%20Voveriai%2C%20Kiduli%C5%B3%20sen.%2C%20%C5%A0aki%C5%B3%20r.%20sav./key/czE5NDUyOA%3D%3D?c=2544847.1%2C7363521.5&amp;r=0&amp;s=4513.9887055&amp;b=orto" TargetMode="External"/><Relationship Id="rId65" Type="http://schemas.openxmlformats.org/officeDocument/2006/relationships/hyperlink" Target="https://maps.lt/map/search/Ryto%20g.%2C%20Gri%C5%A1kab%C5%AB/key/czE5MzUzOQ%3D%3D?c=2578490.5%2C7333406.6&amp;r=0&amp;s=4513.9887055&amp;b=orto" TargetMode="External"/><Relationship Id="rId73" Type="http://schemas.openxmlformats.org/officeDocument/2006/relationships/hyperlink" Target="https://maps.lt/map/search/Kranto%20g.%2C%20Gelgaudi%C5%A1kis/key/czE4NTk2OA%3D%3D?c=2556914.4%2C7376949.6&amp;r=0&amp;s=2256.9943525&amp;b=orto" TargetMode="External"/><Relationship Id="rId78" Type="http://schemas.openxmlformats.org/officeDocument/2006/relationships/hyperlink" Target="https://maps.lt/map/search/Barzd%C5%B3%20seni%C5%AB/key/ZDE5Mg%3D%3D?c=2581436.1%2C7319820.6&amp;r=0&amp;s=18055.9548215&amp;b=topo&amp;bl=false" TargetMode="External"/><Relationship Id="rId81" Type="http://schemas.openxmlformats.org/officeDocument/2006/relationships/hyperlink" Target="https://maps.lt/short/70931e57" TargetMode="External"/><Relationship Id="rId86" Type="http://schemas.openxmlformats.org/officeDocument/2006/relationships/hyperlink" Target="https://www.maps.lt/short/c8e2a2ed" TargetMode="External"/><Relationship Id="rId94" Type="http://schemas.openxmlformats.org/officeDocument/2006/relationships/hyperlink" Target="https://www.maps.lt/short/aaba1b13" TargetMode="External"/><Relationship Id="rId99" Type="http://schemas.openxmlformats.org/officeDocument/2006/relationships/hyperlink" Target="https://www.maps.lt/short/68203d6c" TargetMode="External"/><Relationship Id="rId101" Type="http://schemas.openxmlformats.org/officeDocument/2006/relationships/hyperlink" Target="https://www.maps.lt/short/8954de9a" TargetMode="External"/><Relationship Id="rId4" Type="http://schemas.openxmlformats.org/officeDocument/2006/relationships/hyperlink" Target="https://maps.lt/map/search/%C5%BDalgirio%20g.%2C%20%C5%A0akiai/key/czE4OTAzMw%3D%3D?c=2566106.3%2C7354143.8&amp;r=0&amp;s=4513.9887055&amp;b=orto" TargetMode="External"/><Relationship Id="rId9" Type="http://schemas.openxmlformats.org/officeDocument/2006/relationships/hyperlink" Target="https://maps.lt/short/0471335d" TargetMode="External"/><Relationship Id="rId13" Type="http://schemas.openxmlformats.org/officeDocument/2006/relationships/hyperlink" Target="https://maps.lt/map/search/Sod%C5%B3%20g.%2C%20%C5%A0akiai%2C%20%C5%A0aki%C5%B3%20sen.%2C%20%C5%A0aki%C5%B3%20r.%20sav./key/czE5MzMyMw%3D%3D?c=2564188.6%2C7351156.5&amp;r=0&amp;s=9027.977411&amp;b=orto" TargetMode="External"/><Relationship Id="rId18" Type="http://schemas.openxmlformats.org/officeDocument/2006/relationships/hyperlink" Target="https://maps.lt/map/search/Kalno%20g.%2C%20Sudarg/key/czE5MzM1NQ%3D%3D?c=2520373.4%2C7370097&amp;r=0&amp;s=2256.9943525&amp;b=orto" TargetMode="External"/><Relationship Id="rId39" Type="http://schemas.openxmlformats.org/officeDocument/2006/relationships/hyperlink" Target="https://maps.lt/map/search/Ateities%20g.%2C%20Lek%C4%97%C4%8Diai%2C%20Lek%C4%97%C4%8Di%C5%B3%20sen.%2C%20%C5%A0aki%C5%B3%20r.%20sav./key/czE5NTczMg%3D%3D?c=2615160.3%2C7357751.9&amp;r=0&amp;s=9027.977411&amp;b=orto" TargetMode="External"/><Relationship Id="rId109" Type="http://schemas.openxmlformats.org/officeDocument/2006/relationships/hyperlink" Target="https://www.maps.lt/short/8b793018" TargetMode="External"/><Relationship Id="rId34" Type="http://schemas.openxmlformats.org/officeDocument/2006/relationships/hyperlink" Target="https://maps.lt/map/search/Topoli%C5%B3%20g.%2C%20Luk%C5%A1iai%2C%20Luk%C5%A1i%C5%B3%20sen.%2C%20%C5%A0aki%C5%B3%20r.%20sav./key/czE5NTc2NQ%3D%3D?c=2578986.6%2C7352987.4&amp;r=0&amp;s=9027.977411&amp;b=orto" TargetMode="External"/><Relationship Id="rId50" Type="http://schemas.openxmlformats.org/officeDocument/2006/relationships/hyperlink" Target="https://maps.lt/short/33c71d4a" TargetMode="External"/><Relationship Id="rId55" Type="http://schemas.openxmlformats.org/officeDocument/2006/relationships/hyperlink" Target="https://maps.lt/short/a0a1a34b" TargetMode="External"/><Relationship Id="rId76" Type="http://schemas.openxmlformats.org/officeDocument/2006/relationships/hyperlink" Target="https://maps.lt/short/640eccb2" TargetMode="External"/><Relationship Id="rId97" Type="http://schemas.openxmlformats.org/officeDocument/2006/relationships/hyperlink" Target="https://www.maps.lt/short/5297547c" TargetMode="External"/><Relationship Id="rId104" Type="http://schemas.openxmlformats.org/officeDocument/2006/relationships/hyperlink" Target="https://maps.lt/short/e10eab49" TargetMode="External"/><Relationship Id="rId7" Type="http://schemas.openxmlformats.org/officeDocument/2006/relationships/hyperlink" Target="https://maps.lt/map/search/%C5%BDiedo%20g.%2C%20I%C5%BEdagai%20/key/czE5MzY5OA%3D%3D?c=2563774.7%2C7345492.9&amp;r=0&amp;s=4513.9887055&amp;b=orto" TargetMode="External"/><Relationship Id="rId71" Type="http://schemas.openxmlformats.org/officeDocument/2006/relationships/hyperlink" Target="https://maps.lt/short/ad3cc980" TargetMode="External"/><Relationship Id="rId92" Type="http://schemas.openxmlformats.org/officeDocument/2006/relationships/hyperlink" Target="https://www.maps.lt/short/162068c4" TargetMode="External"/><Relationship Id="rId2" Type="http://schemas.openxmlformats.org/officeDocument/2006/relationships/hyperlink" Target="https://maps.lt/map/search/%C5%BDvirg%C5%BEdai%C4%8Di%C5%B3%20seni%C5%ABnija%2C%20%C5%A0aki%C5%B3%20r.%20sav./key/ZDE5MA%3D%3D?c=2555870.6%2C7322104.4&amp;r=0&amp;s=144447.638572&amp;b=orto" TargetMode="External"/><Relationship Id="rId29" Type="http://schemas.openxmlformats.org/officeDocument/2006/relationships/hyperlink" Target="https://maps.lt/map/search/Plok%C5%A1%C4%8Di%C5%B3%20seni%C5%ABnija/key/ZDI1Ng%3D%3D?c=2570876.8%2C7373344.3&amp;r=0&amp;s=144447.638572&amp;b=orto" TargetMode="External"/><Relationship Id="rId24" Type="http://schemas.openxmlformats.org/officeDocument/2006/relationships/hyperlink" Target="https://maps.lt/short/300e55ab" TargetMode="External"/><Relationship Id="rId40" Type="http://schemas.openxmlformats.org/officeDocument/2006/relationships/hyperlink" Target="https://maps.lt/short/a17bbf87" TargetMode="External"/><Relationship Id="rId45" Type="http://schemas.openxmlformats.org/officeDocument/2006/relationships/hyperlink" Target="https://maps.lt/map/search/Ber%C5%BE%C5%B3%20g.%2C%20Totorvie%C4%8Diai/key/czE5NTE0MQ%3D%3D?c=2550274.6%2C7340851.7&amp;r=1.650357702312834&amp;s=2256.9943525&amp;b=orto" TargetMode="External"/><Relationship Id="rId66" Type="http://schemas.openxmlformats.org/officeDocument/2006/relationships/hyperlink" Target="https://maps.lt/map/search/Draugyst%C4%97s%20g.%20Grii%C5%A1/key/czE5NTAzMQ%3D%3D?c=2578480.9%2C7333401.8&amp;r=0&amp;s=4513.9887055&amp;b=orto" TargetMode="External"/><Relationship Id="rId87" Type="http://schemas.openxmlformats.org/officeDocument/2006/relationships/hyperlink" Target="https://www.maps.lt/short/f9e74873" TargetMode="External"/><Relationship Id="rId110" Type="http://schemas.openxmlformats.org/officeDocument/2006/relationships/hyperlink" Target="https://www.maps.lt/short/7bee454b" TargetMode="External"/><Relationship Id="rId115" Type="http://schemas.openxmlformats.org/officeDocument/2006/relationships/hyperlink" Target="https://maps.lt/short/45fc3114" TargetMode="External"/><Relationship Id="rId61" Type="http://schemas.openxmlformats.org/officeDocument/2006/relationships/hyperlink" Target="https://maps.lt/map/search/Lauko%20g.%2C%20Voveriai%2C%20Kiduli%C5%B3%20sen.%2C%20%C5%A0aki%C5%B3%20r.%20sav./key/czE5MzM2Ng%3D%3D?c=2545230.5%2C7363501.8&amp;r=0&amp;s=9027.977411&amp;b=orto" TargetMode="External"/><Relationship Id="rId82" Type="http://schemas.openxmlformats.org/officeDocument/2006/relationships/hyperlink" Target="https://maps.lt/map/search/Alyv%C5%B3%20g.%2C%20Totorvie/key/czIwNjMxNw%3D%3D?b=orto&amp;c=2550304.1%2C7342230.8&amp;r=0&amp;s=9027.977411+" TargetMode="External"/><Relationship Id="rId19" Type="http://schemas.openxmlformats.org/officeDocument/2006/relationships/hyperlink" Target="https://maps.lt/map/search/Ka%C5%A1ton%C5%B3%20g.%2C%20Pervaznin/key/czIyMDA2OQ%3D%3D?c=2529044.8%2C7369533.9&amp;r=0&amp;s=36111.909643&amp;b=orto" TargetMode="External"/><Relationship Id="rId14" Type="http://schemas.openxmlformats.org/officeDocument/2006/relationships/hyperlink" Target="https://maps.lt/map/search/Nepriklausomyb%C4%97s%20%20g.%2C%20%C5%A0akiai%2C%20%C5%A0aki%C5%B3%20sen.%2C%20%C5%A0aki%C5%B3%20r.%20sav./key/czE5MzE1NQ%3D%3D?c=2564881.8%2C7353325.1&amp;r=0&amp;s=18055.9548215&amp;b=orto" TargetMode="External"/><Relationship Id="rId30" Type="http://schemas.openxmlformats.org/officeDocument/2006/relationships/hyperlink" Target="https://maps.lt/map/search/siesarties%20g.%2C%20Luk%C5%A1iai%2C%20/key/czE5MzEyOA%3D%3D?c=2579950.4%2C7352010.3&amp;r=0&amp;s=9027.977411&amp;b=orto" TargetMode="External"/><Relationship Id="rId35" Type="http://schemas.openxmlformats.org/officeDocument/2006/relationships/hyperlink" Target="https://maps.lt/map/search/Pergal%C4%97s%20g.%2C%20Luk%C5%A1iai%2C%20Luk%C5%A1i%C5%B3%20sen.%2C%20%C5%A0aki%C5%B3%20r.%20sav./key/czE5NTc2Mg%3D%3D?c=2578386.5%2C7352455.2&amp;r=0&amp;s=4513.9887055&amp;b=orto" TargetMode="External"/><Relationship Id="rId56" Type="http://schemas.openxmlformats.org/officeDocument/2006/relationships/hyperlink" Target="https://maps.lt/map/search/Kalno%20g.%2C%20%C5%BEemoji%20/key/czE5MjgxMw%3D%3D?c=2611925.3%2C7370872.7&amp;r=0&amp;s=4513.9887055&amp;b=orto" TargetMode="External"/><Relationship Id="rId77" Type="http://schemas.openxmlformats.org/officeDocument/2006/relationships/hyperlink" Target="https://maps.lt/map/search/Ba%C5%BEny%C4%8Dios%20g.%2C%20Barzda/key/czE5MjYyOQ%3D%3D?b=topo&amp;bl=false&amp;c=2582082%2C7319276.7&amp;r=0&amp;s=4513.9887055" TargetMode="External"/><Relationship Id="rId100" Type="http://schemas.openxmlformats.org/officeDocument/2006/relationships/hyperlink" Target="https://www.maps.lt/short/2b9c09e0" TargetMode="External"/><Relationship Id="rId105" Type="http://schemas.openxmlformats.org/officeDocument/2006/relationships/hyperlink" Target="https://www.maps.lt/short/421c31bb" TargetMode="External"/><Relationship Id="rId8" Type="http://schemas.openxmlformats.org/officeDocument/2006/relationships/hyperlink" Target="https://maps.lt/map/search/Bij%C5%ABn%C5%B3%20g.%2C%20%C5%A0akiai/key/czE5MjcxMQ%3D%3D?c=2564935.4%2C7353896.6&amp;r=0&amp;s=2256.9943525&amp;b=orto" TargetMode="External"/><Relationship Id="rId51" Type="http://schemas.openxmlformats.org/officeDocument/2006/relationships/hyperlink" Target="https://maps.lt/map/search/Kudirkos%20Naumies%C4%8Dio%20seni%C5%ABnija/key/ZDUxNg%3D%3D?c=2541322.7%2C7331531.6&amp;r=0&amp;s=144447.638572&amp;b=orto" TargetMode="External"/><Relationship Id="rId72" Type="http://schemas.openxmlformats.org/officeDocument/2006/relationships/hyperlink" Target="https://maps.lt/map/search/LIep%C5%B3%20g.%2C%20Daukanti%C5%A1kiai/key/czE4NjA2NQ%3D%3D?c=2558590.7%2C7375483.2&amp;r=0&amp;s=4513.9887055&amp;b=orto" TargetMode="External"/><Relationship Id="rId93" Type="http://schemas.openxmlformats.org/officeDocument/2006/relationships/hyperlink" Target="https://www.maps.lt/short/60d64f78" TargetMode="External"/><Relationship Id="rId98" Type="http://schemas.openxmlformats.org/officeDocument/2006/relationships/hyperlink" Target="https://www.maps.lt/short/3633ce9d" TargetMode="External"/><Relationship Id="rId3" Type="http://schemas.openxmlformats.org/officeDocument/2006/relationships/hyperlink" Target="https://maps.lt/map/?c=2562243.9%2C7362629.1&amp;r=0&amp;s=9027.977411&amp;b=orto" TargetMode="External"/><Relationship Id="rId25" Type="http://schemas.openxmlformats.org/officeDocument/2006/relationships/hyperlink" Target="https://maps.lt/map/search/Sintaut%C5%B3%20seni%C5%ABnija/key/ZDM1Ng%3D%3D?c=2552177.9%2C7334421.8&amp;r=0&amp;s=144447.638572&amp;b=orto" TargetMode="External"/><Relationship Id="rId46" Type="http://schemas.openxmlformats.org/officeDocument/2006/relationships/hyperlink" Target="https://maps.lt/map/search/Aukspirtos%20g.%2C%20Panoviai/key/czIwNTc3Ng%3D%3D?c=2542102.4%2C7344390.3&amp;r=0&amp;s=18055.9548215&amp;b=orto" TargetMode="External"/><Relationship Id="rId67" Type="http://schemas.openxmlformats.org/officeDocument/2006/relationships/hyperlink" Target="https://maps.lt/map/search/Lauko%20g.%20Pata%C5%A1in%C4%97/key/czE5MjMwOA%3D%3D?c=2587788.3%2C7328635&amp;r=0&amp;s=2256.9943525&amp;b=orto" TargetMode="External"/><Relationship Id="rId116" Type="http://schemas.openxmlformats.org/officeDocument/2006/relationships/printerSettings" Target="../printerSettings/printerSettings1.bin"/><Relationship Id="rId20" Type="http://schemas.openxmlformats.org/officeDocument/2006/relationships/hyperlink" Target="https://maps.lt/map/search/Sudargo%20seni%C5%ABnija/key/ZDMwNQ%3D%3D?c=2516674.5%2C7365202.7&amp;r=0&amp;s=144447.638572&amp;b=orto" TargetMode="External"/><Relationship Id="rId41" Type="http://schemas.openxmlformats.org/officeDocument/2006/relationships/hyperlink" Target="https://maps.lt/short/a6abd5b5" TargetMode="External"/><Relationship Id="rId62" Type="http://schemas.openxmlformats.org/officeDocument/2006/relationships/hyperlink" Target="https://maps.lt/map/search/Gandr%C5%B3%20g.%2C%20%C5%BDyg%C4%97nai/key/czIwMzk5MA%3D%3D?c=2546437.6%2C7370802.8&amp;r=1.650357702312834&amp;s=2256.9943525&amp;b=orto" TargetMode="External"/><Relationship Id="rId83" Type="http://schemas.openxmlformats.org/officeDocument/2006/relationships/hyperlink" Target="https://maps.lt/map/search/Augustavo%20g.%2C%20Gir%C4%97nai/key/czE5OTk2Mg%3D%3D?b=orto&amp;c=2567451.5%2C7353634&amp;r=0&amp;s=2256.9943525" TargetMode="External"/><Relationship Id="rId88" Type="http://schemas.openxmlformats.org/officeDocument/2006/relationships/hyperlink" Target="https://www.maps.lt/short/4a23624a" TargetMode="External"/><Relationship Id="rId111" Type="http://schemas.openxmlformats.org/officeDocument/2006/relationships/hyperlink" Target="https://www.maps.lt/short/2afa5a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14B68-851A-4E9C-8706-EB07F5F32B31}">
  <sheetPr>
    <pageSetUpPr fitToPage="1"/>
  </sheetPr>
  <dimension ref="A1:L140"/>
  <sheetViews>
    <sheetView tabSelected="1" topLeftCell="A100" zoomScale="112" zoomScaleNormal="112" workbookViewId="0">
      <selection activeCell="B113" sqref="B113"/>
    </sheetView>
  </sheetViews>
  <sheetFormatPr defaultColWidth="9.140625" defaultRowHeight="15.75" x14ac:dyDescent="0.25"/>
  <cols>
    <col min="1" max="1" width="4.28515625" style="1" customWidth="1"/>
    <col min="2" max="2" width="49.42578125" style="3" customWidth="1"/>
    <col min="3" max="3" width="12.140625" style="3" customWidth="1"/>
    <col min="4" max="4" width="11.140625" style="3" customWidth="1"/>
    <col min="5" max="5" width="12.140625" style="3" customWidth="1"/>
    <col min="6" max="6" width="15.7109375" style="3" customWidth="1"/>
    <col min="7" max="7" width="17.7109375" style="3" customWidth="1"/>
    <col min="8" max="8" width="15.85546875" style="80" customWidth="1"/>
    <col min="9" max="16384" width="9.140625" style="3"/>
  </cols>
  <sheetData>
    <row r="1" spans="1:10" x14ac:dyDescent="0.25">
      <c r="B1" s="2"/>
      <c r="C1" s="53"/>
      <c r="D1" s="53"/>
      <c r="E1" s="53"/>
      <c r="F1" s="53" t="s">
        <v>0</v>
      </c>
      <c r="G1" s="53"/>
      <c r="H1" s="79"/>
      <c r="I1" s="53"/>
      <c r="J1" s="53"/>
    </row>
    <row r="2" spans="1:10" x14ac:dyDescent="0.25">
      <c r="B2" s="2"/>
      <c r="C2" s="53"/>
      <c r="D2" s="53"/>
      <c r="E2" s="53"/>
      <c r="F2" s="117" t="s">
        <v>1</v>
      </c>
      <c r="G2" s="118"/>
      <c r="H2" s="118"/>
      <c r="I2" s="53"/>
      <c r="J2" s="53"/>
    </row>
    <row r="3" spans="1:10" x14ac:dyDescent="0.25">
      <c r="B3" s="2"/>
      <c r="C3" s="53"/>
      <c r="D3" s="53"/>
      <c r="E3" s="53"/>
      <c r="F3" s="117" t="s">
        <v>216</v>
      </c>
      <c r="G3" s="118"/>
      <c r="H3" s="118"/>
      <c r="I3" s="53"/>
      <c r="J3" s="53"/>
    </row>
    <row r="4" spans="1:10" x14ac:dyDescent="0.25">
      <c r="B4" s="4"/>
      <c r="D4" s="121"/>
      <c r="E4" s="121"/>
      <c r="F4" s="121"/>
      <c r="G4" s="121"/>
    </row>
    <row r="5" spans="1:10" ht="39.950000000000003" customHeight="1" thickBot="1" x14ac:dyDescent="0.3">
      <c r="A5" s="120" t="s">
        <v>180</v>
      </c>
      <c r="B5" s="120"/>
      <c r="C5" s="120"/>
      <c r="D5" s="120"/>
      <c r="E5" s="120"/>
      <c r="F5" s="120"/>
      <c r="G5" s="120"/>
    </row>
    <row r="6" spans="1:10" ht="45" customHeight="1" thickBot="1" x14ac:dyDescent="0.3">
      <c r="A6" s="90" t="s">
        <v>2</v>
      </c>
      <c r="B6" s="91" t="s">
        <v>3</v>
      </c>
      <c r="C6" s="92">
        <v>2026</v>
      </c>
      <c r="D6" s="92">
        <v>2027</v>
      </c>
      <c r="E6" s="92">
        <v>2028</v>
      </c>
      <c r="F6" s="92" t="s">
        <v>248</v>
      </c>
      <c r="G6" s="93" t="s">
        <v>4</v>
      </c>
      <c r="H6" s="94" t="s">
        <v>22</v>
      </c>
    </row>
    <row r="7" spans="1:10" ht="16.5" customHeight="1" thickBot="1" x14ac:dyDescent="0.3">
      <c r="A7" s="112" t="s">
        <v>5</v>
      </c>
      <c r="B7" s="113"/>
      <c r="C7" s="122"/>
      <c r="D7" s="122"/>
      <c r="E7" s="122"/>
      <c r="F7" s="122"/>
      <c r="G7" s="114"/>
      <c r="H7" s="95" t="s">
        <v>24</v>
      </c>
    </row>
    <row r="8" spans="1:10" ht="18.75" customHeight="1" x14ac:dyDescent="0.25">
      <c r="A8" s="56">
        <v>1</v>
      </c>
      <c r="B8" s="44" t="s">
        <v>217</v>
      </c>
      <c r="C8" s="5" t="s">
        <v>36</v>
      </c>
      <c r="D8" s="57"/>
      <c r="E8" s="57"/>
      <c r="F8" s="5">
        <f>810*3</f>
        <v>2430</v>
      </c>
      <c r="G8" s="71">
        <v>326.29700000000003</v>
      </c>
      <c r="H8" s="63" t="s">
        <v>25</v>
      </c>
    </row>
    <row r="9" spans="1:10" ht="31.5" x14ac:dyDescent="0.25">
      <c r="A9" s="58">
        <v>2</v>
      </c>
      <c r="B9" s="49" t="s">
        <v>218</v>
      </c>
      <c r="C9" s="14"/>
      <c r="D9" s="13" t="s">
        <v>23</v>
      </c>
      <c r="E9" s="13"/>
      <c r="F9" s="14">
        <f>800*4.5</f>
        <v>3600</v>
      </c>
      <c r="G9" s="29">
        <v>20</v>
      </c>
      <c r="H9" s="66" t="s">
        <v>26</v>
      </c>
    </row>
    <row r="10" spans="1:10" ht="16.5" customHeight="1" thickBot="1" x14ac:dyDescent="0.3">
      <c r="A10" s="109" t="s">
        <v>6</v>
      </c>
      <c r="B10" s="110"/>
      <c r="C10" s="110"/>
      <c r="D10" s="110"/>
      <c r="E10" s="110"/>
      <c r="F10" s="111"/>
      <c r="G10" s="31">
        <f>SUM(G8:G9)</f>
        <v>346.29700000000003</v>
      </c>
      <c r="H10" s="81"/>
    </row>
    <row r="11" spans="1:10" ht="17.25" customHeight="1" thickBot="1" x14ac:dyDescent="0.3">
      <c r="A11" s="112" t="s">
        <v>7</v>
      </c>
      <c r="B11" s="113"/>
      <c r="C11" s="113"/>
      <c r="D11" s="113"/>
      <c r="E11" s="113"/>
      <c r="F11" s="113"/>
      <c r="G11" s="113"/>
      <c r="H11" s="89" t="s">
        <v>27</v>
      </c>
    </row>
    <row r="12" spans="1:10" x14ac:dyDescent="0.25">
      <c r="A12" s="59">
        <v>1</v>
      </c>
      <c r="B12" s="35" t="s">
        <v>151</v>
      </c>
      <c r="C12" s="5"/>
      <c r="D12" s="8" t="s">
        <v>36</v>
      </c>
      <c r="E12" s="8"/>
      <c r="F12" s="8">
        <f>(590*4.5)+(242*4.5)</f>
        <v>3744</v>
      </c>
      <c r="G12" s="70">
        <v>320.697</v>
      </c>
      <c r="H12" s="63" t="s">
        <v>28</v>
      </c>
    </row>
    <row r="13" spans="1:10" x14ac:dyDescent="0.25">
      <c r="A13" s="59">
        <v>2</v>
      </c>
      <c r="B13" s="39" t="s">
        <v>41</v>
      </c>
      <c r="C13" s="5" t="s">
        <v>23</v>
      </c>
      <c r="D13" s="5" t="s">
        <v>36</v>
      </c>
      <c r="E13" s="5"/>
      <c r="F13" s="6">
        <f>237*3</f>
        <v>711</v>
      </c>
      <c r="G13" s="22">
        <f>20+F13*0.06</f>
        <v>62.66</v>
      </c>
      <c r="H13" s="63" t="s">
        <v>29</v>
      </c>
    </row>
    <row r="14" spans="1:10" x14ac:dyDescent="0.25">
      <c r="A14" s="59">
        <v>3</v>
      </c>
      <c r="B14" s="39" t="s">
        <v>152</v>
      </c>
      <c r="C14" s="5" t="s">
        <v>23</v>
      </c>
      <c r="D14" s="5"/>
      <c r="E14" s="5"/>
      <c r="F14" s="6">
        <f>392*5</f>
        <v>1960</v>
      </c>
      <c r="G14" s="22">
        <v>20</v>
      </c>
      <c r="H14" s="63" t="s">
        <v>30</v>
      </c>
    </row>
    <row r="15" spans="1:10" x14ac:dyDescent="0.25">
      <c r="A15" s="59">
        <v>4</v>
      </c>
      <c r="B15" s="40" t="s">
        <v>42</v>
      </c>
      <c r="C15" s="13" t="s">
        <v>23</v>
      </c>
      <c r="D15" s="13" t="s">
        <v>36</v>
      </c>
      <c r="E15" s="13"/>
      <c r="F15" s="14">
        <f>247*5</f>
        <v>1235</v>
      </c>
      <c r="G15" s="22">
        <f>20+F15*0.06</f>
        <v>94.1</v>
      </c>
      <c r="H15" s="63" t="s">
        <v>31</v>
      </c>
    </row>
    <row r="16" spans="1:10" ht="31.5" x14ac:dyDescent="0.25">
      <c r="A16" s="60">
        <v>5</v>
      </c>
      <c r="B16" s="39" t="s">
        <v>32</v>
      </c>
      <c r="C16" s="5" t="s">
        <v>23</v>
      </c>
      <c r="D16" s="5"/>
      <c r="E16" s="5"/>
      <c r="F16" s="6">
        <f>2000*5.5</f>
        <v>11000</v>
      </c>
      <c r="G16" s="22">
        <v>20</v>
      </c>
      <c r="H16" s="63" t="s">
        <v>33</v>
      </c>
    </row>
    <row r="17" spans="1:10" ht="19.5" customHeight="1" x14ac:dyDescent="0.25">
      <c r="A17" s="59">
        <v>6</v>
      </c>
      <c r="B17" s="44" t="s">
        <v>219</v>
      </c>
      <c r="C17" s="5"/>
      <c r="D17" s="5" t="s">
        <v>23</v>
      </c>
      <c r="E17" s="5"/>
      <c r="F17" s="5">
        <f>890*5.5</f>
        <v>4895</v>
      </c>
      <c r="G17" s="6">
        <v>20</v>
      </c>
      <c r="H17" s="82" t="s">
        <v>34</v>
      </c>
    </row>
    <row r="18" spans="1:10" ht="19.5" customHeight="1" x14ac:dyDescent="0.25">
      <c r="A18" s="59">
        <v>7</v>
      </c>
      <c r="B18" s="44" t="s">
        <v>155</v>
      </c>
      <c r="C18" s="5"/>
      <c r="D18" s="5"/>
      <c r="E18" s="5" t="s">
        <v>154</v>
      </c>
      <c r="F18" s="5">
        <f>SUM(210*5)</f>
        <v>1050</v>
      </c>
      <c r="G18" s="6">
        <v>20</v>
      </c>
      <c r="H18" s="82" t="s">
        <v>181</v>
      </c>
    </row>
    <row r="19" spans="1:10" ht="19.5" customHeight="1" x14ac:dyDescent="0.25">
      <c r="A19" s="59">
        <v>8</v>
      </c>
      <c r="B19" s="44" t="s">
        <v>156</v>
      </c>
      <c r="C19" s="5"/>
      <c r="D19" s="5"/>
      <c r="E19" s="5" t="s">
        <v>154</v>
      </c>
      <c r="F19" s="5">
        <f>SUM(310*5)</f>
        <v>1550</v>
      </c>
      <c r="G19" s="6">
        <v>20</v>
      </c>
      <c r="H19" s="82" t="s">
        <v>182</v>
      </c>
    </row>
    <row r="20" spans="1:10" ht="19.5" customHeight="1" x14ac:dyDescent="0.25">
      <c r="A20" s="59">
        <v>9</v>
      </c>
      <c r="B20" s="44" t="s">
        <v>157</v>
      </c>
      <c r="C20" s="5"/>
      <c r="D20" s="5"/>
      <c r="E20" s="5" t="s">
        <v>154</v>
      </c>
      <c r="F20" s="5">
        <f>SUM(354*5)</f>
        <v>1770</v>
      </c>
      <c r="G20" s="6">
        <v>20</v>
      </c>
      <c r="H20" s="82" t="s">
        <v>183</v>
      </c>
    </row>
    <row r="21" spans="1:10" ht="16.5" thickBot="1" x14ac:dyDescent="0.3">
      <c r="A21" s="109" t="s">
        <v>6</v>
      </c>
      <c r="B21" s="110"/>
      <c r="C21" s="110"/>
      <c r="D21" s="110"/>
      <c r="E21" s="110"/>
      <c r="F21" s="111"/>
      <c r="G21" s="31">
        <f>SUM(G12:G20)</f>
        <v>597.45699999999999</v>
      </c>
      <c r="H21" s="83"/>
    </row>
    <row r="22" spans="1:10" ht="16.5" thickBot="1" x14ac:dyDescent="0.3">
      <c r="A22" s="112" t="s">
        <v>8</v>
      </c>
      <c r="B22" s="113"/>
      <c r="C22" s="113"/>
      <c r="D22" s="113"/>
      <c r="E22" s="113"/>
      <c r="F22" s="113"/>
      <c r="G22" s="113"/>
      <c r="H22" s="87" t="s">
        <v>35</v>
      </c>
    </row>
    <row r="23" spans="1:10" x14ac:dyDescent="0.25">
      <c r="A23" s="59">
        <v>1</v>
      </c>
      <c r="B23" s="39" t="s">
        <v>220</v>
      </c>
      <c r="C23" s="9" t="s">
        <v>36</v>
      </c>
      <c r="D23" s="6"/>
      <c r="E23" s="6"/>
      <c r="F23" s="9">
        <f>200*4</f>
        <v>800</v>
      </c>
      <c r="G23" s="69">
        <v>256.25299999999999</v>
      </c>
      <c r="H23" s="63" t="s">
        <v>38</v>
      </c>
    </row>
    <row r="24" spans="1:10" x14ac:dyDescent="0.25">
      <c r="A24" s="59">
        <v>2</v>
      </c>
      <c r="B24" s="39" t="s">
        <v>43</v>
      </c>
      <c r="C24" s="5" t="s">
        <v>154</v>
      </c>
      <c r="D24" s="6" t="s">
        <v>36</v>
      </c>
      <c r="E24" s="6"/>
      <c r="F24" s="9">
        <f>333*4</f>
        <v>1332</v>
      </c>
      <c r="G24" s="24">
        <f>20+F24*0.06</f>
        <v>99.92</v>
      </c>
      <c r="H24" s="63" t="s">
        <v>39</v>
      </c>
      <c r="J24"/>
    </row>
    <row r="25" spans="1:10" x14ac:dyDescent="0.25">
      <c r="A25" s="59">
        <v>3</v>
      </c>
      <c r="B25" s="39" t="s">
        <v>44</v>
      </c>
      <c r="C25" s="6" t="s">
        <v>37</v>
      </c>
      <c r="D25" s="8"/>
      <c r="E25" s="8"/>
      <c r="F25" s="9">
        <f>645*4</f>
        <v>2580</v>
      </c>
      <c r="G25" s="24">
        <f>F25*0.04</f>
        <v>103.2</v>
      </c>
      <c r="H25" s="63" t="s">
        <v>40</v>
      </c>
    </row>
    <row r="26" spans="1:10" ht="31.5" x14ac:dyDescent="0.25">
      <c r="A26" s="59">
        <v>4</v>
      </c>
      <c r="B26" s="39" t="s">
        <v>139</v>
      </c>
      <c r="C26" s="6"/>
      <c r="D26" s="8" t="s">
        <v>37</v>
      </c>
      <c r="E26" s="8"/>
      <c r="F26" s="9">
        <f>360*5</f>
        <v>1800</v>
      </c>
      <c r="G26" s="8">
        <f>F26*0.04</f>
        <v>72</v>
      </c>
      <c r="H26" s="64" t="s">
        <v>140</v>
      </c>
    </row>
    <row r="27" spans="1:10" x14ac:dyDescent="0.25">
      <c r="A27" s="61">
        <v>5</v>
      </c>
      <c r="B27" s="40" t="s">
        <v>173</v>
      </c>
      <c r="C27" s="14"/>
      <c r="D27" s="18"/>
      <c r="E27" s="18" t="s">
        <v>37</v>
      </c>
      <c r="F27" s="17">
        <f>SUM(269*4)</f>
        <v>1076</v>
      </c>
      <c r="G27" s="8">
        <f>F27*0.04</f>
        <v>43.04</v>
      </c>
      <c r="H27" s="64" t="s">
        <v>184</v>
      </c>
    </row>
    <row r="28" spans="1:10" ht="20.25" customHeight="1" x14ac:dyDescent="0.25">
      <c r="A28" s="61">
        <v>6</v>
      </c>
      <c r="B28" s="40" t="s">
        <v>185</v>
      </c>
      <c r="C28" s="14"/>
      <c r="D28" s="18"/>
      <c r="E28" s="18" t="s">
        <v>154</v>
      </c>
      <c r="F28" s="17">
        <f>230*4</f>
        <v>920</v>
      </c>
      <c r="G28" s="25">
        <v>20</v>
      </c>
      <c r="H28" s="63" t="s">
        <v>186</v>
      </c>
    </row>
    <row r="29" spans="1:10" ht="16.5" thickBot="1" x14ac:dyDescent="0.3">
      <c r="A29" s="109" t="s">
        <v>6</v>
      </c>
      <c r="B29" s="110"/>
      <c r="C29" s="110"/>
      <c r="D29" s="110"/>
      <c r="E29" s="110"/>
      <c r="F29" s="111"/>
      <c r="G29" s="31">
        <f>SUM(G23:G28)</f>
        <v>594.41300000000001</v>
      </c>
      <c r="H29" s="83"/>
    </row>
    <row r="30" spans="1:10" ht="16.5" thickBot="1" x14ac:dyDescent="0.3">
      <c r="A30" s="112" t="s">
        <v>9</v>
      </c>
      <c r="B30" s="113"/>
      <c r="C30" s="113"/>
      <c r="D30" s="113"/>
      <c r="E30" s="113"/>
      <c r="F30" s="113"/>
      <c r="G30" s="114"/>
      <c r="H30" s="87" t="s">
        <v>45</v>
      </c>
    </row>
    <row r="31" spans="1:10" ht="15.75" customHeight="1" x14ac:dyDescent="0.25">
      <c r="A31" s="59">
        <v>1</v>
      </c>
      <c r="B31" s="35" t="s">
        <v>221</v>
      </c>
      <c r="C31" s="6" t="s">
        <v>153</v>
      </c>
      <c r="D31" s="8"/>
      <c r="E31" s="11"/>
      <c r="F31" s="10">
        <f>230*4</f>
        <v>920</v>
      </c>
      <c r="G31" s="24">
        <f>F31*0.06+20</f>
        <v>75.199999999999989</v>
      </c>
      <c r="H31" s="63" t="s">
        <v>46</v>
      </c>
    </row>
    <row r="32" spans="1:10" x14ac:dyDescent="0.25">
      <c r="A32" s="59">
        <v>2</v>
      </c>
      <c r="B32" s="35" t="s">
        <v>55</v>
      </c>
      <c r="C32" s="6" t="s">
        <v>153</v>
      </c>
      <c r="D32" s="8"/>
      <c r="E32" s="11"/>
      <c r="F32" s="11">
        <f>221*4</f>
        <v>884</v>
      </c>
      <c r="G32" s="24">
        <f>SUM(190.32+18.08)</f>
        <v>208.39999999999998</v>
      </c>
      <c r="H32" s="63" t="s">
        <v>47</v>
      </c>
    </row>
    <row r="33" spans="1:8" x14ac:dyDescent="0.25">
      <c r="A33" s="59">
        <v>3</v>
      </c>
      <c r="B33" s="35" t="s">
        <v>48</v>
      </c>
      <c r="C33" s="6"/>
      <c r="D33" s="8" t="s">
        <v>36</v>
      </c>
      <c r="E33" s="11"/>
      <c r="F33" s="10">
        <f>370*3</f>
        <v>1110</v>
      </c>
      <c r="G33" s="24">
        <v>439.7</v>
      </c>
      <c r="H33" s="63" t="s">
        <v>49</v>
      </c>
    </row>
    <row r="34" spans="1:8" ht="31.5" x14ac:dyDescent="0.25">
      <c r="A34" s="59">
        <v>4</v>
      </c>
      <c r="B34" s="35" t="s">
        <v>141</v>
      </c>
      <c r="C34" s="6" t="s">
        <v>23</v>
      </c>
      <c r="D34" s="8"/>
      <c r="E34" s="11" t="s">
        <v>36</v>
      </c>
      <c r="F34" s="10">
        <v>1284</v>
      </c>
      <c r="G34" s="24">
        <f>SUM(F34*0.065)+20</f>
        <v>103.46000000000001</v>
      </c>
      <c r="H34" s="63" t="s">
        <v>52</v>
      </c>
    </row>
    <row r="35" spans="1:8" x14ac:dyDescent="0.25">
      <c r="A35" s="59">
        <v>5</v>
      </c>
      <c r="B35" s="35" t="s">
        <v>50</v>
      </c>
      <c r="C35" s="6" t="s">
        <v>23</v>
      </c>
      <c r="D35" s="8"/>
      <c r="E35" s="11" t="s">
        <v>36</v>
      </c>
      <c r="F35" s="10">
        <f>418*4</f>
        <v>1672</v>
      </c>
      <c r="G35" s="69">
        <f>SUM(F35*0.065)+20</f>
        <v>128.68</v>
      </c>
      <c r="H35" s="63" t="s">
        <v>51</v>
      </c>
    </row>
    <row r="36" spans="1:8" x14ac:dyDescent="0.25">
      <c r="A36" s="61">
        <v>6</v>
      </c>
      <c r="B36" s="37" t="s">
        <v>54</v>
      </c>
      <c r="C36" s="14" t="s">
        <v>154</v>
      </c>
      <c r="D36" s="18" t="s">
        <v>36</v>
      </c>
      <c r="E36" s="28"/>
      <c r="F36" s="12">
        <f>265*4</f>
        <v>1060</v>
      </c>
      <c r="G36" s="25">
        <f>F36*0.06+20</f>
        <v>83.6</v>
      </c>
      <c r="H36" s="66" t="s">
        <v>53</v>
      </c>
    </row>
    <row r="37" spans="1:8" ht="15.75" customHeight="1" thickBot="1" x14ac:dyDescent="0.3">
      <c r="A37" s="109" t="s">
        <v>6</v>
      </c>
      <c r="B37" s="110"/>
      <c r="C37" s="110"/>
      <c r="D37" s="110"/>
      <c r="E37" s="110"/>
      <c r="F37" s="111"/>
      <c r="G37" s="31">
        <f>SUM(G31:G36)</f>
        <v>1039.04</v>
      </c>
      <c r="H37" s="81"/>
    </row>
    <row r="38" spans="1:8" ht="16.5" thickBot="1" x14ac:dyDescent="0.3">
      <c r="A38" s="123" t="s">
        <v>10</v>
      </c>
      <c r="B38" s="124"/>
      <c r="C38" s="124"/>
      <c r="D38" s="124"/>
      <c r="E38" s="124"/>
      <c r="F38" s="124"/>
      <c r="G38" s="125"/>
      <c r="H38" s="88" t="s">
        <v>56</v>
      </c>
    </row>
    <row r="39" spans="1:8" x14ac:dyDescent="0.25">
      <c r="A39" s="62">
        <v>1</v>
      </c>
      <c r="B39" s="35" t="s">
        <v>150</v>
      </c>
      <c r="C39" s="8" t="s">
        <v>36</v>
      </c>
      <c r="D39" s="8" t="s">
        <v>36</v>
      </c>
      <c r="E39" s="8"/>
      <c r="F39" s="9">
        <f>518*4.5</f>
        <v>2331</v>
      </c>
      <c r="G39" s="32">
        <v>209.161</v>
      </c>
      <c r="H39" s="64" t="s">
        <v>57</v>
      </c>
    </row>
    <row r="40" spans="1:8" ht="31.5" x14ac:dyDescent="0.25">
      <c r="A40" s="59">
        <f t="shared" ref="A40:A45" si="0">A39+1</f>
        <v>2</v>
      </c>
      <c r="B40" s="35" t="s">
        <v>222</v>
      </c>
      <c r="C40" s="8" t="s">
        <v>36</v>
      </c>
      <c r="D40" s="8"/>
      <c r="E40" s="8"/>
      <c r="F40" s="9">
        <f>(753*4)+(210*4)</f>
        <v>3852</v>
      </c>
      <c r="G40" s="33">
        <v>32.5</v>
      </c>
      <c r="H40" s="64" t="s">
        <v>58</v>
      </c>
    </row>
    <row r="41" spans="1:8" x14ac:dyDescent="0.25">
      <c r="A41" s="59">
        <f t="shared" si="0"/>
        <v>3</v>
      </c>
      <c r="B41" s="36" t="s">
        <v>11</v>
      </c>
      <c r="C41" s="8" t="s">
        <v>23</v>
      </c>
      <c r="D41" s="8" t="s">
        <v>36</v>
      </c>
      <c r="E41" s="8"/>
      <c r="F41" s="9">
        <f>SUM(1498*5)</f>
        <v>7490</v>
      </c>
      <c r="G41" s="72">
        <f>SUM(40.051+1054.03)</f>
        <v>1094.0809999999999</v>
      </c>
      <c r="H41" s="64" t="s">
        <v>59</v>
      </c>
    </row>
    <row r="42" spans="1:8" x14ac:dyDescent="0.25">
      <c r="A42" s="59">
        <f t="shared" si="0"/>
        <v>4</v>
      </c>
      <c r="B42" s="36" t="s">
        <v>60</v>
      </c>
      <c r="C42" s="8"/>
      <c r="D42" s="8" t="s">
        <v>36</v>
      </c>
      <c r="E42" s="8"/>
      <c r="F42" s="9">
        <f>335*4.5</f>
        <v>1507.5</v>
      </c>
      <c r="G42" s="72">
        <v>280.48700000000002</v>
      </c>
      <c r="H42" s="64" t="s">
        <v>61</v>
      </c>
    </row>
    <row r="43" spans="1:8" x14ac:dyDescent="0.25">
      <c r="A43" s="59">
        <f t="shared" si="0"/>
        <v>5</v>
      </c>
      <c r="B43" s="36" t="s">
        <v>62</v>
      </c>
      <c r="C43" s="8" t="s">
        <v>154</v>
      </c>
      <c r="D43" s="8"/>
      <c r="E43" s="8" t="s">
        <v>36</v>
      </c>
      <c r="F43" s="9">
        <f>3200*3</f>
        <v>9600</v>
      </c>
      <c r="G43" s="33">
        <f>(F43*0.04)+20</f>
        <v>404</v>
      </c>
      <c r="H43" s="64" t="s">
        <v>63</v>
      </c>
    </row>
    <row r="44" spans="1:8" x14ac:dyDescent="0.25">
      <c r="A44" s="59">
        <f t="shared" si="0"/>
        <v>6</v>
      </c>
      <c r="B44" s="36" t="s">
        <v>64</v>
      </c>
      <c r="C44" s="8" t="s">
        <v>177</v>
      </c>
      <c r="D44" s="8"/>
      <c r="E44" s="8"/>
      <c r="F44" s="9">
        <f>200*3</f>
        <v>600</v>
      </c>
      <c r="G44" s="33">
        <f>F44*0.06+20</f>
        <v>56</v>
      </c>
      <c r="H44" s="64" t="s">
        <v>65</v>
      </c>
    </row>
    <row r="45" spans="1:8" x14ac:dyDescent="0.25">
      <c r="A45" s="59">
        <f t="shared" si="0"/>
        <v>7</v>
      </c>
      <c r="B45" s="36" t="s">
        <v>223</v>
      </c>
      <c r="C45" s="8" t="s">
        <v>37</v>
      </c>
      <c r="D45" s="8"/>
      <c r="E45" s="8"/>
      <c r="F45" s="9">
        <f>570*3</f>
        <v>1710</v>
      </c>
      <c r="G45" s="33">
        <f>F45*0.04</f>
        <v>68.400000000000006</v>
      </c>
      <c r="H45" s="64" t="s">
        <v>136</v>
      </c>
    </row>
    <row r="46" spans="1:8" x14ac:dyDescent="0.25">
      <c r="A46" s="59">
        <v>8</v>
      </c>
      <c r="B46" s="36" t="s">
        <v>188</v>
      </c>
      <c r="C46" s="8"/>
      <c r="D46" s="8"/>
      <c r="E46" s="8" t="s">
        <v>37</v>
      </c>
      <c r="F46" s="9">
        <f>SUM(4*445)</f>
        <v>1780</v>
      </c>
      <c r="G46" s="33">
        <f>F46*0.04</f>
        <v>71.2</v>
      </c>
      <c r="H46" s="64" t="s">
        <v>187</v>
      </c>
    </row>
    <row r="47" spans="1:8" ht="16.5" thickBot="1" x14ac:dyDescent="0.3">
      <c r="A47" s="109" t="s">
        <v>6</v>
      </c>
      <c r="B47" s="110"/>
      <c r="C47" s="110"/>
      <c r="D47" s="110"/>
      <c r="E47" s="110"/>
      <c r="F47" s="111"/>
      <c r="G47" s="31">
        <f>SUM(G39:G46)</f>
        <v>2215.8290000000002</v>
      </c>
      <c r="H47" s="83"/>
    </row>
    <row r="48" spans="1:8" ht="32.25" thickBot="1" x14ac:dyDescent="0.3">
      <c r="A48" s="112" t="s">
        <v>12</v>
      </c>
      <c r="B48" s="113"/>
      <c r="C48" s="113"/>
      <c r="D48" s="113"/>
      <c r="E48" s="113"/>
      <c r="F48" s="113"/>
      <c r="G48" s="114"/>
      <c r="H48" s="87" t="s">
        <v>74</v>
      </c>
    </row>
    <row r="49" spans="1:8" ht="31.5" x14ac:dyDescent="0.25">
      <c r="A49" s="59">
        <v>1</v>
      </c>
      <c r="B49" s="35" t="s">
        <v>224</v>
      </c>
      <c r="C49" s="6"/>
      <c r="D49" s="6" t="s">
        <v>36</v>
      </c>
      <c r="E49" s="6"/>
      <c r="F49" s="6">
        <f>213*3.5</f>
        <v>745.5</v>
      </c>
      <c r="G49" s="70">
        <v>135.804</v>
      </c>
      <c r="H49" s="63" t="s">
        <v>69</v>
      </c>
    </row>
    <row r="50" spans="1:8" x14ac:dyDescent="0.25">
      <c r="A50" s="59">
        <f t="shared" ref="A50:A59" si="1">A49+1</f>
        <v>2</v>
      </c>
      <c r="B50" s="39" t="s">
        <v>175</v>
      </c>
      <c r="C50" s="6" t="s">
        <v>36</v>
      </c>
      <c r="D50" s="6"/>
      <c r="E50" s="6"/>
      <c r="F50" s="6">
        <f>494*4</f>
        <v>1976</v>
      </c>
      <c r="G50" s="73">
        <v>20</v>
      </c>
      <c r="H50" s="63" t="s">
        <v>66</v>
      </c>
    </row>
    <row r="51" spans="1:8" x14ac:dyDescent="0.25">
      <c r="A51" s="59">
        <f t="shared" si="1"/>
        <v>3</v>
      </c>
      <c r="B51" s="39" t="s">
        <v>225</v>
      </c>
      <c r="C51" s="6" t="s">
        <v>154</v>
      </c>
      <c r="D51" s="6" t="s">
        <v>36</v>
      </c>
      <c r="E51" s="6"/>
      <c r="F51" s="6">
        <f>505*4</f>
        <v>2020</v>
      </c>
      <c r="G51" s="24">
        <f>24.792+F51*0.06</f>
        <v>145.99199999999999</v>
      </c>
      <c r="H51" s="63" t="s">
        <v>67</v>
      </c>
    </row>
    <row r="52" spans="1:8" x14ac:dyDescent="0.25">
      <c r="A52" s="59">
        <f t="shared" si="1"/>
        <v>4</v>
      </c>
      <c r="B52" s="39" t="s">
        <v>176</v>
      </c>
      <c r="C52" s="6" t="s">
        <v>23</v>
      </c>
      <c r="D52" s="6"/>
      <c r="E52" s="6"/>
      <c r="F52" s="6">
        <f>1577*4</f>
        <v>6308</v>
      </c>
      <c r="G52" s="24">
        <v>20</v>
      </c>
      <c r="H52" s="63" t="s">
        <v>68</v>
      </c>
    </row>
    <row r="53" spans="1:8" ht="47.25" customHeight="1" x14ac:dyDescent="0.25">
      <c r="A53" s="59">
        <f t="shared" si="1"/>
        <v>5</v>
      </c>
      <c r="B53" s="47" t="s">
        <v>226</v>
      </c>
      <c r="C53" s="19" t="s">
        <v>154</v>
      </c>
      <c r="D53" s="19" t="s">
        <v>36</v>
      </c>
      <c r="E53" s="19"/>
      <c r="F53" s="19">
        <f>800*3.5</f>
        <v>2800</v>
      </c>
      <c r="G53" s="24">
        <v>579.88</v>
      </c>
      <c r="H53" s="63" t="s">
        <v>70</v>
      </c>
    </row>
    <row r="54" spans="1:8" ht="31.5" x14ac:dyDescent="0.25">
      <c r="A54" s="59">
        <f t="shared" si="1"/>
        <v>6</v>
      </c>
      <c r="B54" s="47" t="s">
        <v>144</v>
      </c>
      <c r="C54" s="14" t="s">
        <v>23</v>
      </c>
      <c r="D54" s="14"/>
      <c r="E54" s="14"/>
      <c r="F54" s="14">
        <f>281+250*5</f>
        <v>1531</v>
      </c>
      <c r="G54" s="25">
        <v>20</v>
      </c>
      <c r="H54" s="63" t="s">
        <v>71</v>
      </c>
    </row>
    <row r="55" spans="1:8" x14ac:dyDescent="0.25">
      <c r="A55" s="59">
        <f t="shared" si="1"/>
        <v>7</v>
      </c>
      <c r="B55" s="36" t="s">
        <v>227</v>
      </c>
      <c r="C55" s="14"/>
      <c r="D55" s="14" t="s">
        <v>23</v>
      </c>
      <c r="E55" s="14"/>
      <c r="F55" s="14">
        <f>146*5</f>
        <v>730</v>
      </c>
      <c r="G55" s="25">
        <v>20</v>
      </c>
      <c r="H55" s="63" t="s">
        <v>72</v>
      </c>
    </row>
    <row r="56" spans="1:8" x14ac:dyDescent="0.25">
      <c r="A56" s="59">
        <f t="shared" si="1"/>
        <v>8</v>
      </c>
      <c r="B56" s="36" t="s">
        <v>211</v>
      </c>
      <c r="C56" s="14" t="s">
        <v>23</v>
      </c>
      <c r="D56" s="14"/>
      <c r="E56" s="14"/>
      <c r="F56" s="14">
        <f>129*4</f>
        <v>516</v>
      </c>
      <c r="G56" s="25">
        <v>20</v>
      </c>
      <c r="H56" s="63" t="s">
        <v>73</v>
      </c>
    </row>
    <row r="57" spans="1:8" ht="31.5" x14ac:dyDescent="0.25">
      <c r="A57" s="59">
        <f t="shared" si="1"/>
        <v>9</v>
      </c>
      <c r="B57" s="48" t="s">
        <v>169</v>
      </c>
      <c r="C57" s="6"/>
      <c r="D57" s="6" t="s">
        <v>23</v>
      </c>
      <c r="E57" s="6"/>
      <c r="F57" s="6">
        <f>1200*5.5</f>
        <v>6600</v>
      </c>
      <c r="G57" s="6">
        <v>20</v>
      </c>
      <c r="H57" s="64" t="s">
        <v>142</v>
      </c>
    </row>
    <row r="58" spans="1:8" x14ac:dyDescent="0.25">
      <c r="A58" s="59">
        <f t="shared" si="1"/>
        <v>10</v>
      </c>
      <c r="B58" s="48" t="s">
        <v>170</v>
      </c>
      <c r="C58" s="6"/>
      <c r="D58" s="6"/>
      <c r="E58" s="6" t="s">
        <v>154</v>
      </c>
      <c r="F58" s="6">
        <f>SUM(149*4)</f>
        <v>596</v>
      </c>
      <c r="G58" s="6">
        <v>20</v>
      </c>
      <c r="H58" s="65" t="s">
        <v>189</v>
      </c>
    </row>
    <row r="59" spans="1:8" x14ac:dyDescent="0.25">
      <c r="A59" s="59">
        <f t="shared" si="1"/>
        <v>11</v>
      </c>
      <c r="B59" s="48" t="s">
        <v>212</v>
      </c>
      <c r="C59" s="6"/>
      <c r="D59" s="6"/>
      <c r="E59" s="6" t="s">
        <v>154</v>
      </c>
      <c r="F59" s="6">
        <f>SUM(315*3)</f>
        <v>945</v>
      </c>
      <c r="G59" s="6">
        <v>20</v>
      </c>
      <c r="H59" s="65" t="s">
        <v>190</v>
      </c>
    </row>
    <row r="60" spans="1:8" ht="16.5" thickBot="1" x14ac:dyDescent="0.3">
      <c r="A60" s="109" t="s">
        <v>6</v>
      </c>
      <c r="B60" s="110"/>
      <c r="C60" s="110"/>
      <c r="D60" s="110"/>
      <c r="E60" s="110"/>
      <c r="F60" s="111"/>
      <c r="G60" s="31">
        <f>SUM(G49:G59)</f>
        <v>1021.6759999999999</v>
      </c>
      <c r="H60" s="81"/>
    </row>
    <row r="61" spans="1:8" ht="16.5" thickBot="1" x14ac:dyDescent="0.3">
      <c r="A61" s="112" t="s">
        <v>13</v>
      </c>
      <c r="B61" s="113"/>
      <c r="C61" s="113"/>
      <c r="D61" s="113"/>
      <c r="E61" s="113"/>
      <c r="F61" s="113"/>
      <c r="G61" s="114"/>
      <c r="H61" s="87" t="s">
        <v>81</v>
      </c>
    </row>
    <row r="62" spans="1:8" x14ac:dyDescent="0.25">
      <c r="A62" s="62">
        <v>1</v>
      </c>
      <c r="B62" s="38" t="s">
        <v>228</v>
      </c>
      <c r="C62" s="15" t="s">
        <v>36</v>
      </c>
      <c r="D62" s="16"/>
      <c r="E62" s="16"/>
      <c r="F62" s="20">
        <f>235*4</f>
        <v>940</v>
      </c>
      <c r="G62" s="30">
        <v>145.38800000000001</v>
      </c>
      <c r="H62" s="63" t="s">
        <v>76</v>
      </c>
    </row>
    <row r="63" spans="1:8" x14ac:dyDescent="0.25">
      <c r="A63" s="61">
        <v>2</v>
      </c>
      <c r="B63" s="37" t="s">
        <v>77</v>
      </c>
      <c r="C63" s="14"/>
      <c r="D63" s="18" t="s">
        <v>23</v>
      </c>
      <c r="E63" s="18"/>
      <c r="F63" s="17">
        <f>782*6</f>
        <v>4692</v>
      </c>
      <c r="G63" s="25">
        <v>20</v>
      </c>
      <c r="H63" s="63" t="s">
        <v>75</v>
      </c>
    </row>
    <row r="64" spans="1:8" x14ac:dyDescent="0.25">
      <c r="A64" s="61">
        <v>3</v>
      </c>
      <c r="B64" s="37" t="s">
        <v>137</v>
      </c>
      <c r="C64" s="5"/>
      <c r="D64" s="18" t="s">
        <v>23</v>
      </c>
      <c r="E64" s="18"/>
      <c r="F64" s="17">
        <f>180*3.5</f>
        <v>630</v>
      </c>
      <c r="G64" s="25">
        <v>20</v>
      </c>
      <c r="H64" s="63" t="s">
        <v>78</v>
      </c>
    </row>
    <row r="65" spans="1:8" x14ac:dyDescent="0.25">
      <c r="A65" s="61">
        <v>4</v>
      </c>
      <c r="B65" s="37" t="s">
        <v>138</v>
      </c>
      <c r="C65" s="14"/>
      <c r="D65" s="18" t="s">
        <v>23</v>
      </c>
      <c r="E65" s="18"/>
      <c r="F65" s="17">
        <f>105*3.5</f>
        <v>367.5</v>
      </c>
      <c r="G65" s="25">
        <v>20</v>
      </c>
      <c r="H65" s="63" t="s">
        <v>79</v>
      </c>
    </row>
    <row r="66" spans="1:8" ht="19.5" customHeight="1" x14ac:dyDescent="0.25">
      <c r="A66" s="61">
        <v>5</v>
      </c>
      <c r="B66" s="40" t="s">
        <v>229</v>
      </c>
      <c r="C66" s="14" t="s">
        <v>36</v>
      </c>
      <c r="D66" s="14"/>
      <c r="E66" s="14"/>
      <c r="F66" s="14">
        <f>268*4</f>
        <v>1072</v>
      </c>
      <c r="G66" s="29">
        <f>154.614+24.2</f>
        <v>178.81399999999999</v>
      </c>
      <c r="H66" s="66" t="s">
        <v>80</v>
      </c>
    </row>
    <row r="67" spans="1:8" ht="30" customHeight="1" x14ac:dyDescent="0.25">
      <c r="A67" s="59">
        <v>6</v>
      </c>
      <c r="B67" s="39" t="s">
        <v>230</v>
      </c>
      <c r="C67" s="6"/>
      <c r="D67" s="6"/>
      <c r="E67" s="6" t="s">
        <v>23</v>
      </c>
      <c r="F67" s="6">
        <f>SUM(132*3.5)</f>
        <v>462</v>
      </c>
      <c r="G67" s="6">
        <v>20</v>
      </c>
      <c r="H67" s="65" t="s">
        <v>78</v>
      </c>
    </row>
    <row r="68" spans="1:8" ht="16.5" thickBot="1" x14ac:dyDescent="0.3">
      <c r="A68" s="109" t="s">
        <v>6</v>
      </c>
      <c r="B68" s="110"/>
      <c r="C68" s="110"/>
      <c r="D68" s="110"/>
      <c r="E68" s="110"/>
      <c r="F68" s="111"/>
      <c r="G68" s="23">
        <f>SUM(G62:G67)</f>
        <v>404.202</v>
      </c>
      <c r="H68" s="81"/>
    </row>
    <row r="69" spans="1:8" ht="16.5" thickBot="1" x14ac:dyDescent="0.3">
      <c r="A69" s="112" t="s">
        <v>14</v>
      </c>
      <c r="B69" s="113"/>
      <c r="C69" s="113"/>
      <c r="D69" s="113"/>
      <c r="E69" s="113"/>
      <c r="F69" s="113"/>
      <c r="G69" s="114"/>
      <c r="H69" s="87" t="s">
        <v>82</v>
      </c>
    </row>
    <row r="70" spans="1:8" x14ac:dyDescent="0.25">
      <c r="A70" s="59">
        <v>1</v>
      </c>
      <c r="B70" s="35" t="s">
        <v>231</v>
      </c>
      <c r="C70" s="6"/>
      <c r="D70" s="54" t="s">
        <v>23</v>
      </c>
      <c r="E70" s="6" t="s">
        <v>37</v>
      </c>
      <c r="F70" s="9">
        <f>(231*5)+(500*5)</f>
        <v>3655</v>
      </c>
      <c r="G70" s="24">
        <f>(F70*0.04)+20</f>
        <v>166.20000000000002</v>
      </c>
      <c r="H70" s="63" t="s">
        <v>83</v>
      </c>
    </row>
    <row r="71" spans="1:8" x14ac:dyDescent="0.25">
      <c r="A71" s="59">
        <f t="shared" ref="A71:A79" si="2">A70+1</f>
        <v>2</v>
      </c>
      <c r="B71" s="37" t="s">
        <v>145</v>
      </c>
      <c r="C71" s="14"/>
      <c r="D71" s="14" t="s">
        <v>37</v>
      </c>
      <c r="E71" s="14"/>
      <c r="F71" s="17">
        <f>297*6</f>
        <v>1782</v>
      </c>
      <c r="G71" s="25">
        <f t="shared" ref="G71:G75" si="3">F71*0.04</f>
        <v>71.28</v>
      </c>
      <c r="H71" s="63" t="s">
        <v>84</v>
      </c>
    </row>
    <row r="72" spans="1:8" x14ac:dyDescent="0.25">
      <c r="A72" s="59">
        <f t="shared" si="2"/>
        <v>3</v>
      </c>
      <c r="B72" s="37" t="s">
        <v>86</v>
      </c>
      <c r="C72" s="14" t="s">
        <v>37</v>
      </c>
      <c r="D72" s="14"/>
      <c r="E72" s="14"/>
      <c r="F72" s="17">
        <f>385*5</f>
        <v>1925</v>
      </c>
      <c r="G72" s="25">
        <f t="shared" si="3"/>
        <v>77</v>
      </c>
      <c r="H72" s="63" t="s">
        <v>85</v>
      </c>
    </row>
    <row r="73" spans="1:8" ht="31.5" x14ac:dyDescent="0.25">
      <c r="A73" s="59">
        <f t="shared" si="2"/>
        <v>4</v>
      </c>
      <c r="B73" s="37" t="s">
        <v>149</v>
      </c>
      <c r="C73" s="14"/>
      <c r="D73" s="14" t="s">
        <v>37</v>
      </c>
      <c r="E73" s="14"/>
      <c r="F73" s="17">
        <f>380*5</f>
        <v>1900</v>
      </c>
      <c r="G73" s="25">
        <f t="shared" si="3"/>
        <v>76</v>
      </c>
      <c r="H73" s="63" t="s">
        <v>87</v>
      </c>
    </row>
    <row r="74" spans="1:8" x14ac:dyDescent="0.25">
      <c r="A74" s="59">
        <f t="shared" si="2"/>
        <v>5</v>
      </c>
      <c r="B74" s="37" t="s">
        <v>88</v>
      </c>
      <c r="C74" s="14"/>
      <c r="D74" s="14" t="s">
        <v>37</v>
      </c>
      <c r="E74" s="14"/>
      <c r="F74" s="17">
        <f>500*5.5</f>
        <v>2750</v>
      </c>
      <c r="G74" s="25">
        <f t="shared" si="3"/>
        <v>110</v>
      </c>
      <c r="H74" s="63" t="s">
        <v>89</v>
      </c>
    </row>
    <row r="75" spans="1:8" x14ac:dyDescent="0.25">
      <c r="A75" s="59">
        <f t="shared" si="2"/>
        <v>6</v>
      </c>
      <c r="B75" s="37" t="s">
        <v>91</v>
      </c>
      <c r="C75" s="14"/>
      <c r="D75" s="14" t="s">
        <v>37</v>
      </c>
      <c r="E75" s="14"/>
      <c r="F75" s="17">
        <f>600*5.5</f>
        <v>3300</v>
      </c>
      <c r="G75" s="25">
        <f t="shared" si="3"/>
        <v>132</v>
      </c>
      <c r="H75" s="63" t="s">
        <v>90</v>
      </c>
    </row>
    <row r="76" spans="1:8" ht="31.5" x14ac:dyDescent="0.25">
      <c r="A76" s="59">
        <f t="shared" si="2"/>
        <v>7</v>
      </c>
      <c r="B76" s="35" t="s">
        <v>232</v>
      </c>
      <c r="C76" s="6"/>
      <c r="D76" s="6"/>
      <c r="E76" s="6" t="s">
        <v>37</v>
      </c>
      <c r="F76" s="9">
        <f>SUM(1800*2.5)</f>
        <v>4500</v>
      </c>
      <c r="G76" s="8">
        <f>SUM(F76*0.2)</f>
        <v>900</v>
      </c>
      <c r="H76" s="64" t="s">
        <v>87</v>
      </c>
    </row>
    <row r="77" spans="1:8" ht="31.5" x14ac:dyDescent="0.25">
      <c r="A77" s="59">
        <f t="shared" si="2"/>
        <v>8</v>
      </c>
      <c r="B77" s="35" t="s">
        <v>213</v>
      </c>
      <c r="C77" s="6"/>
      <c r="D77" s="6"/>
      <c r="E77" s="6" t="s">
        <v>37</v>
      </c>
      <c r="F77" s="9">
        <f>SUM((439+110)*5)</f>
        <v>2745</v>
      </c>
      <c r="G77" s="8">
        <f>SUM(F77*0.04)</f>
        <v>109.8</v>
      </c>
      <c r="H77" s="64" t="s">
        <v>191</v>
      </c>
    </row>
    <row r="78" spans="1:8" x14ac:dyDescent="0.25">
      <c r="A78" s="59">
        <f t="shared" si="2"/>
        <v>9</v>
      </c>
      <c r="B78" s="35" t="s">
        <v>171</v>
      </c>
      <c r="C78" s="6"/>
      <c r="D78" s="6"/>
      <c r="E78" s="6" t="s">
        <v>37</v>
      </c>
      <c r="F78" s="9">
        <f>SUM(193*3)</f>
        <v>579</v>
      </c>
      <c r="G78" s="8">
        <f>SUM(F78*0.04)</f>
        <v>23.16</v>
      </c>
      <c r="H78" s="64" t="s">
        <v>192</v>
      </c>
    </row>
    <row r="79" spans="1:8" x14ac:dyDescent="0.25">
      <c r="A79" s="59">
        <f t="shared" si="2"/>
        <v>10</v>
      </c>
      <c r="B79" s="35" t="s">
        <v>172</v>
      </c>
      <c r="C79" s="6"/>
      <c r="D79" s="6"/>
      <c r="E79" s="6" t="s">
        <v>37</v>
      </c>
      <c r="F79" s="9">
        <f>SUM(220*4)</f>
        <v>880</v>
      </c>
      <c r="G79" s="8">
        <f>SUM(F79*0.04)</f>
        <v>35.200000000000003</v>
      </c>
      <c r="H79" s="64" t="s">
        <v>193</v>
      </c>
    </row>
    <row r="80" spans="1:8" ht="15.75" customHeight="1" thickBot="1" x14ac:dyDescent="0.3">
      <c r="A80" s="109" t="s">
        <v>6</v>
      </c>
      <c r="B80" s="110"/>
      <c r="C80" s="110"/>
      <c r="D80" s="110"/>
      <c r="E80" s="110"/>
      <c r="F80" s="111"/>
      <c r="G80" s="31">
        <f>SUM(G70:G79)</f>
        <v>1700.64</v>
      </c>
      <c r="H80" s="83"/>
    </row>
    <row r="81" spans="1:8" ht="31.5" customHeight="1" thickBot="1" x14ac:dyDescent="0.3">
      <c r="A81" s="106" t="s">
        <v>15</v>
      </c>
      <c r="B81" s="101"/>
      <c r="C81" s="101"/>
      <c r="D81" s="101"/>
      <c r="E81" s="101"/>
      <c r="F81" s="101"/>
      <c r="G81" s="102"/>
      <c r="H81" s="84" t="s">
        <v>92</v>
      </c>
    </row>
    <row r="82" spans="1:8" ht="22.5" customHeight="1" x14ac:dyDescent="0.25">
      <c r="A82" s="59">
        <v>1</v>
      </c>
      <c r="B82" s="38" t="s">
        <v>233</v>
      </c>
      <c r="C82" s="15"/>
      <c r="D82" s="15" t="s">
        <v>37</v>
      </c>
      <c r="E82" s="15"/>
      <c r="F82" s="16">
        <f>1600*5</f>
        <v>8000</v>
      </c>
      <c r="G82" s="27">
        <f>F82*0.04</f>
        <v>320</v>
      </c>
      <c r="H82" s="63" t="s">
        <v>93</v>
      </c>
    </row>
    <row r="83" spans="1:8" ht="16.5" customHeight="1" x14ac:dyDescent="0.25">
      <c r="A83" s="59">
        <v>2</v>
      </c>
      <c r="B83" s="36" t="s">
        <v>234</v>
      </c>
      <c r="C83" s="6"/>
      <c r="D83" s="6" t="s">
        <v>23</v>
      </c>
      <c r="E83" s="6"/>
      <c r="F83" s="8">
        <f>1450*5.5</f>
        <v>7975</v>
      </c>
      <c r="G83" s="24">
        <v>20</v>
      </c>
      <c r="H83" s="63" t="s">
        <v>94</v>
      </c>
    </row>
    <row r="84" spans="1:8" ht="15" customHeight="1" x14ac:dyDescent="0.25">
      <c r="A84" s="61">
        <v>3</v>
      </c>
      <c r="B84" s="50" t="s">
        <v>235</v>
      </c>
      <c r="C84" s="18" t="s">
        <v>36</v>
      </c>
      <c r="D84" s="14"/>
      <c r="E84" s="14"/>
      <c r="F84" s="18">
        <f>200*4</f>
        <v>800</v>
      </c>
      <c r="G84" s="25">
        <f>F84*0.04</f>
        <v>32</v>
      </c>
      <c r="H84" s="63" t="s">
        <v>95</v>
      </c>
    </row>
    <row r="85" spans="1:8" ht="15" customHeight="1" x14ac:dyDescent="0.25">
      <c r="A85" s="59">
        <v>4</v>
      </c>
      <c r="B85" s="52" t="s">
        <v>174</v>
      </c>
      <c r="C85" s="8"/>
      <c r="D85" s="6"/>
      <c r="E85" s="6" t="s">
        <v>37</v>
      </c>
      <c r="F85" s="8">
        <f>SUM(530*5)</f>
        <v>2650</v>
      </c>
      <c r="G85" s="8">
        <f>F85*0.04</f>
        <v>106</v>
      </c>
      <c r="H85" s="64" t="s">
        <v>194</v>
      </c>
    </row>
    <row r="86" spans="1:8" ht="27.75" customHeight="1" x14ac:dyDescent="0.25">
      <c r="A86" s="59">
        <v>5</v>
      </c>
      <c r="B86" s="52" t="s">
        <v>236</v>
      </c>
      <c r="C86" s="8"/>
      <c r="D86" s="6"/>
      <c r="E86" s="6" t="s">
        <v>154</v>
      </c>
      <c r="F86" s="8">
        <f>SUM(690*4)</f>
        <v>2760</v>
      </c>
      <c r="G86" s="8">
        <v>30</v>
      </c>
      <c r="H86" s="64" t="s">
        <v>195</v>
      </c>
    </row>
    <row r="87" spans="1:8" ht="16.5" customHeight="1" thickBot="1" x14ac:dyDescent="0.3">
      <c r="A87" s="109" t="s">
        <v>6</v>
      </c>
      <c r="B87" s="110"/>
      <c r="C87" s="110"/>
      <c r="D87" s="110"/>
      <c r="E87" s="110"/>
      <c r="F87" s="111"/>
      <c r="G87" s="31">
        <f>SUM(G82:G86)</f>
        <v>508</v>
      </c>
      <c r="H87" s="83"/>
    </row>
    <row r="88" spans="1:8" ht="16.5" thickBot="1" x14ac:dyDescent="0.3">
      <c r="A88" s="112" t="s">
        <v>16</v>
      </c>
      <c r="B88" s="113"/>
      <c r="C88" s="113"/>
      <c r="D88" s="113"/>
      <c r="E88" s="113"/>
      <c r="F88" s="113"/>
      <c r="G88" s="113"/>
      <c r="H88" s="87" t="s">
        <v>96</v>
      </c>
    </row>
    <row r="89" spans="1:8" ht="31.5" x14ac:dyDescent="0.25">
      <c r="A89" s="59">
        <v>1</v>
      </c>
      <c r="B89" s="35" t="s">
        <v>135</v>
      </c>
      <c r="C89" s="74" t="s">
        <v>36</v>
      </c>
      <c r="D89" s="74"/>
      <c r="E89" s="74"/>
      <c r="F89" s="74">
        <f>659*4.5</f>
        <v>2965.5</v>
      </c>
      <c r="G89" s="69">
        <v>470.52</v>
      </c>
      <c r="H89" s="63" t="s">
        <v>98</v>
      </c>
    </row>
    <row r="90" spans="1:8" x14ac:dyDescent="0.25">
      <c r="A90" s="59">
        <v>2</v>
      </c>
      <c r="B90" s="37" t="s">
        <v>99</v>
      </c>
      <c r="C90" s="75" t="s">
        <v>154</v>
      </c>
      <c r="D90" s="76" t="s">
        <v>36</v>
      </c>
      <c r="E90" s="76"/>
      <c r="F90" s="75">
        <f>680*5</f>
        <v>3400</v>
      </c>
      <c r="G90" s="77">
        <f>(F90*0.065)+20</f>
        <v>241</v>
      </c>
      <c r="H90" s="63" t="s">
        <v>100</v>
      </c>
    </row>
    <row r="91" spans="1:8" ht="33" customHeight="1" x14ac:dyDescent="0.25">
      <c r="A91" s="61">
        <v>3</v>
      </c>
      <c r="B91" s="37" t="s">
        <v>158</v>
      </c>
      <c r="C91" s="75"/>
      <c r="D91" s="75" t="s">
        <v>23</v>
      </c>
      <c r="E91" s="76"/>
      <c r="F91" s="75">
        <f>237*5</f>
        <v>1185</v>
      </c>
      <c r="G91" s="77">
        <v>20</v>
      </c>
      <c r="H91" s="63" t="s">
        <v>97</v>
      </c>
    </row>
    <row r="92" spans="1:8" ht="16.5" customHeight="1" thickBot="1" x14ac:dyDescent="0.3">
      <c r="A92" s="109" t="s">
        <v>6</v>
      </c>
      <c r="B92" s="110"/>
      <c r="C92" s="110"/>
      <c r="D92" s="110"/>
      <c r="E92" s="110"/>
      <c r="F92" s="111"/>
      <c r="G92" s="23">
        <f>SUM(G89:G91)</f>
        <v>731.52</v>
      </c>
      <c r="H92" s="83"/>
    </row>
    <row r="93" spans="1:8" ht="16.5" thickBot="1" x14ac:dyDescent="0.3">
      <c r="A93" s="115" t="s">
        <v>17</v>
      </c>
      <c r="B93" s="116"/>
      <c r="C93" s="116"/>
      <c r="D93" s="116"/>
      <c r="E93" s="116"/>
      <c r="F93" s="116"/>
      <c r="G93" s="113"/>
      <c r="H93" s="87" t="s">
        <v>101</v>
      </c>
    </row>
    <row r="94" spans="1:8" ht="16.5" customHeight="1" thickBot="1" x14ac:dyDescent="0.3">
      <c r="A94" s="109" t="s">
        <v>6</v>
      </c>
      <c r="B94" s="110"/>
      <c r="C94" s="110"/>
      <c r="D94" s="110"/>
      <c r="E94" s="110"/>
      <c r="F94" s="111"/>
      <c r="G94" s="23">
        <f>0</f>
        <v>0</v>
      </c>
      <c r="H94" s="83"/>
    </row>
    <row r="95" spans="1:8" ht="16.5" thickBot="1" x14ac:dyDescent="0.3">
      <c r="A95" s="115" t="s">
        <v>18</v>
      </c>
      <c r="B95" s="113"/>
      <c r="C95" s="113"/>
      <c r="D95" s="113"/>
      <c r="E95" s="113"/>
      <c r="F95" s="113"/>
      <c r="G95" s="113"/>
      <c r="H95" s="87" t="s">
        <v>102</v>
      </c>
    </row>
    <row r="96" spans="1:8" x14ac:dyDescent="0.25">
      <c r="A96" s="59">
        <v>1</v>
      </c>
      <c r="B96" s="38" t="s">
        <v>237</v>
      </c>
      <c r="C96" s="20" t="s">
        <v>153</v>
      </c>
      <c r="D96" s="20"/>
      <c r="E96" s="20"/>
      <c r="F96" s="20">
        <f>310*5</f>
        <v>1550</v>
      </c>
      <c r="G96" s="21">
        <f>F96*0.065</f>
        <v>100.75</v>
      </c>
      <c r="H96" s="63" t="s">
        <v>103</v>
      </c>
    </row>
    <row r="97" spans="1:8" x14ac:dyDescent="0.25">
      <c r="A97" s="59">
        <v>2</v>
      </c>
      <c r="B97" s="38" t="s">
        <v>146</v>
      </c>
      <c r="C97" s="20" t="s">
        <v>153</v>
      </c>
      <c r="D97" s="20"/>
      <c r="E97" s="20"/>
      <c r="F97" s="20">
        <f>222*4</f>
        <v>888</v>
      </c>
      <c r="G97" s="78">
        <f>SUM(97.6+15.6)</f>
        <v>113.19999999999999</v>
      </c>
      <c r="H97" s="63" t="s">
        <v>196</v>
      </c>
    </row>
    <row r="98" spans="1:8" x14ac:dyDescent="0.25">
      <c r="A98" s="59">
        <v>3</v>
      </c>
      <c r="B98" s="38" t="s">
        <v>104</v>
      </c>
      <c r="C98" s="20" t="s">
        <v>37</v>
      </c>
      <c r="D98" s="20"/>
      <c r="E98" s="20"/>
      <c r="F98" s="20">
        <f>257*4.5</f>
        <v>1156.5</v>
      </c>
      <c r="G98" s="21">
        <f>F98*0.04</f>
        <v>46.26</v>
      </c>
      <c r="H98" s="63" t="s">
        <v>105</v>
      </c>
    </row>
    <row r="99" spans="1:8" x14ac:dyDescent="0.25">
      <c r="A99" s="59">
        <v>4</v>
      </c>
      <c r="B99" s="35" t="s">
        <v>238</v>
      </c>
      <c r="C99" s="9"/>
      <c r="D99" s="9" t="s">
        <v>37</v>
      </c>
      <c r="E99" s="9"/>
      <c r="F99" s="9">
        <f>SUM(435*5)</f>
        <v>2175</v>
      </c>
      <c r="G99" s="6">
        <f>SUM(F99*0.04)</f>
        <v>87</v>
      </c>
      <c r="H99" s="64" t="s">
        <v>197</v>
      </c>
    </row>
    <row r="100" spans="1:8" ht="15.75" customHeight="1" thickBot="1" x14ac:dyDescent="0.3">
      <c r="A100" s="109" t="s">
        <v>6</v>
      </c>
      <c r="B100" s="110"/>
      <c r="C100" s="110"/>
      <c r="D100" s="110"/>
      <c r="E100" s="110"/>
      <c r="F100" s="111"/>
      <c r="G100" s="23">
        <f>SUM(G96:G99)</f>
        <v>347.21</v>
      </c>
      <c r="H100" s="83"/>
    </row>
    <row r="101" spans="1:8" ht="16.5" thickBot="1" x14ac:dyDescent="0.3">
      <c r="A101" s="100" t="s">
        <v>19</v>
      </c>
      <c r="B101" s="101"/>
      <c r="C101" s="101"/>
      <c r="D101" s="101"/>
      <c r="E101" s="101"/>
      <c r="F101" s="101"/>
      <c r="G101" s="102"/>
      <c r="H101" s="87" t="s">
        <v>106</v>
      </c>
    </row>
    <row r="102" spans="1:8" ht="31.5" x14ac:dyDescent="0.25">
      <c r="A102" s="59">
        <v>1</v>
      </c>
      <c r="B102" s="39" t="s">
        <v>239</v>
      </c>
      <c r="C102" s="6" t="s">
        <v>159</v>
      </c>
      <c r="D102" s="6"/>
      <c r="E102" s="6"/>
      <c r="F102" s="6">
        <f>1250*6</f>
        <v>7500</v>
      </c>
      <c r="G102" s="69">
        <v>966.447</v>
      </c>
      <c r="H102" s="63" t="s">
        <v>110</v>
      </c>
    </row>
    <row r="103" spans="1:8" ht="31.5" x14ac:dyDescent="0.25">
      <c r="A103" s="59">
        <v>2</v>
      </c>
      <c r="B103" s="35" t="s">
        <v>240</v>
      </c>
      <c r="C103" s="8" t="s">
        <v>37</v>
      </c>
      <c r="D103" s="8"/>
      <c r="E103" s="8"/>
      <c r="F103" s="9">
        <f>375*7</f>
        <v>2625</v>
      </c>
      <c r="G103" s="24">
        <v>60.86</v>
      </c>
      <c r="H103" s="63" t="s">
        <v>107</v>
      </c>
    </row>
    <row r="104" spans="1:8" x14ac:dyDescent="0.25">
      <c r="A104" s="59">
        <f t="shared" ref="A104:A130" si="4">A103+1</f>
        <v>3</v>
      </c>
      <c r="B104" s="35" t="s">
        <v>113</v>
      </c>
      <c r="C104" s="8" t="s">
        <v>37</v>
      </c>
      <c r="D104" s="8"/>
      <c r="E104" s="8"/>
      <c r="F104" s="9">
        <f>381*5</f>
        <v>1905</v>
      </c>
      <c r="G104" s="24">
        <f>F104*0.04</f>
        <v>76.2</v>
      </c>
      <c r="H104" s="63" t="s">
        <v>108</v>
      </c>
    </row>
    <row r="105" spans="1:8" x14ac:dyDescent="0.25">
      <c r="A105" s="59">
        <v>4</v>
      </c>
      <c r="B105" s="35" t="s">
        <v>241</v>
      </c>
      <c r="C105" s="8" t="s">
        <v>37</v>
      </c>
      <c r="D105" s="8"/>
      <c r="E105" s="8"/>
      <c r="F105" s="9">
        <f>620*6</f>
        <v>3720</v>
      </c>
      <c r="G105" s="24">
        <f>F105*0.02</f>
        <v>74.400000000000006</v>
      </c>
      <c r="H105" s="63" t="s">
        <v>109</v>
      </c>
    </row>
    <row r="106" spans="1:8" ht="31.5" x14ac:dyDescent="0.25">
      <c r="A106" s="59">
        <f t="shared" si="4"/>
        <v>5</v>
      </c>
      <c r="B106" s="42" t="s">
        <v>178</v>
      </c>
      <c r="C106" s="8" t="s">
        <v>154</v>
      </c>
      <c r="D106" s="6" t="s">
        <v>36</v>
      </c>
      <c r="E106" s="6"/>
      <c r="F106" s="6">
        <v>2800</v>
      </c>
      <c r="G106" s="22">
        <f>20+F106*0.06</f>
        <v>188</v>
      </c>
      <c r="H106" s="63" t="s">
        <v>112</v>
      </c>
    </row>
    <row r="107" spans="1:8" x14ac:dyDescent="0.25">
      <c r="A107" s="59">
        <f t="shared" si="4"/>
        <v>6</v>
      </c>
      <c r="B107" s="40" t="s">
        <v>114</v>
      </c>
      <c r="C107" s="14"/>
      <c r="D107" s="18" t="s">
        <v>37</v>
      </c>
      <c r="E107" s="18"/>
      <c r="F107" s="14">
        <f>277*5</f>
        <v>1385</v>
      </c>
      <c r="G107" s="24">
        <f>F107*0.04</f>
        <v>55.4</v>
      </c>
      <c r="H107" s="63" t="s">
        <v>115</v>
      </c>
    </row>
    <row r="108" spans="1:8" x14ac:dyDescent="0.25">
      <c r="A108" s="59">
        <f t="shared" si="4"/>
        <v>7</v>
      </c>
      <c r="B108" s="40" t="s">
        <v>116</v>
      </c>
      <c r="C108" s="14" t="s">
        <v>154</v>
      </c>
      <c r="D108" s="18" t="s">
        <v>36</v>
      </c>
      <c r="E108" s="18"/>
      <c r="F108" s="14">
        <f>158*5</f>
        <v>790</v>
      </c>
      <c r="G108" s="24">
        <f>20+F108*0.06</f>
        <v>67.400000000000006</v>
      </c>
      <c r="H108" s="63" t="s">
        <v>117</v>
      </c>
    </row>
    <row r="109" spans="1:8" ht="31.5" x14ac:dyDescent="0.25">
      <c r="A109" s="59">
        <f t="shared" si="4"/>
        <v>8</v>
      </c>
      <c r="B109" s="40" t="s">
        <v>242</v>
      </c>
      <c r="C109" s="14" t="s">
        <v>154</v>
      </c>
      <c r="D109" s="18" t="s">
        <v>36</v>
      </c>
      <c r="E109" s="18"/>
      <c r="F109" s="14">
        <f>180*5</f>
        <v>900</v>
      </c>
      <c r="G109" s="24">
        <f t="shared" ref="G109:G110" si="5">20+F109*0.06</f>
        <v>74</v>
      </c>
      <c r="H109" s="63" t="s">
        <v>118</v>
      </c>
    </row>
    <row r="110" spans="1:8" ht="31.5" x14ac:dyDescent="0.25">
      <c r="A110" s="59">
        <f t="shared" si="4"/>
        <v>9</v>
      </c>
      <c r="B110" s="40" t="s">
        <v>243</v>
      </c>
      <c r="C110" s="14" t="s">
        <v>154</v>
      </c>
      <c r="D110" s="18" t="s">
        <v>36</v>
      </c>
      <c r="E110" s="18"/>
      <c r="F110" s="14">
        <f>130*5</f>
        <v>650</v>
      </c>
      <c r="G110" s="24">
        <f t="shared" si="5"/>
        <v>59</v>
      </c>
      <c r="H110" s="63" t="s">
        <v>119</v>
      </c>
    </row>
    <row r="111" spans="1:8" x14ac:dyDescent="0.25">
      <c r="A111" s="59">
        <f t="shared" si="4"/>
        <v>10</v>
      </c>
      <c r="B111" s="40" t="s">
        <v>120</v>
      </c>
      <c r="C111" s="14"/>
      <c r="D111" s="55" t="s">
        <v>23</v>
      </c>
      <c r="E111" s="18"/>
      <c r="F111" s="14">
        <f>256*5</f>
        <v>1280</v>
      </c>
      <c r="G111" s="24">
        <f>(F111*0.04)+20</f>
        <v>71.2</v>
      </c>
      <c r="H111" s="63" t="s">
        <v>121</v>
      </c>
    </row>
    <row r="112" spans="1:8" x14ac:dyDescent="0.25">
      <c r="A112" s="59">
        <f t="shared" si="4"/>
        <v>11</v>
      </c>
      <c r="B112" s="40" t="s">
        <v>249</v>
      </c>
      <c r="C112" s="14"/>
      <c r="D112" s="18" t="s">
        <v>37</v>
      </c>
      <c r="E112" s="18"/>
      <c r="F112" s="14">
        <f>240*5</f>
        <v>1200</v>
      </c>
      <c r="G112" s="24">
        <f>F112*0.04</f>
        <v>48</v>
      </c>
      <c r="H112" s="63" t="s">
        <v>122</v>
      </c>
    </row>
    <row r="113" spans="1:8" x14ac:dyDescent="0.25">
      <c r="A113" s="59">
        <f t="shared" si="4"/>
        <v>12</v>
      </c>
      <c r="B113" s="40" t="s">
        <v>123</v>
      </c>
      <c r="C113" s="14" t="s">
        <v>154</v>
      </c>
      <c r="D113" s="18" t="s">
        <v>36</v>
      </c>
      <c r="E113" s="18"/>
      <c r="F113" s="14">
        <f>200*5</f>
        <v>1000</v>
      </c>
      <c r="G113" s="24">
        <f>20+F113*0.065</f>
        <v>85</v>
      </c>
      <c r="H113" s="63" t="s">
        <v>124</v>
      </c>
    </row>
    <row r="114" spans="1:8" x14ac:dyDescent="0.25">
      <c r="A114" s="59">
        <f t="shared" si="4"/>
        <v>13</v>
      </c>
      <c r="B114" s="40" t="s">
        <v>125</v>
      </c>
      <c r="C114" s="14" t="s">
        <v>36</v>
      </c>
      <c r="D114" s="18"/>
      <c r="E114" s="18"/>
      <c r="F114" s="14">
        <f>820*1.5</f>
        <v>1230</v>
      </c>
      <c r="G114" s="69">
        <v>479.18</v>
      </c>
      <c r="H114" s="63" t="s">
        <v>126</v>
      </c>
    </row>
    <row r="115" spans="1:8" x14ac:dyDescent="0.25">
      <c r="A115" s="59">
        <f t="shared" si="4"/>
        <v>14</v>
      </c>
      <c r="B115" s="40" t="s">
        <v>147</v>
      </c>
      <c r="C115" s="5" t="s">
        <v>23</v>
      </c>
      <c r="D115" s="18"/>
      <c r="E115" s="18"/>
      <c r="F115" s="14">
        <f>860*1.5</f>
        <v>1290</v>
      </c>
      <c r="G115" s="69">
        <v>20</v>
      </c>
      <c r="H115" s="63" t="s">
        <v>127</v>
      </c>
    </row>
    <row r="116" spans="1:8" x14ac:dyDescent="0.25">
      <c r="A116" s="59">
        <f t="shared" si="4"/>
        <v>15</v>
      </c>
      <c r="B116" s="40" t="s">
        <v>244</v>
      </c>
      <c r="C116" s="13" t="s">
        <v>36</v>
      </c>
      <c r="D116" s="18"/>
      <c r="E116" s="18"/>
      <c r="F116" s="14">
        <f>710*2.5</f>
        <v>1775</v>
      </c>
      <c r="G116" s="77">
        <v>590.63</v>
      </c>
      <c r="H116" s="63" t="s">
        <v>134</v>
      </c>
    </row>
    <row r="117" spans="1:8" x14ac:dyDescent="0.25">
      <c r="A117" s="56">
        <f t="shared" si="4"/>
        <v>16</v>
      </c>
      <c r="B117" s="40" t="s">
        <v>148</v>
      </c>
      <c r="C117" s="34" t="s">
        <v>23</v>
      </c>
      <c r="D117" s="14" t="s">
        <v>36</v>
      </c>
      <c r="E117" s="14"/>
      <c r="F117" s="14">
        <f>110*3</f>
        <v>330</v>
      </c>
      <c r="G117" s="25">
        <f>20+F117*0.065</f>
        <v>41.45</v>
      </c>
      <c r="H117" s="63" t="s">
        <v>143</v>
      </c>
    </row>
    <row r="118" spans="1:8" ht="16.5" customHeight="1" x14ac:dyDescent="0.25">
      <c r="A118" s="61">
        <f t="shared" si="4"/>
        <v>17</v>
      </c>
      <c r="B118" s="41" t="s">
        <v>128</v>
      </c>
      <c r="C118" s="14" t="s">
        <v>23</v>
      </c>
      <c r="D118" s="18"/>
      <c r="E118" s="18"/>
      <c r="F118" s="13">
        <f>2500*6</f>
        <v>15000</v>
      </c>
      <c r="G118" s="25">
        <v>20</v>
      </c>
      <c r="H118" s="66" t="s">
        <v>111</v>
      </c>
    </row>
    <row r="119" spans="1:8" ht="16.5" customHeight="1" x14ac:dyDescent="0.25">
      <c r="A119" s="61">
        <f t="shared" si="4"/>
        <v>18</v>
      </c>
      <c r="B119" s="44" t="s">
        <v>214</v>
      </c>
      <c r="C119" s="6"/>
      <c r="D119" s="8"/>
      <c r="E119" s="46" t="s">
        <v>154</v>
      </c>
      <c r="F119" s="5">
        <f>SUM(1.5*1147)</f>
        <v>1720.5</v>
      </c>
      <c r="G119" s="8">
        <v>30</v>
      </c>
      <c r="H119" s="65" t="s">
        <v>198</v>
      </c>
    </row>
    <row r="120" spans="1:8" ht="16.5" customHeight="1" x14ac:dyDescent="0.25">
      <c r="A120" s="61">
        <f t="shared" si="4"/>
        <v>19</v>
      </c>
      <c r="B120" s="44" t="s">
        <v>161</v>
      </c>
      <c r="C120" s="6"/>
      <c r="D120" s="8"/>
      <c r="E120" s="46" t="s">
        <v>37</v>
      </c>
      <c r="F120" s="5">
        <f>SUM(5*155)</f>
        <v>775</v>
      </c>
      <c r="G120" s="8">
        <f>SUM(F120*0.04)</f>
        <v>31</v>
      </c>
      <c r="H120" s="65" t="s">
        <v>201</v>
      </c>
    </row>
    <row r="121" spans="1:8" ht="17.25" customHeight="1" x14ac:dyDescent="0.25">
      <c r="A121" s="61">
        <f t="shared" si="4"/>
        <v>20</v>
      </c>
      <c r="B121" s="44" t="s">
        <v>162</v>
      </c>
      <c r="C121" s="6"/>
      <c r="D121" s="8"/>
      <c r="E121" s="45" t="s">
        <v>160</v>
      </c>
      <c r="F121" s="5">
        <f>SUM(5*125)</f>
        <v>625</v>
      </c>
      <c r="G121" s="8">
        <v>134.14999999999998</v>
      </c>
      <c r="H121" s="65" t="s">
        <v>202</v>
      </c>
    </row>
    <row r="122" spans="1:8" ht="17.25" customHeight="1" x14ac:dyDescent="0.25">
      <c r="A122" s="61">
        <f t="shared" si="4"/>
        <v>21</v>
      </c>
      <c r="B122" s="44" t="s">
        <v>164</v>
      </c>
      <c r="C122" s="6"/>
      <c r="D122" s="8"/>
      <c r="E122" s="46" t="s">
        <v>37</v>
      </c>
      <c r="F122" s="5">
        <f>SUM(277*5)</f>
        <v>1385</v>
      </c>
      <c r="G122" s="8">
        <f>SUM(F122*0.04)</f>
        <v>55.4</v>
      </c>
      <c r="H122" s="65" t="s">
        <v>203</v>
      </c>
    </row>
    <row r="123" spans="1:8" ht="32.25" customHeight="1" x14ac:dyDescent="0.25">
      <c r="A123" s="61">
        <f t="shared" si="4"/>
        <v>22</v>
      </c>
      <c r="B123" s="44" t="s">
        <v>167</v>
      </c>
      <c r="C123" s="6"/>
      <c r="D123" s="8"/>
      <c r="E123" s="46" t="s">
        <v>23</v>
      </c>
      <c r="F123" s="5">
        <f>SUM(350*8)</f>
        <v>2800</v>
      </c>
      <c r="G123" s="8">
        <v>20</v>
      </c>
      <c r="H123" s="65" t="s">
        <v>200</v>
      </c>
    </row>
    <row r="124" spans="1:8" ht="16.5" customHeight="1" x14ac:dyDescent="0.25">
      <c r="A124" s="61">
        <f t="shared" si="4"/>
        <v>23</v>
      </c>
      <c r="B124" s="44" t="s">
        <v>215</v>
      </c>
      <c r="C124" s="6"/>
      <c r="D124" s="8"/>
      <c r="E124" s="46" t="s">
        <v>23</v>
      </c>
      <c r="F124" s="5">
        <f>SUM(511*5)</f>
        <v>2555</v>
      </c>
      <c r="G124" s="8">
        <v>20</v>
      </c>
      <c r="H124" s="65" t="s">
        <v>199</v>
      </c>
    </row>
    <row r="125" spans="1:8" ht="16.5" customHeight="1" x14ac:dyDescent="0.25">
      <c r="A125" s="61">
        <f t="shared" si="4"/>
        <v>24</v>
      </c>
      <c r="B125" s="44" t="s">
        <v>163</v>
      </c>
      <c r="C125" s="6"/>
      <c r="D125" s="8"/>
      <c r="E125" s="46" t="s">
        <v>37</v>
      </c>
      <c r="F125" s="5">
        <v>540</v>
      </c>
      <c r="G125" s="8">
        <v>21.6</v>
      </c>
      <c r="H125" s="65" t="s">
        <v>204</v>
      </c>
    </row>
    <row r="126" spans="1:8" ht="16.5" customHeight="1" x14ac:dyDescent="0.25">
      <c r="A126" s="61">
        <f t="shared" si="4"/>
        <v>25</v>
      </c>
      <c r="B126" s="44" t="s">
        <v>165</v>
      </c>
      <c r="C126" s="6"/>
      <c r="D126" s="8"/>
      <c r="E126" s="46" t="s">
        <v>37</v>
      </c>
      <c r="F126" s="5">
        <v>1971</v>
      </c>
      <c r="G126" s="8">
        <v>78.84</v>
      </c>
      <c r="H126" s="65" t="s">
        <v>206</v>
      </c>
    </row>
    <row r="127" spans="1:8" ht="16.5" customHeight="1" x14ac:dyDescent="0.25">
      <c r="A127" s="61">
        <f t="shared" si="4"/>
        <v>26</v>
      </c>
      <c r="B127" s="44" t="s">
        <v>166</v>
      </c>
      <c r="C127" s="6"/>
      <c r="D127" s="8"/>
      <c r="E127" s="46" t="s">
        <v>23</v>
      </c>
      <c r="F127" s="5">
        <v>848</v>
      </c>
      <c r="G127" s="8">
        <v>51.019999999999996</v>
      </c>
      <c r="H127" s="65" t="s">
        <v>207</v>
      </c>
    </row>
    <row r="128" spans="1:8" ht="16.5" customHeight="1" x14ac:dyDescent="0.25">
      <c r="A128" s="61">
        <f t="shared" si="4"/>
        <v>27</v>
      </c>
      <c r="B128" s="44" t="s">
        <v>245</v>
      </c>
      <c r="C128" s="6"/>
      <c r="D128" s="8"/>
      <c r="E128" s="46" t="s">
        <v>23</v>
      </c>
      <c r="F128" s="5">
        <f>SUM(283*4)</f>
        <v>1132</v>
      </c>
      <c r="G128" s="8">
        <v>20</v>
      </c>
      <c r="H128" s="65" t="s">
        <v>208</v>
      </c>
    </row>
    <row r="129" spans="1:12" ht="16.5" customHeight="1" x14ac:dyDescent="0.25">
      <c r="A129" s="61">
        <f t="shared" si="4"/>
        <v>28</v>
      </c>
      <c r="B129" s="44" t="s">
        <v>246</v>
      </c>
      <c r="C129" s="6"/>
      <c r="D129" s="8"/>
      <c r="E129" s="46" t="s">
        <v>23</v>
      </c>
      <c r="F129" s="5">
        <f>SUM(390*4)</f>
        <v>1560</v>
      </c>
      <c r="G129" s="8">
        <v>20</v>
      </c>
      <c r="H129" s="65" t="s">
        <v>209</v>
      </c>
    </row>
    <row r="130" spans="1:12" ht="16.5" customHeight="1" x14ac:dyDescent="0.25">
      <c r="A130" s="61">
        <f t="shared" si="4"/>
        <v>29</v>
      </c>
      <c r="B130" s="41" t="s">
        <v>168</v>
      </c>
      <c r="C130" s="14"/>
      <c r="D130" s="18"/>
      <c r="E130" s="51" t="s">
        <v>23</v>
      </c>
      <c r="F130" s="13">
        <f>SUM(680*5)</f>
        <v>3400</v>
      </c>
      <c r="G130" s="18">
        <v>20</v>
      </c>
      <c r="H130" s="67" t="s">
        <v>210</v>
      </c>
    </row>
    <row r="131" spans="1:12" ht="15.75" customHeight="1" thickBot="1" x14ac:dyDescent="0.3">
      <c r="A131" s="103" t="s">
        <v>6</v>
      </c>
      <c r="B131" s="104"/>
      <c r="C131" s="104"/>
      <c r="D131" s="104"/>
      <c r="E131" s="104"/>
      <c r="F131" s="105"/>
      <c r="G131" s="43">
        <f>SUM(G102:G130)</f>
        <v>3479.1770000000006</v>
      </c>
      <c r="H131" s="81"/>
    </row>
    <row r="132" spans="1:12" x14ac:dyDescent="0.25">
      <c r="A132" s="106" t="s">
        <v>20</v>
      </c>
      <c r="B132" s="107"/>
      <c r="C132" s="107"/>
      <c r="D132" s="107"/>
      <c r="E132" s="107"/>
      <c r="F132" s="107"/>
      <c r="G132" s="108"/>
      <c r="H132" s="87" t="s">
        <v>130</v>
      </c>
    </row>
    <row r="133" spans="1:12" x14ac:dyDescent="0.25">
      <c r="A133" s="59">
        <v>1</v>
      </c>
      <c r="B133" s="47" t="s">
        <v>129</v>
      </c>
      <c r="C133" s="6"/>
      <c r="D133" s="6" t="s">
        <v>23</v>
      </c>
      <c r="E133" s="6"/>
      <c r="F133" s="9">
        <f>4500*5</f>
        <v>22500</v>
      </c>
      <c r="G133" s="8">
        <v>20</v>
      </c>
      <c r="H133" s="64" t="s">
        <v>131</v>
      </c>
    </row>
    <row r="134" spans="1:12" ht="36" customHeight="1" x14ac:dyDescent="0.25">
      <c r="A134" s="68">
        <v>2</v>
      </c>
      <c r="B134" s="52" t="s">
        <v>179</v>
      </c>
      <c r="C134" s="6"/>
      <c r="D134" s="8"/>
      <c r="E134" s="8" t="s">
        <v>23</v>
      </c>
      <c r="F134" s="8">
        <f>496*3</f>
        <v>1488</v>
      </c>
      <c r="G134" s="8">
        <v>20</v>
      </c>
      <c r="H134" s="85" t="s">
        <v>247</v>
      </c>
      <c r="L134"/>
    </row>
    <row r="135" spans="1:12" ht="16.5" customHeight="1" thickBot="1" x14ac:dyDescent="0.3">
      <c r="A135" s="109" t="s">
        <v>6</v>
      </c>
      <c r="B135" s="110"/>
      <c r="C135" s="110"/>
      <c r="D135" s="110"/>
      <c r="E135" s="110"/>
      <c r="F135" s="111"/>
      <c r="G135" s="31">
        <f>SUM(G133:G134)</f>
        <v>40</v>
      </c>
      <c r="H135" s="81"/>
    </row>
    <row r="136" spans="1:12" ht="15.75" customHeight="1" thickBot="1" x14ac:dyDescent="0.3">
      <c r="A136" s="97" t="s">
        <v>21</v>
      </c>
      <c r="B136" s="98"/>
      <c r="C136" s="98"/>
      <c r="D136" s="98"/>
      <c r="E136" s="98"/>
      <c r="F136" s="99"/>
      <c r="G136" s="26">
        <f>G10+G21+G29+G37+G47+G60+G68+G80+G87+G92+G94+G100+G131+G135</f>
        <v>13025.460999999999</v>
      </c>
      <c r="H136" s="86"/>
    </row>
    <row r="137" spans="1:12" ht="16.5" thickTop="1" x14ac:dyDescent="0.25">
      <c r="A137" s="96" t="s">
        <v>205</v>
      </c>
      <c r="B137" s="96"/>
      <c r="C137" s="96"/>
      <c r="D137" s="96"/>
      <c r="E137" s="96"/>
      <c r="F137" s="96"/>
      <c r="G137" s="96"/>
      <c r="H137" s="96"/>
    </row>
    <row r="138" spans="1:12" x14ac:dyDescent="0.25">
      <c r="A138" s="119" t="s">
        <v>133</v>
      </c>
      <c r="B138" s="119"/>
      <c r="C138" s="119"/>
      <c r="D138" s="119"/>
      <c r="E138" s="119"/>
      <c r="F138" s="119"/>
      <c r="G138" s="119"/>
      <c r="H138" s="119"/>
    </row>
    <row r="139" spans="1:12" x14ac:dyDescent="0.25">
      <c r="A139" s="119" t="s">
        <v>132</v>
      </c>
      <c r="B139" s="119"/>
      <c r="C139" s="119"/>
      <c r="D139" s="119"/>
      <c r="E139" s="119"/>
      <c r="F139" s="119"/>
      <c r="G139" s="119"/>
      <c r="H139" s="119"/>
    </row>
    <row r="140" spans="1:12" x14ac:dyDescent="0.25">
      <c r="C140" s="7"/>
      <c r="D140" s="7"/>
      <c r="E140" s="7"/>
      <c r="F140" s="7"/>
      <c r="G140" s="7"/>
    </row>
  </sheetData>
  <mergeCells count="36">
    <mergeCell ref="F2:H2"/>
    <mergeCell ref="F3:H3"/>
    <mergeCell ref="A138:H138"/>
    <mergeCell ref="A139:H139"/>
    <mergeCell ref="A5:G5"/>
    <mergeCell ref="D4:G4"/>
    <mergeCell ref="A60:F60"/>
    <mergeCell ref="A7:G7"/>
    <mergeCell ref="A10:F10"/>
    <mergeCell ref="A11:G11"/>
    <mergeCell ref="A21:F21"/>
    <mergeCell ref="A22:G22"/>
    <mergeCell ref="A29:F29"/>
    <mergeCell ref="A30:G30"/>
    <mergeCell ref="A37:F37"/>
    <mergeCell ref="A38:G38"/>
    <mergeCell ref="A47:F47"/>
    <mergeCell ref="A48:G48"/>
    <mergeCell ref="A100:F100"/>
    <mergeCell ref="A61:G61"/>
    <mergeCell ref="A68:F68"/>
    <mergeCell ref="A69:G69"/>
    <mergeCell ref="A80:F80"/>
    <mergeCell ref="A81:G81"/>
    <mergeCell ref="A87:F87"/>
    <mergeCell ref="A88:G88"/>
    <mergeCell ref="A92:F92"/>
    <mergeCell ref="A93:G93"/>
    <mergeCell ref="A94:F94"/>
    <mergeCell ref="A95:G95"/>
    <mergeCell ref="A137:H137"/>
    <mergeCell ref="A136:F136"/>
    <mergeCell ref="A101:G101"/>
    <mergeCell ref="A131:F131"/>
    <mergeCell ref="A132:G132"/>
    <mergeCell ref="A135:F135"/>
  </mergeCells>
  <phoneticPr fontId="12" type="noConversion"/>
  <hyperlinks>
    <hyperlink ref="H133" r:id="rId1" xr:uid="{F9C0FCAA-79CF-4CFF-9E98-56127ED10531}"/>
    <hyperlink ref="H132" r:id="rId2" xr:uid="{B144C1C1-B636-463C-917B-A8A8F858543D}"/>
    <hyperlink ref="H118" r:id="rId3" xr:uid="{FFC40032-5780-4C14-8855-72728EBE2EBD}"/>
    <hyperlink ref="H115" r:id="rId4" xr:uid="{FDC02F01-5C84-4B7E-B32C-73614F606751}"/>
    <hyperlink ref="H114" r:id="rId5" xr:uid="{9C5C57CE-2B0C-457C-B73F-EAFA70AA57D7}"/>
    <hyperlink ref="H113" r:id="rId6" xr:uid="{8E3AE3F9-5102-4E0B-BA5B-3C61A7ECAEB5}"/>
    <hyperlink ref="H112" r:id="rId7" xr:uid="{122AE251-8CEB-45A1-A4E9-402F489CA71E}"/>
    <hyperlink ref="H111" r:id="rId8" xr:uid="{95A6ED40-4DE6-4C4D-89A4-04A60F6B8A0A}"/>
    <hyperlink ref="H109" r:id="rId9" xr:uid="{888B8089-68BF-43DB-9ECE-81237F1F8D77}"/>
    <hyperlink ref="H108" r:id="rId10" xr:uid="{F2A069EE-0433-4609-8AA6-3F593FB70DFF}"/>
    <hyperlink ref="H107" r:id="rId11" xr:uid="{082A3764-C06E-4045-9844-16EA83769DB4}"/>
    <hyperlink ref="H106" r:id="rId12" xr:uid="{43A65FFF-1F60-44C9-9F0C-E7553726541D}"/>
    <hyperlink ref="H105" r:id="rId13" xr:uid="{4B865955-3947-44EC-BFFE-CB3867A7C76C}"/>
    <hyperlink ref="H104" r:id="rId14" xr:uid="{BA93CFFB-9B93-4280-8713-647C384DD655}"/>
    <hyperlink ref="H103" r:id="rId15" xr:uid="{5A8B9196-C3FB-4B17-8D5A-C0ECEA0073BB}"/>
    <hyperlink ref="H102" r:id="rId16" xr:uid="{CE1ECC29-16FE-42DD-9DCD-39163743E9B8}"/>
    <hyperlink ref="H101" r:id="rId17" xr:uid="{878920D9-D1B0-4826-9ACE-4FC0F696E3B3}"/>
    <hyperlink ref="H98" r:id="rId18" xr:uid="{A8C5EEFF-9011-4961-9004-11DC7C000842}"/>
    <hyperlink ref="H96" r:id="rId19" xr:uid="{4F5C4B03-C348-4A97-B4FB-CE26B106F48D}"/>
    <hyperlink ref="H95" r:id="rId20" xr:uid="{2692B4C3-D701-47E4-B3E3-E46B54174F2E}"/>
    <hyperlink ref="H93" r:id="rId21" xr:uid="{14946A62-E544-4F3A-8B5D-E8225A92E86F}"/>
    <hyperlink ref="H90" r:id="rId22" xr:uid="{CF0CDFC3-7F62-471A-B4E2-6A1D7F30ECF0}"/>
    <hyperlink ref="H91" r:id="rId23" xr:uid="{FCF7F31C-64FF-4CD4-9B44-D764B5BA2485}"/>
    <hyperlink ref="H89" r:id="rId24" xr:uid="{81121D48-1E63-4407-B2A0-D8B0C274C8ED}"/>
    <hyperlink ref="H88" r:id="rId25" xr:uid="{5837DF22-C13C-4C79-8558-F0F882C3C676}"/>
    <hyperlink ref="H84" r:id="rId26" xr:uid="{56DB538A-A213-407F-9B4C-A2DB290B5F86}"/>
    <hyperlink ref="H83" r:id="rId27" xr:uid="{55CEC11D-4895-4CA9-AC78-293D7C937115}"/>
    <hyperlink ref="H82" r:id="rId28" xr:uid="{EEA974EF-B900-4910-A47E-5C98B599C3D5}"/>
    <hyperlink ref="H81" r:id="rId29" xr:uid="{CFB5E217-9140-496E-AAD6-86AF27D18CD6}"/>
    <hyperlink ref="H75" r:id="rId30" xr:uid="{4C41E66F-51D8-4C4B-B947-25EE50F7D632}"/>
    <hyperlink ref="H74" r:id="rId31" xr:uid="{E16BCBBE-03EE-4268-94BC-537CAE709795}"/>
    <hyperlink ref="H73" r:id="rId32" xr:uid="{5BA51B2F-2BF6-418E-804E-16EB8AE24D0E}"/>
    <hyperlink ref="H72" r:id="rId33" xr:uid="{2FDF8B30-26B2-4A91-8DD2-1F4501080556}"/>
    <hyperlink ref="H71" r:id="rId34" xr:uid="{41DDA1DA-A01D-4840-9327-3BF952CED004}"/>
    <hyperlink ref="H70" r:id="rId35" xr:uid="{4A3480FB-62C6-45D7-B446-C4519C4377EB}"/>
    <hyperlink ref="H69" r:id="rId36" xr:uid="{BA7FFEF2-866E-47AE-83EC-86C37177BE27}"/>
    <hyperlink ref="H61" r:id="rId37" xr:uid="{ACD94A7D-98B4-4176-B11F-5B963410A6E4}"/>
    <hyperlink ref="H66" r:id="rId38" xr:uid="{E0594338-A802-4C6D-8EB7-246B94EDEDE9}"/>
    <hyperlink ref="H65" r:id="rId39" xr:uid="{45311EA4-4F36-42F3-B1C6-8F7F4F05C916}"/>
    <hyperlink ref="H64" r:id="rId40" xr:uid="{E4B0D3FB-6060-46D2-8AFF-4709FC348ABE}"/>
    <hyperlink ref="H62" r:id="rId41" xr:uid="{580FE935-A5C3-4222-8AFD-F4CA539CFFB5}"/>
    <hyperlink ref="H63" r:id="rId42" xr:uid="{5DADDE10-498F-4A94-BAA4-F2C66F993852}"/>
    <hyperlink ref="H56" r:id="rId43" xr:uid="{3A5C56E7-7E95-4104-A154-8E7C23995530}"/>
    <hyperlink ref="H55" r:id="rId44" xr:uid="{48CB6A5E-AD63-4F3A-8FB7-4002542F9158}"/>
    <hyperlink ref="H54" r:id="rId45" xr:uid="{A1A9DE41-8653-4320-A53E-3B7A25ACCA64}"/>
    <hyperlink ref="H53" r:id="rId46" xr:uid="{1ECE0917-5A51-47F8-938C-DF3190C8E972}"/>
    <hyperlink ref="H52" r:id="rId47" xr:uid="{5D00A622-B5EC-4FB8-B8A6-A03438CF9032}"/>
    <hyperlink ref="H51" r:id="rId48" xr:uid="{ACB02BFE-DB35-4A82-9194-8D24F3F68F6E}"/>
    <hyperlink ref="H50" r:id="rId49" xr:uid="{C0C92BD6-D381-452D-8C3B-5C90EA9A7521}"/>
    <hyperlink ref="H49" r:id="rId50" xr:uid="{5A517A8B-D539-4137-A92B-49AD4A22683D}"/>
    <hyperlink ref="H48" r:id="rId51" display="Kudirkos aimiestis" xr:uid="{97A519CA-D038-4C4C-AB48-8139EC7B20EC}"/>
    <hyperlink ref="H44" r:id="rId52" xr:uid="{9356B874-9734-4576-9377-210A46C09CC7}"/>
    <hyperlink ref="H43" r:id="rId53" xr:uid="{C1446C88-00B3-44BE-B269-D1301B0724A5}"/>
    <hyperlink ref="H42" r:id="rId54" xr:uid="{E7BC6788-C0E2-4381-BEAA-3729412167D1}"/>
    <hyperlink ref="H41" r:id="rId55" xr:uid="{8D62CF5D-A280-4121-AB6A-F7AD092CE3CF}"/>
    <hyperlink ref="H40" r:id="rId56" xr:uid="{B111F42F-E34A-4103-BDEB-D9B488C65FDD}"/>
    <hyperlink ref="H39" r:id="rId57" xr:uid="{7ADDA695-C340-4ABC-9017-7C995BE38DCD}"/>
    <hyperlink ref="H38" r:id="rId58" xr:uid="{71297868-F3DB-4A52-AECF-203741A6A835}"/>
    <hyperlink ref="H36" r:id="rId59" xr:uid="{32952F97-EC51-404B-8402-0C0F19B618DF}"/>
    <hyperlink ref="H35" r:id="rId60" xr:uid="{B54DE8E4-A3C0-4CDB-B424-473DFBA50E1A}"/>
    <hyperlink ref="H33" r:id="rId61" xr:uid="{2EA0AE32-01F6-4AC0-AB17-CF6C389AB6B3}"/>
    <hyperlink ref="H32" r:id="rId62" xr:uid="{9A7DD53E-FCD4-4873-8E66-CE4D79C90835}"/>
    <hyperlink ref="H31" r:id="rId63" xr:uid="{FC21322D-AFB7-4924-8958-26109352274F}"/>
    <hyperlink ref="H30" r:id="rId64" xr:uid="{8807B76C-C80E-4132-9EFF-C9EFA0D8DB74}"/>
    <hyperlink ref="H25" r:id="rId65" xr:uid="{E924F224-3F75-47B9-82D2-BF56C9090FEF}"/>
    <hyperlink ref="H24" r:id="rId66" xr:uid="{C5357C44-8473-4304-85AA-C1BAB71FA5B5}"/>
    <hyperlink ref="H23" r:id="rId67" xr:uid="{A1E76796-1C5C-431C-AAA6-B68DA996B156}"/>
    <hyperlink ref="H22" r:id="rId68" xr:uid="{580BCAD5-83A3-4437-8B7C-9FB8F5BEA38A}"/>
    <hyperlink ref="H17" r:id="rId69" xr:uid="{73F01866-14C5-4E2E-881C-719C25071B9F}"/>
    <hyperlink ref="H16" r:id="rId70" xr:uid="{E4DB3BD0-DBA9-4299-BCD3-40F4AF070F99}"/>
    <hyperlink ref="H15" r:id="rId71" xr:uid="{B8B302DA-3576-4CF5-B75E-91778D9A8297}"/>
    <hyperlink ref="H14" r:id="rId72" xr:uid="{C9EDCCC0-1F51-4372-B1AB-57C100E6C59D}"/>
    <hyperlink ref="H13" r:id="rId73" xr:uid="{B9EFD887-2993-4F0F-88B9-4F6872548213}"/>
    <hyperlink ref="H12" r:id="rId74" xr:uid="{EA48AB2E-2619-466B-91BB-49F1BE0F249C}"/>
    <hyperlink ref="H11" r:id="rId75" xr:uid="{65115726-6E19-4C6A-80B2-F19F5A3D2F37}"/>
    <hyperlink ref="H9" r:id="rId76" xr:uid="{890665D0-C563-4A84-8D6E-3A81A96CF48E}"/>
    <hyperlink ref="H8" r:id="rId77" xr:uid="{D3AA1DF5-54F2-4885-B184-41D1D86624DE}"/>
    <hyperlink ref="H7" r:id="rId78" xr:uid="{9369F11D-D9B6-4C94-A9E1-4B03A546144F}"/>
    <hyperlink ref="H116" r:id="rId79" xr:uid="{8D347A1B-EB22-4D3B-88D9-C1376E882A1B}"/>
    <hyperlink ref="H45" r:id="rId80" xr:uid="{902C1612-D63F-498D-918A-4C22E4B52B23}"/>
    <hyperlink ref="H26" r:id="rId81" xr:uid="{3F4FBA70-7D5D-413B-B0F3-8C754DCDC1BA}"/>
    <hyperlink ref="H57" r:id="rId82" xr:uid="{462402A4-6693-47CE-A72D-EA3283765C81}"/>
    <hyperlink ref="H117" r:id="rId83" xr:uid="{3D73BCCF-E633-4C85-96F4-6FA64BEF586B}"/>
    <hyperlink ref="H18" r:id="rId84" xr:uid="{8154E324-2B54-4999-B61B-8E48B10AB348}"/>
    <hyperlink ref="H19" r:id="rId85" xr:uid="{428F5A41-0A93-42E0-803C-DF505D8982FC}"/>
    <hyperlink ref="H20" r:id="rId86" xr:uid="{F1082F52-DF67-45FE-8BE4-5B95754B913D}"/>
    <hyperlink ref="H27" r:id="rId87" xr:uid="{457E7CFE-DC71-4BF4-9CC6-36B55E90F3E8}"/>
    <hyperlink ref="H28" r:id="rId88" xr:uid="{8A34349D-9D46-4FEE-8A0D-BBF0DE75A024}"/>
    <hyperlink ref="H46" r:id="rId89" xr:uid="{91187ABE-B416-4930-AFF0-E62869BB1C1D}"/>
    <hyperlink ref="H58" r:id="rId90" xr:uid="{595784E9-56E8-4747-8DF7-327E17AA7385}"/>
    <hyperlink ref="H59" r:id="rId91" xr:uid="{A3F10484-52F5-443D-A656-0CC320D4D95E}"/>
    <hyperlink ref="H67" r:id="rId92" xr:uid="{B79C964C-C1A7-4125-ACF7-D853F2D01DC8}"/>
    <hyperlink ref="H76" r:id="rId93" xr:uid="{DD109751-F224-4353-A5F0-44471CB5759C}"/>
    <hyperlink ref="H77" r:id="rId94" xr:uid="{479A9882-E473-49EA-9A21-114A17BEF53D}"/>
    <hyperlink ref="H78" r:id="rId95" xr:uid="{6648B44F-BB08-49DF-9931-E93C704CE5DE}"/>
    <hyperlink ref="H79" r:id="rId96" xr:uid="{9D9B2E9F-A48A-47FE-959C-89D6115D38AB}"/>
    <hyperlink ref="H85" r:id="rId97" xr:uid="{EFB6581B-D0A9-46F5-BA31-5C03EF3AD212}"/>
    <hyperlink ref="H86" r:id="rId98" xr:uid="{AC7BA0A4-483B-4727-92D4-8911481D2CC9}"/>
    <hyperlink ref="H97" r:id="rId99" xr:uid="{F9310ECD-1BFC-4EF6-A8FE-878FF5065479}"/>
    <hyperlink ref="H99" r:id="rId100" xr:uid="{7B1B597D-8429-4F59-9E68-DD81462801A6}"/>
    <hyperlink ref="H119" r:id="rId101" xr:uid="{7014E3EA-F8F7-4C4C-B358-FDFD64064221}"/>
    <hyperlink ref="H124" r:id="rId102" xr:uid="{CD20CA85-10DF-4DD9-9724-E57A45A616CA}"/>
    <hyperlink ref="H125" r:id="rId103" xr:uid="{84E9DB08-784B-4D26-899B-C88C0640311B}"/>
    <hyperlink ref="H123" r:id="rId104" xr:uid="{82AF7B3A-1BE3-4EE0-B76E-632BCDB50DA5}"/>
    <hyperlink ref="H122" r:id="rId105" xr:uid="{5278804E-A598-43D9-86F3-E7E494F74BEC}"/>
    <hyperlink ref="H126" r:id="rId106" xr:uid="{44D17C24-4517-4F84-8B08-B4EEAB4CF3BF}"/>
    <hyperlink ref="H127" r:id="rId107" xr:uid="{F55D44FF-7CC8-4282-9E61-B71D6AE5F59E}"/>
    <hyperlink ref="H128" r:id="rId108" xr:uid="{B4631919-C103-42AB-99DE-5A774B9380EF}"/>
    <hyperlink ref="H129" r:id="rId109" xr:uid="{546E23F2-4811-43FC-BD18-0FE962E83B89}"/>
    <hyperlink ref="H130" r:id="rId110" xr:uid="{3AD3E87B-168E-45B0-B1DC-0DCE3992AA90}"/>
    <hyperlink ref="H120" r:id="rId111" xr:uid="{C4C03BF3-CC5F-4B9C-85CD-535F616CACF9}"/>
    <hyperlink ref="H134" r:id="rId112" xr:uid="{53395911-BAAF-484A-85ED-E8EE968DE434}"/>
    <hyperlink ref="H121" r:id="rId113" xr:uid="{5BB89183-3308-485D-92E0-99AEDB224AF3}"/>
    <hyperlink ref="H110" r:id="rId114" xr:uid="{6514242B-5A79-4D42-918D-CE10399E52FF}"/>
    <hyperlink ref="H34" r:id="rId115" xr:uid="{1128AF76-9874-43B0-8B5F-09AFD8AA0C2E}"/>
  </hyperlinks>
  <pageMargins left="0.70866141732283472" right="0.51181102362204722" top="0.35433070866141736" bottom="0.35433070866141736" header="0.31496062992125984" footer="0.31496062992125984"/>
  <pageSetup paperSize="8" fitToHeight="0" orientation="landscape" r:id="rId116"/>
  <ignoredErrors>
    <ignoredError sqref="G24 G44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759B17-A73B-4311-8A23-79FCAAB50C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2025-2027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Martynas Remeikis</dc:creator>
  <cp:lastModifiedBy>Inga Kanapeckienė</cp:lastModifiedBy>
  <cp:lastPrinted>2026-01-27T11:21:04Z</cp:lastPrinted>
  <dcterms:created xsi:type="dcterms:W3CDTF">2024-02-27T07:43:01Z</dcterms:created>
  <dcterms:modified xsi:type="dcterms:W3CDTF">2026-02-04T09:19:08Z</dcterms:modified>
</cp:coreProperties>
</file>