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codeName="ThisWorkbook"/>
  <mc:AlternateContent xmlns:mc="http://schemas.openxmlformats.org/markup-compatibility/2006">
    <mc:Choice Requires="x15">
      <x15ac:absPath xmlns:x15ac="http://schemas.microsoft.com/office/spreadsheetml/2010/11/ac" url="C:\Users\imaksvytiene\Desktop\Sav adm_MVP_2023_09\"/>
    </mc:Choice>
  </mc:AlternateContent>
  <xr:revisionPtr revIDLastSave="0" documentId="13_ncr:1_{2B12D466-F68D-4716-8C03-CA6D6684A479}" xr6:coauthVersionLast="47" xr6:coauthVersionMax="47" xr10:uidLastSave="{00000000-0000-0000-0000-000000000000}"/>
  <bookViews>
    <workbookView xWindow="3330" yWindow="765" windowWidth="28560" windowHeight="16785" xr2:uid="{00000000-000D-0000-FFFF-FFFF00000000}"/>
  </bookViews>
  <sheets>
    <sheet name="Planas" sheetId="2" r:id="rId1"/>
  </sheets>
  <definedNames>
    <definedName name="_xlnm.Print_Titles" localSheetId="0">Planas!$6:$8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G12" i="2"/>
  <c r="H12" i="2"/>
  <c r="I12" i="2"/>
  <c r="J12" i="2"/>
  <c r="K12" i="2"/>
  <c r="L12" i="2"/>
  <c r="M12" i="2"/>
  <c r="N12" i="2"/>
  <c r="O12" i="2"/>
  <c r="F14" i="2"/>
  <c r="G14" i="2"/>
  <c r="H14" i="2"/>
  <c r="I14" i="2"/>
  <c r="J14" i="2"/>
  <c r="K14" i="2"/>
  <c r="L14" i="2"/>
  <c r="M14" i="2"/>
  <c r="N14" i="2"/>
  <c r="O14" i="2"/>
  <c r="F16" i="2"/>
  <c r="G16" i="2"/>
  <c r="H16" i="2"/>
  <c r="I16" i="2"/>
  <c r="J16" i="2"/>
  <c r="K16" i="2"/>
  <c r="L16" i="2"/>
  <c r="M16" i="2"/>
  <c r="N16" i="2"/>
  <c r="O16" i="2"/>
  <c r="F18" i="2"/>
  <c r="G18" i="2"/>
  <c r="H18" i="2"/>
  <c r="I18" i="2"/>
  <c r="J18" i="2"/>
  <c r="K18" i="2"/>
  <c r="L18" i="2"/>
  <c r="M18" i="2"/>
  <c r="N18" i="2"/>
  <c r="O18" i="2"/>
  <c r="F20" i="2"/>
  <c r="G20" i="2"/>
  <c r="H20" i="2"/>
  <c r="I20" i="2"/>
  <c r="J20" i="2"/>
  <c r="K20" i="2"/>
  <c r="L20" i="2"/>
  <c r="M20" i="2"/>
  <c r="N20" i="2"/>
  <c r="O20" i="2"/>
  <c r="F24" i="2"/>
  <c r="G24" i="2"/>
  <c r="H24" i="2"/>
  <c r="I24" i="2"/>
  <c r="J24" i="2"/>
  <c r="K24" i="2"/>
  <c r="L24" i="2"/>
  <c r="M24" i="2"/>
  <c r="N24" i="2"/>
  <c r="O24" i="2"/>
  <c r="F27" i="2"/>
  <c r="G27" i="2"/>
  <c r="H27" i="2"/>
  <c r="I27" i="2"/>
  <c r="J27" i="2"/>
  <c r="K27" i="2"/>
  <c r="L27" i="2"/>
  <c r="M27" i="2"/>
  <c r="N27" i="2"/>
  <c r="O27" i="2"/>
  <c r="F31" i="2"/>
  <c r="G31" i="2"/>
  <c r="H31" i="2"/>
  <c r="I31" i="2"/>
  <c r="J31" i="2"/>
  <c r="K31" i="2"/>
  <c r="L31" i="2"/>
  <c r="M31" i="2"/>
  <c r="N31" i="2"/>
  <c r="O31" i="2"/>
  <c r="F34" i="2"/>
  <c r="G34" i="2"/>
  <c r="H34" i="2"/>
  <c r="I34" i="2"/>
  <c r="J34" i="2"/>
  <c r="K34" i="2"/>
  <c r="L34" i="2"/>
  <c r="M34" i="2"/>
  <c r="N34" i="2"/>
  <c r="O34" i="2"/>
  <c r="F36" i="2"/>
  <c r="G36" i="2"/>
  <c r="H36" i="2"/>
  <c r="I36" i="2"/>
  <c r="J36" i="2"/>
  <c r="K36" i="2"/>
  <c r="L36" i="2"/>
  <c r="M36" i="2"/>
  <c r="N36" i="2"/>
  <c r="O36" i="2"/>
  <c r="F38" i="2"/>
  <c r="G38" i="2"/>
  <c r="H38" i="2"/>
  <c r="I38" i="2"/>
  <c r="J38" i="2"/>
  <c r="K38" i="2"/>
  <c r="L38" i="2"/>
  <c r="M38" i="2"/>
  <c r="N38" i="2"/>
  <c r="O38" i="2"/>
  <c r="F40" i="2"/>
  <c r="G40" i="2"/>
  <c r="H40" i="2"/>
  <c r="I40" i="2"/>
  <c r="J40" i="2"/>
  <c r="K40" i="2"/>
  <c r="L40" i="2"/>
  <c r="M40" i="2"/>
  <c r="N40" i="2"/>
  <c r="O40" i="2"/>
  <c r="F42" i="2"/>
  <c r="G42" i="2"/>
  <c r="H42" i="2"/>
  <c r="I42" i="2"/>
  <c r="J42" i="2"/>
  <c r="K42" i="2"/>
  <c r="L42" i="2"/>
  <c r="M42" i="2"/>
  <c r="N42" i="2"/>
  <c r="O42" i="2"/>
  <c r="F44" i="2"/>
  <c r="G44" i="2"/>
  <c r="H44" i="2"/>
  <c r="I44" i="2"/>
  <c r="J44" i="2"/>
  <c r="K44" i="2"/>
  <c r="L44" i="2"/>
  <c r="M44" i="2"/>
  <c r="N44" i="2"/>
  <c r="O44" i="2"/>
  <c r="F46" i="2"/>
  <c r="G46" i="2"/>
  <c r="H46" i="2"/>
  <c r="I46" i="2"/>
  <c r="J46" i="2"/>
  <c r="K46" i="2"/>
  <c r="L46" i="2"/>
  <c r="M46" i="2"/>
  <c r="N46" i="2"/>
  <c r="O46" i="2"/>
  <c r="F49" i="2"/>
  <c r="G49" i="2"/>
  <c r="G48" i="2" s="1"/>
  <c r="H49" i="2"/>
  <c r="H48" i="2" s="1"/>
  <c r="I49" i="2"/>
  <c r="J49" i="2"/>
  <c r="K49" i="2"/>
  <c r="L49" i="2"/>
  <c r="M49" i="2"/>
  <c r="N49" i="2"/>
  <c r="O49" i="2"/>
  <c r="O48" i="2" s="1"/>
  <c r="F51" i="2"/>
  <c r="G51" i="2"/>
  <c r="H51" i="2"/>
  <c r="I51" i="2"/>
  <c r="I48" i="2" s="1"/>
  <c r="J51" i="2"/>
  <c r="K51" i="2"/>
  <c r="L51" i="2"/>
  <c r="M51" i="2"/>
  <c r="N51" i="2"/>
  <c r="O51" i="2"/>
  <c r="H54" i="2"/>
  <c r="H53" i="2" s="1"/>
  <c r="I54" i="2"/>
  <c r="I53" i="2" s="1"/>
  <c r="F55" i="2"/>
  <c r="F54" i="2" s="1"/>
  <c r="F53" i="2" s="1"/>
  <c r="G55" i="2"/>
  <c r="G54" i="2" s="1"/>
  <c r="G53" i="2" s="1"/>
  <c r="H55" i="2"/>
  <c r="I55" i="2"/>
  <c r="J55" i="2"/>
  <c r="J54" i="2" s="1"/>
  <c r="J53" i="2" s="1"/>
  <c r="K55" i="2"/>
  <c r="K54" i="2" s="1"/>
  <c r="K53" i="2" s="1"/>
  <c r="L55" i="2"/>
  <c r="L54" i="2" s="1"/>
  <c r="L53" i="2" s="1"/>
  <c r="M55" i="2"/>
  <c r="M54" i="2" s="1"/>
  <c r="M53" i="2" s="1"/>
  <c r="N55" i="2"/>
  <c r="N54" i="2" s="1"/>
  <c r="N53" i="2" s="1"/>
  <c r="O55" i="2"/>
  <c r="O54" i="2" s="1"/>
  <c r="O53" i="2" s="1"/>
  <c r="F59" i="2"/>
  <c r="G59" i="2"/>
  <c r="H59" i="2"/>
  <c r="I59" i="2"/>
  <c r="J59" i="2"/>
  <c r="K59" i="2"/>
  <c r="L59" i="2"/>
  <c r="L58" i="2" s="1"/>
  <c r="L57" i="2" s="1"/>
  <c r="M59" i="2"/>
  <c r="N59" i="2"/>
  <c r="O59" i="2"/>
  <c r="F61" i="2"/>
  <c r="F58" i="2" s="1"/>
  <c r="F57" i="2" s="1"/>
  <c r="G61" i="2"/>
  <c r="H61" i="2"/>
  <c r="I61" i="2"/>
  <c r="J61" i="2"/>
  <c r="K61" i="2"/>
  <c r="K58" i="2" s="1"/>
  <c r="K57" i="2" s="1"/>
  <c r="L61" i="2"/>
  <c r="M61" i="2"/>
  <c r="N61" i="2"/>
  <c r="N58" i="2" s="1"/>
  <c r="N57" i="2" s="1"/>
  <c r="O61" i="2"/>
  <c r="F65" i="2"/>
  <c r="G65" i="2"/>
  <c r="H65" i="2"/>
  <c r="I65" i="2"/>
  <c r="I64" i="2" s="1"/>
  <c r="J65" i="2"/>
  <c r="K65" i="2"/>
  <c r="L65" i="2"/>
  <c r="M65" i="2"/>
  <c r="N65" i="2"/>
  <c r="O65" i="2"/>
  <c r="F68" i="2"/>
  <c r="G68" i="2"/>
  <c r="H68" i="2"/>
  <c r="I68" i="2"/>
  <c r="J68" i="2"/>
  <c r="K68" i="2"/>
  <c r="L68" i="2"/>
  <c r="M68" i="2"/>
  <c r="N68" i="2"/>
  <c r="O68" i="2"/>
  <c r="F71" i="2"/>
  <c r="F70" i="2" s="1"/>
  <c r="G71" i="2"/>
  <c r="G70" i="2" s="1"/>
  <c r="H71" i="2"/>
  <c r="H70" i="2" s="1"/>
  <c r="I71" i="2"/>
  <c r="I70" i="2" s="1"/>
  <c r="J71" i="2"/>
  <c r="J70" i="2" s="1"/>
  <c r="K71" i="2"/>
  <c r="K70" i="2" s="1"/>
  <c r="L71" i="2"/>
  <c r="L70" i="2" s="1"/>
  <c r="M71" i="2"/>
  <c r="M70" i="2" s="1"/>
  <c r="N71" i="2"/>
  <c r="N70" i="2" s="1"/>
  <c r="O71" i="2"/>
  <c r="O70" i="2" s="1"/>
  <c r="G75" i="2"/>
  <c r="G74" i="2" s="1"/>
  <c r="F76" i="2"/>
  <c r="F75" i="2" s="1"/>
  <c r="F74" i="2" s="1"/>
  <c r="G76" i="2"/>
  <c r="H76" i="2"/>
  <c r="H75" i="2" s="1"/>
  <c r="H74" i="2" s="1"/>
  <c r="I76" i="2"/>
  <c r="I75" i="2" s="1"/>
  <c r="I74" i="2" s="1"/>
  <c r="J76" i="2"/>
  <c r="J75" i="2" s="1"/>
  <c r="J74" i="2" s="1"/>
  <c r="K76" i="2"/>
  <c r="K75" i="2" s="1"/>
  <c r="K74" i="2" s="1"/>
  <c r="L76" i="2"/>
  <c r="L75" i="2" s="1"/>
  <c r="L74" i="2" s="1"/>
  <c r="M76" i="2"/>
  <c r="M75" i="2" s="1"/>
  <c r="M74" i="2" s="1"/>
  <c r="N76" i="2"/>
  <c r="N75" i="2" s="1"/>
  <c r="N74" i="2" s="1"/>
  <c r="O76" i="2"/>
  <c r="O75" i="2" s="1"/>
  <c r="O74" i="2" s="1"/>
  <c r="F82" i="2"/>
  <c r="F81" i="2" s="1"/>
  <c r="F80" i="2" s="1"/>
  <c r="G82" i="2"/>
  <c r="G81" i="2" s="1"/>
  <c r="G80" i="2" s="1"/>
  <c r="H82" i="2"/>
  <c r="H81" i="2" s="1"/>
  <c r="H80" i="2" s="1"/>
  <c r="I82" i="2"/>
  <c r="I81" i="2" s="1"/>
  <c r="I80" i="2" s="1"/>
  <c r="J82" i="2"/>
  <c r="J81" i="2" s="1"/>
  <c r="J80" i="2" s="1"/>
  <c r="K82" i="2"/>
  <c r="K81" i="2" s="1"/>
  <c r="K80" i="2" s="1"/>
  <c r="L82" i="2"/>
  <c r="L81" i="2" s="1"/>
  <c r="L80" i="2" s="1"/>
  <c r="M82" i="2"/>
  <c r="M81" i="2" s="1"/>
  <c r="M80" i="2" s="1"/>
  <c r="N82" i="2"/>
  <c r="N81" i="2" s="1"/>
  <c r="N80" i="2" s="1"/>
  <c r="O82" i="2"/>
  <c r="O81" i="2" s="1"/>
  <c r="O80" i="2" s="1"/>
  <c r="K85" i="2"/>
  <c r="K84" i="2" s="1"/>
  <c r="F86" i="2"/>
  <c r="F85" i="2" s="1"/>
  <c r="F84" i="2" s="1"/>
  <c r="G86" i="2"/>
  <c r="G85" i="2" s="1"/>
  <c r="G84" i="2" s="1"/>
  <c r="H86" i="2"/>
  <c r="H85" i="2" s="1"/>
  <c r="H84" i="2" s="1"/>
  <c r="I86" i="2"/>
  <c r="I85" i="2" s="1"/>
  <c r="I84" i="2" s="1"/>
  <c r="J86" i="2"/>
  <c r="J85" i="2" s="1"/>
  <c r="J84" i="2" s="1"/>
  <c r="K86" i="2"/>
  <c r="L86" i="2"/>
  <c r="L85" i="2" s="1"/>
  <c r="L84" i="2" s="1"/>
  <c r="M86" i="2"/>
  <c r="M85" i="2" s="1"/>
  <c r="M84" i="2" s="1"/>
  <c r="N86" i="2"/>
  <c r="N85" i="2" s="1"/>
  <c r="N84" i="2" s="1"/>
  <c r="O86" i="2"/>
  <c r="O85" i="2" s="1"/>
  <c r="O84" i="2" s="1"/>
  <c r="F90" i="2"/>
  <c r="G90" i="2"/>
  <c r="H90" i="2"/>
  <c r="I90" i="2"/>
  <c r="J90" i="2"/>
  <c r="K90" i="2"/>
  <c r="L90" i="2"/>
  <c r="L89" i="2" s="1"/>
  <c r="L88" i="2" s="1"/>
  <c r="M90" i="2"/>
  <c r="N90" i="2"/>
  <c r="O90" i="2"/>
  <c r="F92" i="2"/>
  <c r="G92" i="2"/>
  <c r="H92" i="2"/>
  <c r="H89" i="2" s="1"/>
  <c r="H88" i="2" s="1"/>
  <c r="I92" i="2"/>
  <c r="J92" i="2"/>
  <c r="K92" i="2"/>
  <c r="L92" i="2"/>
  <c r="M92" i="2"/>
  <c r="N92" i="2"/>
  <c r="O92" i="2"/>
  <c r="F96" i="2"/>
  <c r="N96" i="2"/>
  <c r="F97" i="2"/>
  <c r="G97" i="2"/>
  <c r="G96" i="2" s="1"/>
  <c r="H97" i="2"/>
  <c r="H96" i="2" s="1"/>
  <c r="I97" i="2"/>
  <c r="I96" i="2" s="1"/>
  <c r="J97" i="2"/>
  <c r="J96" i="2" s="1"/>
  <c r="K97" i="2"/>
  <c r="K96" i="2" s="1"/>
  <c r="L97" i="2"/>
  <c r="L96" i="2" s="1"/>
  <c r="M97" i="2"/>
  <c r="M96" i="2" s="1"/>
  <c r="N97" i="2"/>
  <c r="O97" i="2"/>
  <c r="O96" i="2" s="1"/>
  <c r="F100" i="2"/>
  <c r="G100" i="2"/>
  <c r="H100" i="2"/>
  <c r="I100" i="2"/>
  <c r="J100" i="2"/>
  <c r="K100" i="2"/>
  <c r="L100" i="2"/>
  <c r="M100" i="2"/>
  <c r="N100" i="2"/>
  <c r="O100" i="2"/>
  <c r="F102" i="2"/>
  <c r="G102" i="2"/>
  <c r="H102" i="2"/>
  <c r="I102" i="2"/>
  <c r="J102" i="2"/>
  <c r="K102" i="2"/>
  <c r="L102" i="2"/>
  <c r="M102" i="2"/>
  <c r="N102" i="2"/>
  <c r="O102" i="2"/>
  <c r="F104" i="2"/>
  <c r="G104" i="2"/>
  <c r="H104" i="2"/>
  <c r="I104" i="2"/>
  <c r="J104" i="2"/>
  <c r="K104" i="2"/>
  <c r="L104" i="2"/>
  <c r="M104" i="2"/>
  <c r="N104" i="2"/>
  <c r="O104" i="2"/>
  <c r="F106" i="2"/>
  <c r="G106" i="2"/>
  <c r="H106" i="2"/>
  <c r="I106" i="2"/>
  <c r="J106" i="2"/>
  <c r="K106" i="2"/>
  <c r="L106" i="2"/>
  <c r="M106" i="2"/>
  <c r="N106" i="2"/>
  <c r="O106" i="2"/>
  <c r="F108" i="2"/>
  <c r="G108" i="2"/>
  <c r="H108" i="2"/>
  <c r="I108" i="2"/>
  <c r="J108" i="2"/>
  <c r="K108" i="2"/>
  <c r="L108" i="2"/>
  <c r="M108" i="2"/>
  <c r="N108" i="2"/>
  <c r="O108" i="2"/>
  <c r="F110" i="2"/>
  <c r="G110" i="2"/>
  <c r="H110" i="2"/>
  <c r="I110" i="2"/>
  <c r="J110" i="2"/>
  <c r="K110" i="2"/>
  <c r="L110" i="2"/>
  <c r="M110" i="2"/>
  <c r="N110" i="2"/>
  <c r="O110" i="2"/>
  <c r="F112" i="2"/>
  <c r="G112" i="2"/>
  <c r="H112" i="2"/>
  <c r="I112" i="2"/>
  <c r="J112" i="2"/>
  <c r="K112" i="2"/>
  <c r="L112" i="2"/>
  <c r="M112" i="2"/>
  <c r="N112" i="2"/>
  <c r="O112" i="2"/>
  <c r="F114" i="2"/>
  <c r="G114" i="2"/>
  <c r="H114" i="2"/>
  <c r="I114" i="2"/>
  <c r="J114" i="2"/>
  <c r="K114" i="2"/>
  <c r="L114" i="2"/>
  <c r="M114" i="2"/>
  <c r="N114" i="2"/>
  <c r="O114" i="2"/>
  <c r="F116" i="2"/>
  <c r="G116" i="2"/>
  <c r="H116" i="2"/>
  <c r="I116" i="2"/>
  <c r="J116" i="2"/>
  <c r="K116" i="2"/>
  <c r="L116" i="2"/>
  <c r="M116" i="2"/>
  <c r="N116" i="2"/>
  <c r="O116" i="2"/>
  <c r="F122" i="2"/>
  <c r="G122" i="2"/>
  <c r="H122" i="2"/>
  <c r="I122" i="2"/>
  <c r="J122" i="2"/>
  <c r="K122" i="2"/>
  <c r="K121" i="2" s="1"/>
  <c r="L122" i="2"/>
  <c r="M122" i="2"/>
  <c r="N122" i="2"/>
  <c r="O122" i="2"/>
  <c r="F124" i="2"/>
  <c r="G124" i="2"/>
  <c r="H124" i="2"/>
  <c r="I124" i="2"/>
  <c r="J124" i="2"/>
  <c r="K124" i="2"/>
  <c r="L124" i="2"/>
  <c r="M124" i="2"/>
  <c r="N124" i="2"/>
  <c r="O124" i="2"/>
  <c r="F126" i="2"/>
  <c r="G126" i="2"/>
  <c r="H126" i="2"/>
  <c r="I126" i="2"/>
  <c r="J126" i="2"/>
  <c r="K126" i="2"/>
  <c r="L126" i="2"/>
  <c r="M126" i="2"/>
  <c r="N126" i="2"/>
  <c r="O126" i="2"/>
  <c r="F130" i="2"/>
  <c r="F129" i="2" s="1"/>
  <c r="F128" i="2" s="1"/>
  <c r="G130" i="2"/>
  <c r="G129" i="2" s="1"/>
  <c r="G128" i="2" s="1"/>
  <c r="H130" i="2"/>
  <c r="H129" i="2" s="1"/>
  <c r="H128" i="2" s="1"/>
  <c r="I130" i="2"/>
  <c r="I129" i="2" s="1"/>
  <c r="I128" i="2" s="1"/>
  <c r="J130" i="2"/>
  <c r="J129" i="2" s="1"/>
  <c r="J128" i="2" s="1"/>
  <c r="K130" i="2"/>
  <c r="K129" i="2" s="1"/>
  <c r="K128" i="2" s="1"/>
  <c r="L130" i="2"/>
  <c r="L129" i="2" s="1"/>
  <c r="L128" i="2" s="1"/>
  <c r="M130" i="2"/>
  <c r="M129" i="2" s="1"/>
  <c r="M128" i="2" s="1"/>
  <c r="N130" i="2"/>
  <c r="N129" i="2" s="1"/>
  <c r="N128" i="2" s="1"/>
  <c r="O130" i="2"/>
  <c r="O129" i="2" s="1"/>
  <c r="O128" i="2" s="1"/>
  <c r="F134" i="2"/>
  <c r="F133" i="2" s="1"/>
  <c r="F132" i="2" s="1"/>
  <c r="G134" i="2"/>
  <c r="G133" i="2" s="1"/>
  <c r="G132" i="2" s="1"/>
  <c r="H134" i="2"/>
  <c r="H133" i="2" s="1"/>
  <c r="H132" i="2" s="1"/>
  <c r="I134" i="2"/>
  <c r="I133" i="2" s="1"/>
  <c r="I132" i="2" s="1"/>
  <c r="J134" i="2"/>
  <c r="J133" i="2" s="1"/>
  <c r="J132" i="2" s="1"/>
  <c r="K134" i="2"/>
  <c r="K133" i="2" s="1"/>
  <c r="K132" i="2" s="1"/>
  <c r="L134" i="2"/>
  <c r="L133" i="2" s="1"/>
  <c r="L132" i="2" s="1"/>
  <c r="M134" i="2"/>
  <c r="M133" i="2" s="1"/>
  <c r="M132" i="2" s="1"/>
  <c r="N134" i="2"/>
  <c r="N133" i="2" s="1"/>
  <c r="N132" i="2" s="1"/>
  <c r="O134" i="2"/>
  <c r="O133" i="2" s="1"/>
  <c r="O132" i="2" s="1"/>
  <c r="F141" i="2"/>
  <c r="G141" i="2"/>
  <c r="H141" i="2"/>
  <c r="I141" i="2"/>
  <c r="J141" i="2"/>
  <c r="K141" i="2"/>
  <c r="L141" i="2"/>
  <c r="M141" i="2"/>
  <c r="N141" i="2"/>
  <c r="O141" i="2"/>
  <c r="F143" i="2"/>
  <c r="G143" i="2"/>
  <c r="H143" i="2"/>
  <c r="I143" i="2"/>
  <c r="J143" i="2"/>
  <c r="K143" i="2"/>
  <c r="L143" i="2"/>
  <c r="M143" i="2"/>
  <c r="N143" i="2"/>
  <c r="O143" i="2"/>
  <c r="F145" i="2"/>
  <c r="G145" i="2"/>
  <c r="H145" i="2"/>
  <c r="I145" i="2"/>
  <c r="J145" i="2"/>
  <c r="K145" i="2"/>
  <c r="L145" i="2"/>
  <c r="M145" i="2"/>
  <c r="N145" i="2"/>
  <c r="O145" i="2"/>
  <c r="F150" i="2"/>
  <c r="G150" i="2"/>
  <c r="H150" i="2"/>
  <c r="I150" i="2"/>
  <c r="J150" i="2"/>
  <c r="K150" i="2"/>
  <c r="L150" i="2"/>
  <c r="M150" i="2"/>
  <c r="N150" i="2"/>
  <c r="O150" i="2"/>
  <c r="F156" i="2"/>
  <c r="G156" i="2"/>
  <c r="H156" i="2"/>
  <c r="I156" i="2"/>
  <c r="J156" i="2"/>
  <c r="K156" i="2"/>
  <c r="L156" i="2"/>
  <c r="M156" i="2"/>
  <c r="N156" i="2"/>
  <c r="N155" i="2" s="1"/>
  <c r="O156" i="2"/>
  <c r="O155" i="2" s="1"/>
  <c r="F158" i="2"/>
  <c r="G158" i="2"/>
  <c r="H158" i="2"/>
  <c r="I158" i="2"/>
  <c r="I155" i="2" s="1"/>
  <c r="J158" i="2"/>
  <c r="K158" i="2"/>
  <c r="L158" i="2"/>
  <c r="M158" i="2"/>
  <c r="N158" i="2"/>
  <c r="O158" i="2"/>
  <c r="F161" i="2"/>
  <c r="G161" i="2"/>
  <c r="H161" i="2"/>
  <c r="I161" i="2"/>
  <c r="J161" i="2"/>
  <c r="K161" i="2"/>
  <c r="L161" i="2"/>
  <c r="M161" i="2"/>
  <c r="N161" i="2"/>
  <c r="O161" i="2"/>
  <c r="F163" i="2"/>
  <c r="G163" i="2"/>
  <c r="H163" i="2"/>
  <c r="I163" i="2"/>
  <c r="J163" i="2"/>
  <c r="K163" i="2"/>
  <c r="L163" i="2"/>
  <c r="M163" i="2"/>
  <c r="N163" i="2"/>
  <c r="O163" i="2"/>
  <c r="F165" i="2"/>
  <c r="G165" i="2"/>
  <c r="H165" i="2"/>
  <c r="I165" i="2"/>
  <c r="J165" i="2"/>
  <c r="K165" i="2"/>
  <c r="L165" i="2"/>
  <c r="M165" i="2"/>
  <c r="N165" i="2"/>
  <c r="O165" i="2"/>
  <c r="F167" i="2"/>
  <c r="G167" i="2"/>
  <c r="H167" i="2"/>
  <c r="I167" i="2"/>
  <c r="J167" i="2"/>
  <c r="K167" i="2"/>
  <c r="L167" i="2"/>
  <c r="M167" i="2"/>
  <c r="N167" i="2"/>
  <c r="O167" i="2"/>
  <c r="F169" i="2"/>
  <c r="G169" i="2"/>
  <c r="H169" i="2"/>
  <c r="I169" i="2"/>
  <c r="J169" i="2"/>
  <c r="K169" i="2"/>
  <c r="L169" i="2"/>
  <c r="M169" i="2"/>
  <c r="N169" i="2"/>
  <c r="O169" i="2"/>
  <c r="F172" i="2"/>
  <c r="F171" i="2" s="1"/>
  <c r="F173" i="2"/>
  <c r="G173" i="2"/>
  <c r="H173" i="2"/>
  <c r="I173" i="2"/>
  <c r="J173" i="2"/>
  <c r="K173" i="2"/>
  <c r="L173" i="2"/>
  <c r="M173" i="2"/>
  <c r="M172" i="2" s="1"/>
  <c r="M171" i="2" s="1"/>
  <c r="N173" i="2"/>
  <c r="O173" i="2"/>
  <c r="F175" i="2"/>
  <c r="G175" i="2"/>
  <c r="H175" i="2"/>
  <c r="I175" i="2"/>
  <c r="J175" i="2"/>
  <c r="K175" i="2"/>
  <c r="L175" i="2"/>
  <c r="M175" i="2"/>
  <c r="N175" i="2"/>
  <c r="O175" i="2"/>
  <c r="F178" i="2"/>
  <c r="F179" i="2"/>
  <c r="G179" i="2"/>
  <c r="G178" i="2" s="1"/>
  <c r="H179" i="2"/>
  <c r="H178" i="2" s="1"/>
  <c r="I179" i="2"/>
  <c r="I178" i="2" s="1"/>
  <c r="J179" i="2"/>
  <c r="J178" i="2" s="1"/>
  <c r="K179" i="2"/>
  <c r="K178" i="2" s="1"/>
  <c r="L179" i="2"/>
  <c r="L178" i="2" s="1"/>
  <c r="M179" i="2"/>
  <c r="M178" i="2" s="1"/>
  <c r="M177" i="2" s="1"/>
  <c r="N179" i="2"/>
  <c r="N178" i="2" s="1"/>
  <c r="O179" i="2"/>
  <c r="O178" i="2" s="1"/>
  <c r="O177" i="2" s="1"/>
  <c r="F182" i="2"/>
  <c r="F181" i="2" s="1"/>
  <c r="G182" i="2"/>
  <c r="G181" i="2" s="1"/>
  <c r="G177" i="2" s="1"/>
  <c r="H182" i="2"/>
  <c r="H181" i="2" s="1"/>
  <c r="I182" i="2"/>
  <c r="I181" i="2" s="1"/>
  <c r="J182" i="2"/>
  <c r="J181" i="2" s="1"/>
  <c r="K182" i="2"/>
  <c r="K181" i="2" s="1"/>
  <c r="L182" i="2"/>
  <c r="L181" i="2" s="1"/>
  <c r="M182" i="2"/>
  <c r="M181" i="2" s="1"/>
  <c r="N182" i="2"/>
  <c r="N181" i="2" s="1"/>
  <c r="O182" i="2"/>
  <c r="O181" i="2" s="1"/>
  <c r="L185" i="2"/>
  <c r="L184" i="2" s="1"/>
  <c r="F186" i="2"/>
  <c r="F185" i="2" s="1"/>
  <c r="F184" i="2" s="1"/>
  <c r="G186" i="2"/>
  <c r="G185" i="2" s="1"/>
  <c r="G184" i="2" s="1"/>
  <c r="H186" i="2"/>
  <c r="H185" i="2" s="1"/>
  <c r="H184" i="2" s="1"/>
  <c r="I186" i="2"/>
  <c r="I185" i="2" s="1"/>
  <c r="I184" i="2" s="1"/>
  <c r="J186" i="2"/>
  <c r="J185" i="2" s="1"/>
  <c r="J184" i="2" s="1"/>
  <c r="K186" i="2"/>
  <c r="K185" i="2" s="1"/>
  <c r="K184" i="2" s="1"/>
  <c r="L186" i="2"/>
  <c r="M186" i="2"/>
  <c r="M185" i="2" s="1"/>
  <c r="M184" i="2" s="1"/>
  <c r="N186" i="2"/>
  <c r="N185" i="2" s="1"/>
  <c r="N184" i="2" s="1"/>
  <c r="O186" i="2"/>
  <c r="O185" i="2" s="1"/>
  <c r="O184" i="2" s="1"/>
  <c r="F190" i="2"/>
  <c r="F189" i="2" s="1"/>
  <c r="F188" i="2" s="1"/>
  <c r="G190" i="2"/>
  <c r="G189" i="2" s="1"/>
  <c r="G188" i="2" s="1"/>
  <c r="H190" i="2"/>
  <c r="H189" i="2" s="1"/>
  <c r="H188" i="2" s="1"/>
  <c r="I190" i="2"/>
  <c r="I189" i="2" s="1"/>
  <c r="I188" i="2" s="1"/>
  <c r="J190" i="2"/>
  <c r="J189" i="2" s="1"/>
  <c r="J188" i="2" s="1"/>
  <c r="K190" i="2"/>
  <c r="K189" i="2" s="1"/>
  <c r="K188" i="2" s="1"/>
  <c r="L190" i="2"/>
  <c r="L189" i="2" s="1"/>
  <c r="L188" i="2" s="1"/>
  <c r="M190" i="2"/>
  <c r="M189" i="2" s="1"/>
  <c r="M188" i="2" s="1"/>
  <c r="N190" i="2"/>
  <c r="N189" i="2" s="1"/>
  <c r="N188" i="2" s="1"/>
  <c r="O190" i="2"/>
  <c r="O189" i="2" s="1"/>
  <c r="O188" i="2" s="1"/>
  <c r="J193" i="2"/>
  <c r="J192" i="2" s="1"/>
  <c r="F194" i="2"/>
  <c r="F193" i="2" s="1"/>
  <c r="F192" i="2" s="1"/>
  <c r="G194" i="2"/>
  <c r="G193" i="2" s="1"/>
  <c r="G192" i="2" s="1"/>
  <c r="H194" i="2"/>
  <c r="H193" i="2" s="1"/>
  <c r="H192" i="2" s="1"/>
  <c r="I194" i="2"/>
  <c r="I193" i="2" s="1"/>
  <c r="I192" i="2" s="1"/>
  <c r="J194" i="2"/>
  <c r="K194" i="2"/>
  <c r="K193" i="2" s="1"/>
  <c r="K192" i="2" s="1"/>
  <c r="L194" i="2"/>
  <c r="L193" i="2" s="1"/>
  <c r="L192" i="2" s="1"/>
  <c r="M194" i="2"/>
  <c r="M193" i="2" s="1"/>
  <c r="M192" i="2" s="1"/>
  <c r="N194" i="2"/>
  <c r="N193" i="2" s="1"/>
  <c r="N192" i="2" s="1"/>
  <c r="O194" i="2"/>
  <c r="O193" i="2" s="1"/>
  <c r="O192" i="2" s="1"/>
  <c r="F198" i="2"/>
  <c r="F197" i="2" s="1"/>
  <c r="F196" i="2" s="1"/>
  <c r="G198" i="2"/>
  <c r="G197" i="2" s="1"/>
  <c r="G196" i="2" s="1"/>
  <c r="H198" i="2"/>
  <c r="H197" i="2" s="1"/>
  <c r="H196" i="2" s="1"/>
  <c r="I198" i="2"/>
  <c r="I197" i="2" s="1"/>
  <c r="I196" i="2" s="1"/>
  <c r="J198" i="2"/>
  <c r="J197" i="2" s="1"/>
  <c r="J196" i="2" s="1"/>
  <c r="K198" i="2"/>
  <c r="K197" i="2" s="1"/>
  <c r="K196" i="2" s="1"/>
  <c r="L198" i="2"/>
  <c r="L197" i="2" s="1"/>
  <c r="L196" i="2" s="1"/>
  <c r="M198" i="2"/>
  <c r="M197" i="2" s="1"/>
  <c r="M196" i="2" s="1"/>
  <c r="N198" i="2"/>
  <c r="N197" i="2" s="1"/>
  <c r="N196" i="2" s="1"/>
  <c r="O198" i="2"/>
  <c r="O197" i="2" s="1"/>
  <c r="O196" i="2" s="1"/>
  <c r="J202" i="2"/>
  <c r="F203" i="2"/>
  <c r="F202" i="2" s="1"/>
  <c r="G203" i="2"/>
  <c r="G202" i="2" s="1"/>
  <c r="H203" i="2"/>
  <c r="H202" i="2" s="1"/>
  <c r="I203" i="2"/>
  <c r="I202" i="2" s="1"/>
  <c r="J203" i="2"/>
  <c r="K203" i="2"/>
  <c r="K202" i="2" s="1"/>
  <c r="L203" i="2"/>
  <c r="L202" i="2" s="1"/>
  <c r="L201" i="2" s="1"/>
  <c r="M203" i="2"/>
  <c r="M202" i="2" s="1"/>
  <c r="N203" i="2"/>
  <c r="N202" i="2" s="1"/>
  <c r="O203" i="2"/>
  <c r="O202" i="2" s="1"/>
  <c r="F206" i="2"/>
  <c r="F205" i="2" s="1"/>
  <c r="G206" i="2"/>
  <c r="G205" i="2" s="1"/>
  <c r="H206" i="2"/>
  <c r="H205" i="2" s="1"/>
  <c r="I206" i="2"/>
  <c r="I205" i="2" s="1"/>
  <c r="J206" i="2"/>
  <c r="J205" i="2" s="1"/>
  <c r="K206" i="2"/>
  <c r="K205" i="2" s="1"/>
  <c r="K201" i="2" s="1"/>
  <c r="L206" i="2"/>
  <c r="L205" i="2" s="1"/>
  <c r="M206" i="2"/>
  <c r="M205" i="2" s="1"/>
  <c r="N206" i="2"/>
  <c r="N205" i="2" s="1"/>
  <c r="O206" i="2"/>
  <c r="O205" i="2" s="1"/>
  <c r="F212" i="2"/>
  <c r="G212" i="2"/>
  <c r="H212" i="2"/>
  <c r="I212" i="2"/>
  <c r="J212" i="2"/>
  <c r="K212" i="2"/>
  <c r="L212" i="2"/>
  <c r="M212" i="2"/>
  <c r="N212" i="2"/>
  <c r="O212" i="2"/>
  <c r="F215" i="2"/>
  <c r="G215" i="2"/>
  <c r="H215" i="2"/>
  <c r="I215" i="2"/>
  <c r="J215" i="2"/>
  <c r="K215" i="2"/>
  <c r="L215" i="2"/>
  <c r="M215" i="2"/>
  <c r="N215" i="2"/>
  <c r="O215" i="2"/>
  <c r="F217" i="2"/>
  <c r="G217" i="2"/>
  <c r="H217" i="2"/>
  <c r="I217" i="2"/>
  <c r="J217" i="2"/>
  <c r="K217" i="2"/>
  <c r="L217" i="2"/>
  <c r="M217" i="2"/>
  <c r="N217" i="2"/>
  <c r="O217" i="2"/>
  <c r="G219" i="2"/>
  <c r="J219" i="2"/>
  <c r="N219" i="2"/>
  <c r="O219" i="2"/>
  <c r="F220" i="2"/>
  <c r="F219" i="2" s="1"/>
  <c r="G220" i="2"/>
  <c r="H220" i="2"/>
  <c r="H219" i="2" s="1"/>
  <c r="I220" i="2"/>
  <c r="I219" i="2" s="1"/>
  <c r="J220" i="2"/>
  <c r="K220" i="2"/>
  <c r="K219" i="2" s="1"/>
  <c r="L220" i="2"/>
  <c r="L219" i="2" s="1"/>
  <c r="M220" i="2"/>
  <c r="M219" i="2" s="1"/>
  <c r="N220" i="2"/>
  <c r="O220" i="2"/>
  <c r="F227" i="2"/>
  <c r="G227" i="2"/>
  <c r="H227" i="2"/>
  <c r="I227" i="2"/>
  <c r="J227" i="2"/>
  <c r="J225" i="2" s="1"/>
  <c r="K227" i="2"/>
  <c r="L227" i="2"/>
  <c r="M227" i="2"/>
  <c r="N227" i="2"/>
  <c r="O227" i="2"/>
  <c r="F229" i="2"/>
  <c r="G229" i="2"/>
  <c r="H229" i="2"/>
  <c r="H225" i="2" s="1"/>
  <c r="I229" i="2"/>
  <c r="J229" i="2"/>
  <c r="K229" i="2"/>
  <c r="L229" i="2"/>
  <c r="M229" i="2"/>
  <c r="N229" i="2"/>
  <c r="O229" i="2"/>
  <c r="F231" i="2"/>
  <c r="G231" i="2"/>
  <c r="H231" i="2"/>
  <c r="I231" i="2"/>
  <c r="J231" i="2"/>
  <c r="K231" i="2"/>
  <c r="L231" i="2"/>
  <c r="M231" i="2"/>
  <c r="N231" i="2"/>
  <c r="O231" i="2"/>
  <c r="L233" i="2"/>
  <c r="F234" i="2"/>
  <c r="F233" i="2" s="1"/>
  <c r="G234" i="2"/>
  <c r="G233" i="2" s="1"/>
  <c r="H234" i="2"/>
  <c r="H233" i="2" s="1"/>
  <c r="I234" i="2"/>
  <c r="I233" i="2" s="1"/>
  <c r="J234" i="2"/>
  <c r="J233" i="2" s="1"/>
  <c r="K234" i="2"/>
  <c r="K233" i="2" s="1"/>
  <c r="L234" i="2"/>
  <c r="M234" i="2"/>
  <c r="M233" i="2" s="1"/>
  <c r="N234" i="2"/>
  <c r="N233" i="2" s="1"/>
  <c r="O234" i="2"/>
  <c r="O233" i="2" s="1"/>
  <c r="F236" i="2"/>
  <c r="F237" i="2"/>
  <c r="F238" i="2"/>
  <c r="G238" i="2"/>
  <c r="G237" i="2" s="1"/>
  <c r="G236" i="2" s="1"/>
  <c r="H238" i="2"/>
  <c r="H237" i="2" s="1"/>
  <c r="H236" i="2" s="1"/>
  <c r="I238" i="2"/>
  <c r="I237" i="2" s="1"/>
  <c r="I236" i="2" s="1"/>
  <c r="J238" i="2"/>
  <c r="J237" i="2" s="1"/>
  <c r="J236" i="2" s="1"/>
  <c r="K238" i="2"/>
  <c r="K237" i="2" s="1"/>
  <c r="K236" i="2" s="1"/>
  <c r="L238" i="2"/>
  <c r="L237" i="2" s="1"/>
  <c r="L236" i="2" s="1"/>
  <c r="M238" i="2"/>
  <c r="M237" i="2" s="1"/>
  <c r="M236" i="2" s="1"/>
  <c r="N238" i="2"/>
  <c r="N237" i="2" s="1"/>
  <c r="N236" i="2" s="1"/>
  <c r="O238" i="2"/>
  <c r="O237" i="2" s="1"/>
  <c r="O236" i="2" s="1"/>
  <c r="F247" i="2"/>
  <c r="F246" i="2" s="1"/>
  <c r="F250" i="2"/>
  <c r="G250" i="2"/>
  <c r="G247" i="2" s="1"/>
  <c r="G246" i="2" s="1"/>
  <c r="H250" i="2"/>
  <c r="H247" i="2" s="1"/>
  <c r="H246" i="2" s="1"/>
  <c r="I250" i="2"/>
  <c r="I247" i="2" s="1"/>
  <c r="I246" i="2" s="1"/>
  <c r="J250" i="2"/>
  <c r="J247" i="2" s="1"/>
  <c r="J246" i="2" s="1"/>
  <c r="K250" i="2"/>
  <c r="K247" i="2" s="1"/>
  <c r="K246" i="2" s="1"/>
  <c r="L250" i="2"/>
  <c r="L247" i="2" s="1"/>
  <c r="L246" i="2" s="1"/>
  <c r="M250" i="2"/>
  <c r="M247" i="2" s="1"/>
  <c r="M246" i="2" s="1"/>
  <c r="N250" i="2"/>
  <c r="N247" i="2" s="1"/>
  <c r="N246" i="2" s="1"/>
  <c r="O250" i="2"/>
  <c r="O247" i="2" s="1"/>
  <c r="O246" i="2" s="1"/>
  <c r="F261" i="2"/>
  <c r="G261" i="2"/>
  <c r="H261" i="2"/>
  <c r="I261" i="2"/>
  <c r="J261" i="2"/>
  <c r="K261" i="2"/>
  <c r="L261" i="2"/>
  <c r="M261" i="2"/>
  <c r="N261" i="2"/>
  <c r="O261" i="2"/>
  <c r="F263" i="2"/>
  <c r="G263" i="2"/>
  <c r="H263" i="2"/>
  <c r="I263" i="2"/>
  <c r="J263" i="2"/>
  <c r="K263" i="2"/>
  <c r="L263" i="2"/>
  <c r="M263" i="2"/>
  <c r="N263" i="2"/>
  <c r="O263" i="2"/>
  <c r="F265" i="2"/>
  <c r="G265" i="2"/>
  <c r="H265" i="2"/>
  <c r="I265" i="2"/>
  <c r="J265" i="2"/>
  <c r="K265" i="2"/>
  <c r="L265" i="2"/>
  <c r="M265" i="2"/>
  <c r="N265" i="2"/>
  <c r="O265" i="2"/>
  <c r="F267" i="2"/>
  <c r="G267" i="2"/>
  <c r="H267" i="2"/>
  <c r="I267" i="2"/>
  <c r="J267" i="2"/>
  <c r="K267" i="2"/>
  <c r="L267" i="2"/>
  <c r="M267" i="2"/>
  <c r="N267" i="2"/>
  <c r="O267" i="2"/>
  <c r="F269" i="2"/>
  <c r="G269" i="2"/>
  <c r="H269" i="2"/>
  <c r="I269" i="2"/>
  <c r="J269" i="2"/>
  <c r="K269" i="2"/>
  <c r="L269" i="2"/>
  <c r="M269" i="2"/>
  <c r="N269" i="2"/>
  <c r="O269" i="2"/>
  <c r="F271" i="2"/>
  <c r="G271" i="2"/>
  <c r="H271" i="2"/>
  <c r="I271" i="2"/>
  <c r="J271" i="2"/>
  <c r="K271" i="2"/>
  <c r="L271" i="2"/>
  <c r="M271" i="2"/>
  <c r="N271" i="2"/>
  <c r="O271" i="2"/>
  <c r="F276" i="2"/>
  <c r="G276" i="2"/>
  <c r="H276" i="2"/>
  <c r="I276" i="2"/>
  <c r="J276" i="2"/>
  <c r="K276" i="2"/>
  <c r="L276" i="2"/>
  <c r="M276" i="2"/>
  <c r="N276" i="2"/>
  <c r="O276" i="2"/>
  <c r="F279" i="2"/>
  <c r="G279" i="2"/>
  <c r="H279" i="2"/>
  <c r="I279" i="2"/>
  <c r="J279" i="2"/>
  <c r="K279" i="2"/>
  <c r="L279" i="2"/>
  <c r="M279" i="2"/>
  <c r="N279" i="2"/>
  <c r="O279" i="2"/>
  <c r="F281" i="2"/>
  <c r="G281" i="2"/>
  <c r="H281" i="2"/>
  <c r="I281" i="2"/>
  <c r="J281" i="2"/>
  <c r="K281" i="2"/>
  <c r="L281" i="2"/>
  <c r="M281" i="2"/>
  <c r="N281" i="2"/>
  <c r="O281" i="2"/>
  <c r="F283" i="2"/>
  <c r="G283" i="2"/>
  <c r="H283" i="2"/>
  <c r="I283" i="2"/>
  <c r="J283" i="2"/>
  <c r="K283" i="2"/>
  <c r="L283" i="2"/>
  <c r="M283" i="2"/>
  <c r="N283" i="2"/>
  <c r="O283" i="2"/>
  <c r="F285" i="2"/>
  <c r="G285" i="2"/>
  <c r="H285" i="2"/>
  <c r="I285" i="2"/>
  <c r="J285" i="2"/>
  <c r="K285" i="2"/>
  <c r="L285" i="2"/>
  <c r="M285" i="2"/>
  <c r="N285" i="2"/>
  <c r="O285" i="2"/>
  <c r="F287" i="2"/>
  <c r="G287" i="2"/>
  <c r="H287" i="2"/>
  <c r="I287" i="2"/>
  <c r="J287" i="2"/>
  <c r="K287" i="2"/>
  <c r="L287" i="2"/>
  <c r="M287" i="2"/>
  <c r="N287" i="2"/>
  <c r="O287" i="2"/>
  <c r="F289" i="2"/>
  <c r="G289" i="2"/>
  <c r="H289" i="2"/>
  <c r="I289" i="2"/>
  <c r="J289" i="2"/>
  <c r="K289" i="2"/>
  <c r="L289" i="2"/>
  <c r="M289" i="2"/>
  <c r="N289" i="2"/>
  <c r="O289" i="2"/>
  <c r="F291" i="2"/>
  <c r="G291" i="2"/>
  <c r="H291" i="2"/>
  <c r="I291" i="2"/>
  <c r="J291" i="2"/>
  <c r="K291" i="2"/>
  <c r="L291" i="2"/>
  <c r="M291" i="2"/>
  <c r="N291" i="2"/>
  <c r="O291" i="2"/>
  <c r="F293" i="2"/>
  <c r="G293" i="2"/>
  <c r="H293" i="2"/>
  <c r="I293" i="2"/>
  <c r="J293" i="2"/>
  <c r="K293" i="2"/>
  <c r="L293" i="2"/>
  <c r="M293" i="2"/>
  <c r="N293" i="2"/>
  <c r="O293" i="2"/>
  <c r="F295" i="2"/>
  <c r="G295" i="2"/>
  <c r="H295" i="2"/>
  <c r="I295" i="2"/>
  <c r="J295" i="2"/>
  <c r="K295" i="2"/>
  <c r="L295" i="2"/>
  <c r="M295" i="2"/>
  <c r="N295" i="2"/>
  <c r="O295" i="2"/>
  <c r="F298" i="2"/>
  <c r="G298" i="2"/>
  <c r="H298" i="2"/>
  <c r="I298" i="2"/>
  <c r="J298" i="2"/>
  <c r="K298" i="2"/>
  <c r="L298" i="2"/>
  <c r="M298" i="2"/>
  <c r="N298" i="2"/>
  <c r="O298" i="2"/>
  <c r="F300" i="2"/>
  <c r="G300" i="2"/>
  <c r="H300" i="2"/>
  <c r="I300" i="2"/>
  <c r="J300" i="2"/>
  <c r="K300" i="2"/>
  <c r="L300" i="2"/>
  <c r="M300" i="2"/>
  <c r="N300" i="2"/>
  <c r="O300" i="2"/>
  <c r="F302" i="2"/>
  <c r="G302" i="2"/>
  <c r="H302" i="2"/>
  <c r="I302" i="2"/>
  <c r="J302" i="2"/>
  <c r="K302" i="2"/>
  <c r="L302" i="2"/>
  <c r="M302" i="2"/>
  <c r="N302" i="2"/>
  <c r="O302" i="2"/>
  <c r="F304" i="2"/>
  <c r="G304" i="2"/>
  <c r="H304" i="2"/>
  <c r="I304" i="2"/>
  <c r="J304" i="2"/>
  <c r="K304" i="2"/>
  <c r="L304" i="2"/>
  <c r="M304" i="2"/>
  <c r="N304" i="2"/>
  <c r="O304" i="2"/>
  <c r="F307" i="2"/>
  <c r="F306" i="2" s="1"/>
  <c r="G307" i="2"/>
  <c r="G306" i="2" s="1"/>
  <c r="H307" i="2"/>
  <c r="H306" i="2" s="1"/>
  <c r="I307" i="2"/>
  <c r="I306" i="2" s="1"/>
  <c r="J307" i="2"/>
  <c r="J306" i="2" s="1"/>
  <c r="K307" i="2"/>
  <c r="K306" i="2" s="1"/>
  <c r="L307" i="2"/>
  <c r="L306" i="2" s="1"/>
  <c r="M307" i="2"/>
  <c r="M306" i="2" s="1"/>
  <c r="N307" i="2"/>
  <c r="N306" i="2" s="1"/>
  <c r="O307" i="2"/>
  <c r="O306" i="2" s="1"/>
  <c r="F310" i="2"/>
  <c r="G310" i="2"/>
  <c r="H310" i="2"/>
  <c r="I310" i="2"/>
  <c r="I309" i="2" s="1"/>
  <c r="J310" i="2"/>
  <c r="K310" i="2"/>
  <c r="L310" i="2"/>
  <c r="M310" i="2"/>
  <c r="N310" i="2"/>
  <c r="O310" i="2"/>
  <c r="F312" i="2"/>
  <c r="G312" i="2"/>
  <c r="H312" i="2"/>
  <c r="I312" i="2"/>
  <c r="J312" i="2"/>
  <c r="J309" i="2" s="1"/>
  <c r="K312" i="2"/>
  <c r="L312" i="2"/>
  <c r="M312" i="2"/>
  <c r="N312" i="2"/>
  <c r="N309" i="2" s="1"/>
  <c r="O312" i="2"/>
  <c r="F314" i="2"/>
  <c r="G314" i="2"/>
  <c r="H314" i="2"/>
  <c r="I314" i="2"/>
  <c r="J314" i="2"/>
  <c r="K314" i="2"/>
  <c r="L314" i="2"/>
  <c r="M314" i="2"/>
  <c r="N314" i="2"/>
  <c r="O314" i="2"/>
  <c r="F317" i="2"/>
  <c r="F316" i="2" s="1"/>
  <c r="G317" i="2"/>
  <c r="G316" i="2" s="1"/>
  <c r="H317" i="2"/>
  <c r="H316" i="2" s="1"/>
  <c r="I317" i="2"/>
  <c r="I316" i="2" s="1"/>
  <c r="J317" i="2"/>
  <c r="J316" i="2" s="1"/>
  <c r="K317" i="2"/>
  <c r="K316" i="2" s="1"/>
  <c r="L317" i="2"/>
  <c r="L316" i="2" s="1"/>
  <c r="M317" i="2"/>
  <c r="M316" i="2" s="1"/>
  <c r="N317" i="2"/>
  <c r="N316" i="2" s="1"/>
  <c r="O317" i="2"/>
  <c r="O316" i="2" s="1"/>
  <c r="F320" i="2"/>
  <c r="G320" i="2"/>
  <c r="H320" i="2"/>
  <c r="I320" i="2"/>
  <c r="J320" i="2"/>
  <c r="K320" i="2"/>
  <c r="L320" i="2"/>
  <c r="M320" i="2"/>
  <c r="N320" i="2"/>
  <c r="O320" i="2"/>
  <c r="F323" i="2"/>
  <c r="G323" i="2"/>
  <c r="H323" i="2"/>
  <c r="I323" i="2"/>
  <c r="J323" i="2"/>
  <c r="K323" i="2"/>
  <c r="L323" i="2"/>
  <c r="M323" i="2"/>
  <c r="N323" i="2"/>
  <c r="O323" i="2"/>
  <c r="F325" i="2"/>
  <c r="G325" i="2"/>
  <c r="H325" i="2"/>
  <c r="I325" i="2"/>
  <c r="J325" i="2"/>
  <c r="K325" i="2"/>
  <c r="L325" i="2"/>
  <c r="M325" i="2"/>
  <c r="N325" i="2"/>
  <c r="O325" i="2"/>
  <c r="F327" i="2"/>
  <c r="G327" i="2"/>
  <c r="H327" i="2"/>
  <c r="I327" i="2"/>
  <c r="J327" i="2"/>
  <c r="K327" i="2"/>
  <c r="L327" i="2"/>
  <c r="M327" i="2"/>
  <c r="N327" i="2"/>
  <c r="O327" i="2"/>
  <c r="F331" i="2"/>
  <c r="G331" i="2"/>
  <c r="H331" i="2"/>
  <c r="I331" i="2"/>
  <c r="J331" i="2"/>
  <c r="K331" i="2"/>
  <c r="L331" i="2"/>
  <c r="M331" i="2"/>
  <c r="N331" i="2"/>
  <c r="O331" i="2"/>
  <c r="F333" i="2"/>
  <c r="G333" i="2"/>
  <c r="H333" i="2"/>
  <c r="I333" i="2"/>
  <c r="I330" i="2" s="1"/>
  <c r="J333" i="2"/>
  <c r="K333" i="2"/>
  <c r="K330" i="2" s="1"/>
  <c r="L333" i="2"/>
  <c r="M333" i="2"/>
  <c r="N333" i="2"/>
  <c r="O333" i="2"/>
  <c r="F336" i="2"/>
  <c r="G336" i="2"/>
  <c r="H336" i="2"/>
  <c r="I336" i="2"/>
  <c r="J336" i="2"/>
  <c r="K336" i="2"/>
  <c r="L336" i="2"/>
  <c r="L335" i="2" s="1"/>
  <c r="M336" i="2"/>
  <c r="N336" i="2"/>
  <c r="O336" i="2"/>
  <c r="F338" i="2"/>
  <c r="G338" i="2"/>
  <c r="H338" i="2"/>
  <c r="I338" i="2"/>
  <c r="J338" i="2"/>
  <c r="K338" i="2"/>
  <c r="L338" i="2"/>
  <c r="M338" i="2"/>
  <c r="N338" i="2"/>
  <c r="O338" i="2"/>
  <c r="F342" i="2"/>
  <c r="G342" i="2"/>
  <c r="H342" i="2"/>
  <c r="I342" i="2"/>
  <c r="J342" i="2"/>
  <c r="K342" i="2"/>
  <c r="L342" i="2"/>
  <c r="M342" i="2"/>
  <c r="N342" i="2"/>
  <c r="O342" i="2"/>
  <c r="F344" i="2"/>
  <c r="G344" i="2"/>
  <c r="H344" i="2"/>
  <c r="I344" i="2"/>
  <c r="J344" i="2"/>
  <c r="K344" i="2"/>
  <c r="L344" i="2"/>
  <c r="M344" i="2"/>
  <c r="N344" i="2"/>
  <c r="O344" i="2"/>
  <c r="F349" i="2"/>
  <c r="G349" i="2"/>
  <c r="H349" i="2"/>
  <c r="I349" i="2"/>
  <c r="J349" i="2"/>
  <c r="K349" i="2"/>
  <c r="L349" i="2"/>
  <c r="M349" i="2"/>
  <c r="N349" i="2"/>
  <c r="O349" i="2"/>
  <c r="F351" i="2"/>
  <c r="G351" i="2"/>
  <c r="H351" i="2"/>
  <c r="I351" i="2"/>
  <c r="J351" i="2"/>
  <c r="K351" i="2"/>
  <c r="L351" i="2"/>
  <c r="M351" i="2"/>
  <c r="N351" i="2"/>
  <c r="O351" i="2"/>
  <c r="F353" i="2"/>
  <c r="G353" i="2"/>
  <c r="H353" i="2"/>
  <c r="I353" i="2"/>
  <c r="J353" i="2"/>
  <c r="K353" i="2"/>
  <c r="L353" i="2"/>
  <c r="M353" i="2"/>
  <c r="N353" i="2"/>
  <c r="O353" i="2"/>
  <c r="F355" i="2"/>
  <c r="G355" i="2"/>
  <c r="H355" i="2"/>
  <c r="I355" i="2"/>
  <c r="J355" i="2"/>
  <c r="K355" i="2"/>
  <c r="L355" i="2"/>
  <c r="M355" i="2"/>
  <c r="N355" i="2"/>
  <c r="O355" i="2"/>
  <c r="F357" i="2"/>
  <c r="G357" i="2"/>
  <c r="H357" i="2"/>
  <c r="I357" i="2"/>
  <c r="J357" i="2"/>
  <c r="K357" i="2"/>
  <c r="L357" i="2"/>
  <c r="M357" i="2"/>
  <c r="N357" i="2"/>
  <c r="O357" i="2"/>
  <c r="F359" i="2"/>
  <c r="G359" i="2"/>
  <c r="H359" i="2"/>
  <c r="I359" i="2"/>
  <c r="J359" i="2"/>
  <c r="K359" i="2"/>
  <c r="L359" i="2"/>
  <c r="M359" i="2"/>
  <c r="N359" i="2"/>
  <c r="O359" i="2"/>
  <c r="F361" i="2"/>
  <c r="G361" i="2"/>
  <c r="H361" i="2"/>
  <c r="I361" i="2"/>
  <c r="J361" i="2"/>
  <c r="K361" i="2"/>
  <c r="L361" i="2"/>
  <c r="M361" i="2"/>
  <c r="N361" i="2"/>
  <c r="O361" i="2"/>
  <c r="F363" i="2"/>
  <c r="G363" i="2"/>
  <c r="H363" i="2"/>
  <c r="I363" i="2"/>
  <c r="J363" i="2"/>
  <c r="K363" i="2"/>
  <c r="L363" i="2"/>
  <c r="M363" i="2"/>
  <c r="N363" i="2"/>
  <c r="O363" i="2"/>
  <c r="F365" i="2"/>
  <c r="G365" i="2"/>
  <c r="H365" i="2"/>
  <c r="I365" i="2"/>
  <c r="J365" i="2"/>
  <c r="K365" i="2"/>
  <c r="L365" i="2"/>
  <c r="M365" i="2"/>
  <c r="N365" i="2"/>
  <c r="O365" i="2"/>
  <c r="F367" i="2"/>
  <c r="G367" i="2"/>
  <c r="H367" i="2"/>
  <c r="I367" i="2"/>
  <c r="J367" i="2"/>
  <c r="K367" i="2"/>
  <c r="L367" i="2"/>
  <c r="M367" i="2"/>
  <c r="N367" i="2"/>
  <c r="O367" i="2"/>
  <c r="F369" i="2"/>
  <c r="G369" i="2"/>
  <c r="H369" i="2"/>
  <c r="I369" i="2"/>
  <c r="J369" i="2"/>
  <c r="K369" i="2"/>
  <c r="L369" i="2"/>
  <c r="M369" i="2"/>
  <c r="N369" i="2"/>
  <c r="O369" i="2"/>
  <c r="F371" i="2"/>
  <c r="G371" i="2"/>
  <c r="H371" i="2"/>
  <c r="I371" i="2"/>
  <c r="J371" i="2"/>
  <c r="K371" i="2"/>
  <c r="L371" i="2"/>
  <c r="M371" i="2"/>
  <c r="N371" i="2"/>
  <c r="O371" i="2"/>
  <c r="F373" i="2"/>
  <c r="G373" i="2"/>
  <c r="H373" i="2"/>
  <c r="I373" i="2"/>
  <c r="J373" i="2"/>
  <c r="K373" i="2"/>
  <c r="L373" i="2"/>
  <c r="M373" i="2"/>
  <c r="N373" i="2"/>
  <c r="O373" i="2"/>
  <c r="F375" i="2"/>
  <c r="G375" i="2"/>
  <c r="H375" i="2"/>
  <c r="I375" i="2"/>
  <c r="J375" i="2"/>
  <c r="K375" i="2"/>
  <c r="L375" i="2"/>
  <c r="M375" i="2"/>
  <c r="N375" i="2"/>
  <c r="O375" i="2"/>
  <c r="F377" i="2"/>
  <c r="G377" i="2"/>
  <c r="H377" i="2"/>
  <c r="I377" i="2"/>
  <c r="J377" i="2"/>
  <c r="K377" i="2"/>
  <c r="L377" i="2"/>
  <c r="M377" i="2"/>
  <c r="N377" i="2"/>
  <c r="O377" i="2"/>
  <c r="F380" i="2"/>
  <c r="G380" i="2"/>
  <c r="H380" i="2"/>
  <c r="I380" i="2"/>
  <c r="J380" i="2"/>
  <c r="K380" i="2"/>
  <c r="L380" i="2"/>
  <c r="M380" i="2"/>
  <c r="N380" i="2"/>
  <c r="O380" i="2"/>
  <c r="F382" i="2"/>
  <c r="G382" i="2"/>
  <c r="H382" i="2"/>
  <c r="I382" i="2"/>
  <c r="J382" i="2"/>
  <c r="K382" i="2"/>
  <c r="L382" i="2"/>
  <c r="M382" i="2"/>
  <c r="N382" i="2"/>
  <c r="O382" i="2"/>
  <c r="F384" i="2"/>
  <c r="G384" i="2"/>
  <c r="H384" i="2"/>
  <c r="I384" i="2"/>
  <c r="J384" i="2"/>
  <c r="K384" i="2"/>
  <c r="L384" i="2"/>
  <c r="M384" i="2"/>
  <c r="N384" i="2"/>
  <c r="O384" i="2"/>
  <c r="F386" i="2"/>
  <c r="G386" i="2"/>
  <c r="H386" i="2"/>
  <c r="I386" i="2"/>
  <c r="J386" i="2"/>
  <c r="K386" i="2"/>
  <c r="L386" i="2"/>
  <c r="M386" i="2"/>
  <c r="N386" i="2"/>
  <c r="O386" i="2"/>
  <c r="F388" i="2"/>
  <c r="G388" i="2"/>
  <c r="H388" i="2"/>
  <c r="I388" i="2"/>
  <c r="J388" i="2"/>
  <c r="K388" i="2"/>
  <c r="L388" i="2"/>
  <c r="M388" i="2"/>
  <c r="N388" i="2"/>
  <c r="O388" i="2"/>
  <c r="F390" i="2"/>
  <c r="G390" i="2"/>
  <c r="H390" i="2"/>
  <c r="I390" i="2"/>
  <c r="J390" i="2"/>
  <c r="K390" i="2"/>
  <c r="L390" i="2"/>
  <c r="M390" i="2"/>
  <c r="N390" i="2"/>
  <c r="O390" i="2"/>
  <c r="F392" i="2"/>
  <c r="G392" i="2"/>
  <c r="H392" i="2"/>
  <c r="I392" i="2"/>
  <c r="J392" i="2"/>
  <c r="K392" i="2"/>
  <c r="L392" i="2"/>
  <c r="M392" i="2"/>
  <c r="N392" i="2"/>
  <c r="O392" i="2"/>
  <c r="F394" i="2"/>
  <c r="G394" i="2"/>
  <c r="H394" i="2"/>
  <c r="I394" i="2"/>
  <c r="J394" i="2"/>
  <c r="K394" i="2"/>
  <c r="L394" i="2"/>
  <c r="M394" i="2"/>
  <c r="N394" i="2"/>
  <c r="O394" i="2"/>
  <c r="F396" i="2"/>
  <c r="G396" i="2"/>
  <c r="H396" i="2"/>
  <c r="I396" i="2"/>
  <c r="J396" i="2"/>
  <c r="K396" i="2"/>
  <c r="L396" i="2"/>
  <c r="M396" i="2"/>
  <c r="N396" i="2"/>
  <c r="O396" i="2"/>
  <c r="F398" i="2"/>
  <c r="G398" i="2"/>
  <c r="H398" i="2"/>
  <c r="I398" i="2"/>
  <c r="J398" i="2"/>
  <c r="K398" i="2"/>
  <c r="L398" i="2"/>
  <c r="M398" i="2"/>
  <c r="N398" i="2"/>
  <c r="O398" i="2"/>
  <c r="F400" i="2"/>
  <c r="G400" i="2"/>
  <c r="H400" i="2"/>
  <c r="I400" i="2"/>
  <c r="J400" i="2"/>
  <c r="K400" i="2"/>
  <c r="L400" i="2"/>
  <c r="M400" i="2"/>
  <c r="N400" i="2"/>
  <c r="O400" i="2"/>
  <c r="F402" i="2"/>
  <c r="G402" i="2"/>
  <c r="H402" i="2"/>
  <c r="I402" i="2"/>
  <c r="J402" i="2"/>
  <c r="K402" i="2"/>
  <c r="L402" i="2"/>
  <c r="M402" i="2"/>
  <c r="N402" i="2"/>
  <c r="O402" i="2"/>
  <c r="F404" i="2"/>
  <c r="G404" i="2"/>
  <c r="H404" i="2"/>
  <c r="I404" i="2"/>
  <c r="J404" i="2"/>
  <c r="K404" i="2"/>
  <c r="L404" i="2"/>
  <c r="M404" i="2"/>
  <c r="N404" i="2"/>
  <c r="O404" i="2"/>
  <c r="F406" i="2"/>
  <c r="G406" i="2"/>
  <c r="H406" i="2"/>
  <c r="I406" i="2"/>
  <c r="J406" i="2"/>
  <c r="K406" i="2"/>
  <c r="L406" i="2"/>
  <c r="M406" i="2"/>
  <c r="N406" i="2"/>
  <c r="O406" i="2"/>
  <c r="F408" i="2"/>
  <c r="G408" i="2"/>
  <c r="H408" i="2"/>
  <c r="I408" i="2"/>
  <c r="J408" i="2"/>
  <c r="K408" i="2"/>
  <c r="L408" i="2"/>
  <c r="M408" i="2"/>
  <c r="N408" i="2"/>
  <c r="O408" i="2"/>
  <c r="F410" i="2"/>
  <c r="G410" i="2"/>
  <c r="H410" i="2"/>
  <c r="I410" i="2"/>
  <c r="J410" i="2"/>
  <c r="K410" i="2"/>
  <c r="L410" i="2"/>
  <c r="M410" i="2"/>
  <c r="N410" i="2"/>
  <c r="O410" i="2"/>
  <c r="F413" i="2"/>
  <c r="F414" i="2"/>
  <c r="G414" i="2"/>
  <c r="G413" i="2" s="1"/>
  <c r="H414" i="2"/>
  <c r="H413" i="2" s="1"/>
  <c r="I414" i="2"/>
  <c r="J414" i="2"/>
  <c r="K414" i="2"/>
  <c r="K413" i="2" s="1"/>
  <c r="L414" i="2"/>
  <c r="M414" i="2"/>
  <c r="N414" i="2"/>
  <c r="O414" i="2"/>
  <c r="F416" i="2"/>
  <c r="G416" i="2"/>
  <c r="H416" i="2"/>
  <c r="I416" i="2"/>
  <c r="J416" i="2"/>
  <c r="K416" i="2"/>
  <c r="L416" i="2"/>
  <c r="M416" i="2"/>
  <c r="N416" i="2"/>
  <c r="O416" i="2"/>
  <c r="F418" i="2"/>
  <c r="G418" i="2"/>
  <c r="H418" i="2"/>
  <c r="I418" i="2"/>
  <c r="J418" i="2"/>
  <c r="K418" i="2"/>
  <c r="L418" i="2"/>
  <c r="M418" i="2"/>
  <c r="N418" i="2"/>
  <c r="O418" i="2"/>
  <c r="F421" i="2"/>
  <c r="F420" i="2" s="1"/>
  <c r="G421" i="2"/>
  <c r="G420" i="2" s="1"/>
  <c r="H421" i="2"/>
  <c r="H420" i="2" s="1"/>
  <c r="I421" i="2"/>
  <c r="I420" i="2" s="1"/>
  <c r="J421" i="2"/>
  <c r="J420" i="2" s="1"/>
  <c r="K421" i="2"/>
  <c r="K420" i="2" s="1"/>
  <c r="L421" i="2"/>
  <c r="L420" i="2" s="1"/>
  <c r="M421" i="2"/>
  <c r="M420" i="2" s="1"/>
  <c r="N421" i="2"/>
  <c r="N420" i="2" s="1"/>
  <c r="O421" i="2"/>
  <c r="O420" i="2" s="1"/>
  <c r="F425" i="2"/>
  <c r="F423" i="2" s="1"/>
  <c r="G425" i="2"/>
  <c r="G423" i="2" s="1"/>
  <c r="H425" i="2"/>
  <c r="H423" i="2" s="1"/>
  <c r="I425" i="2"/>
  <c r="I423" i="2" s="1"/>
  <c r="J425" i="2"/>
  <c r="J423" i="2" s="1"/>
  <c r="K425" i="2"/>
  <c r="K423" i="2" s="1"/>
  <c r="L425" i="2"/>
  <c r="L423" i="2" s="1"/>
  <c r="M425" i="2"/>
  <c r="M423" i="2" s="1"/>
  <c r="N425" i="2"/>
  <c r="N423" i="2" s="1"/>
  <c r="O425" i="2"/>
  <c r="O423" i="2" s="1"/>
  <c r="F428" i="2"/>
  <c r="F427" i="2" s="1"/>
  <c r="G428" i="2"/>
  <c r="G427" i="2" s="1"/>
  <c r="H428" i="2"/>
  <c r="H427" i="2" s="1"/>
  <c r="I428" i="2"/>
  <c r="I427" i="2" s="1"/>
  <c r="J428" i="2"/>
  <c r="J427" i="2" s="1"/>
  <c r="K428" i="2"/>
  <c r="K427" i="2" s="1"/>
  <c r="L428" i="2"/>
  <c r="L427" i="2" s="1"/>
  <c r="M428" i="2"/>
  <c r="M427" i="2" s="1"/>
  <c r="N428" i="2"/>
  <c r="N427" i="2" s="1"/>
  <c r="O428" i="2"/>
  <c r="O427" i="2" s="1"/>
  <c r="F433" i="2"/>
  <c r="G433" i="2"/>
  <c r="H433" i="2"/>
  <c r="I433" i="2"/>
  <c r="J433" i="2"/>
  <c r="K433" i="2"/>
  <c r="L433" i="2"/>
  <c r="M433" i="2"/>
  <c r="N433" i="2"/>
  <c r="O433" i="2"/>
  <c r="F435" i="2"/>
  <c r="G435" i="2"/>
  <c r="H435" i="2"/>
  <c r="I435" i="2"/>
  <c r="J435" i="2"/>
  <c r="K435" i="2"/>
  <c r="L435" i="2"/>
  <c r="M435" i="2"/>
  <c r="N435" i="2"/>
  <c r="O435" i="2"/>
  <c r="F437" i="2"/>
  <c r="G437" i="2"/>
  <c r="H437" i="2"/>
  <c r="I437" i="2"/>
  <c r="J437" i="2"/>
  <c r="K437" i="2"/>
  <c r="L437" i="2"/>
  <c r="M437" i="2"/>
  <c r="N437" i="2"/>
  <c r="O437" i="2"/>
  <c r="F439" i="2"/>
  <c r="G439" i="2"/>
  <c r="H439" i="2"/>
  <c r="I439" i="2"/>
  <c r="J439" i="2"/>
  <c r="K439" i="2"/>
  <c r="L439" i="2"/>
  <c r="M439" i="2"/>
  <c r="N439" i="2"/>
  <c r="O439" i="2"/>
  <c r="F442" i="2"/>
  <c r="F441" i="2" s="1"/>
  <c r="G442" i="2"/>
  <c r="G441" i="2" s="1"/>
  <c r="H442" i="2"/>
  <c r="H441" i="2" s="1"/>
  <c r="I442" i="2"/>
  <c r="I441" i="2" s="1"/>
  <c r="J442" i="2"/>
  <c r="J441" i="2" s="1"/>
  <c r="K442" i="2"/>
  <c r="K441" i="2" s="1"/>
  <c r="L442" i="2"/>
  <c r="L441" i="2" s="1"/>
  <c r="M442" i="2"/>
  <c r="M441" i="2" s="1"/>
  <c r="N442" i="2"/>
  <c r="N441" i="2" s="1"/>
  <c r="O442" i="2"/>
  <c r="O441" i="2" s="1"/>
  <c r="F445" i="2"/>
  <c r="F444" i="2" s="1"/>
  <c r="G445" i="2"/>
  <c r="G444" i="2" s="1"/>
  <c r="H445" i="2"/>
  <c r="H444" i="2" s="1"/>
  <c r="I445" i="2"/>
  <c r="I444" i="2" s="1"/>
  <c r="J445" i="2"/>
  <c r="J444" i="2" s="1"/>
  <c r="K445" i="2"/>
  <c r="K444" i="2" s="1"/>
  <c r="L445" i="2"/>
  <c r="L444" i="2" s="1"/>
  <c r="M445" i="2"/>
  <c r="M444" i="2" s="1"/>
  <c r="N445" i="2"/>
  <c r="N444" i="2" s="1"/>
  <c r="O445" i="2"/>
  <c r="O444" i="2" s="1"/>
  <c r="F449" i="2"/>
  <c r="G449" i="2"/>
  <c r="H449" i="2"/>
  <c r="I449" i="2"/>
  <c r="J449" i="2"/>
  <c r="K449" i="2"/>
  <c r="L449" i="2"/>
  <c r="M449" i="2"/>
  <c r="N449" i="2"/>
  <c r="O449" i="2"/>
  <c r="F452" i="2"/>
  <c r="G452" i="2"/>
  <c r="H452" i="2"/>
  <c r="I452" i="2"/>
  <c r="J452" i="2"/>
  <c r="K452" i="2"/>
  <c r="L452" i="2"/>
  <c r="M452" i="2"/>
  <c r="N452" i="2"/>
  <c r="O452" i="2"/>
  <c r="F454" i="2"/>
  <c r="G454" i="2"/>
  <c r="H454" i="2"/>
  <c r="I454" i="2"/>
  <c r="J454" i="2"/>
  <c r="K454" i="2"/>
  <c r="L454" i="2"/>
  <c r="M454" i="2"/>
  <c r="N454" i="2"/>
  <c r="O454" i="2"/>
  <c r="F456" i="2"/>
  <c r="G456" i="2"/>
  <c r="H456" i="2"/>
  <c r="I456" i="2"/>
  <c r="J456" i="2"/>
  <c r="K456" i="2"/>
  <c r="L456" i="2"/>
  <c r="M456" i="2"/>
  <c r="N456" i="2"/>
  <c r="O456" i="2"/>
  <c r="F458" i="2"/>
  <c r="G458" i="2"/>
  <c r="H458" i="2"/>
  <c r="I458" i="2"/>
  <c r="J458" i="2"/>
  <c r="K458" i="2"/>
  <c r="L458" i="2"/>
  <c r="M458" i="2"/>
  <c r="N458" i="2"/>
  <c r="O458" i="2"/>
  <c r="F460" i="2"/>
  <c r="G460" i="2"/>
  <c r="H460" i="2"/>
  <c r="I460" i="2"/>
  <c r="J460" i="2"/>
  <c r="K460" i="2"/>
  <c r="L460" i="2"/>
  <c r="M460" i="2"/>
  <c r="N460" i="2"/>
  <c r="O460" i="2"/>
  <c r="F462" i="2"/>
  <c r="G462" i="2"/>
  <c r="H462" i="2"/>
  <c r="I462" i="2"/>
  <c r="J462" i="2"/>
  <c r="K462" i="2"/>
  <c r="L462" i="2"/>
  <c r="M462" i="2"/>
  <c r="N462" i="2"/>
  <c r="O462" i="2"/>
  <c r="F464" i="2"/>
  <c r="G464" i="2"/>
  <c r="H464" i="2"/>
  <c r="I464" i="2"/>
  <c r="J464" i="2"/>
  <c r="K464" i="2"/>
  <c r="L464" i="2"/>
  <c r="M464" i="2"/>
  <c r="N464" i="2"/>
  <c r="O464" i="2"/>
  <c r="F466" i="2"/>
  <c r="G466" i="2"/>
  <c r="H466" i="2"/>
  <c r="I466" i="2"/>
  <c r="J466" i="2"/>
  <c r="K466" i="2"/>
  <c r="L466" i="2"/>
  <c r="M466" i="2"/>
  <c r="N466" i="2"/>
  <c r="O466" i="2"/>
  <c r="F468" i="2"/>
  <c r="G468" i="2"/>
  <c r="H468" i="2"/>
  <c r="I468" i="2"/>
  <c r="J468" i="2"/>
  <c r="K468" i="2"/>
  <c r="L468" i="2"/>
  <c r="M468" i="2"/>
  <c r="N468" i="2"/>
  <c r="O468" i="2"/>
  <c r="F470" i="2"/>
  <c r="G470" i="2"/>
  <c r="H470" i="2"/>
  <c r="I470" i="2"/>
  <c r="J470" i="2"/>
  <c r="K470" i="2"/>
  <c r="L470" i="2"/>
  <c r="M470" i="2"/>
  <c r="N470" i="2"/>
  <c r="O470" i="2"/>
  <c r="F472" i="2"/>
  <c r="G472" i="2"/>
  <c r="H472" i="2"/>
  <c r="I472" i="2"/>
  <c r="J472" i="2"/>
  <c r="K472" i="2"/>
  <c r="L472" i="2"/>
  <c r="M472" i="2"/>
  <c r="N472" i="2"/>
  <c r="O472" i="2"/>
  <c r="F474" i="2"/>
  <c r="G474" i="2"/>
  <c r="H474" i="2"/>
  <c r="I474" i="2"/>
  <c r="J474" i="2"/>
  <c r="K474" i="2"/>
  <c r="L474" i="2"/>
  <c r="M474" i="2"/>
  <c r="N474" i="2"/>
  <c r="O474" i="2"/>
  <c r="F476" i="2"/>
  <c r="G476" i="2"/>
  <c r="H476" i="2"/>
  <c r="I476" i="2"/>
  <c r="J476" i="2"/>
  <c r="K476" i="2"/>
  <c r="L476" i="2"/>
  <c r="M476" i="2"/>
  <c r="N476" i="2"/>
  <c r="O476" i="2"/>
  <c r="F478" i="2"/>
  <c r="G478" i="2"/>
  <c r="H478" i="2"/>
  <c r="I478" i="2"/>
  <c r="J478" i="2"/>
  <c r="K478" i="2"/>
  <c r="L478" i="2"/>
  <c r="M478" i="2"/>
  <c r="N478" i="2"/>
  <c r="O478" i="2"/>
  <c r="F481" i="2"/>
  <c r="F480" i="2" s="1"/>
  <c r="G481" i="2"/>
  <c r="G480" i="2" s="1"/>
  <c r="H481" i="2"/>
  <c r="H480" i="2" s="1"/>
  <c r="I481" i="2"/>
  <c r="I480" i="2" s="1"/>
  <c r="J481" i="2"/>
  <c r="J480" i="2" s="1"/>
  <c r="K481" i="2"/>
  <c r="K480" i="2" s="1"/>
  <c r="L481" i="2"/>
  <c r="L480" i="2" s="1"/>
  <c r="M481" i="2"/>
  <c r="M480" i="2" s="1"/>
  <c r="N481" i="2"/>
  <c r="N480" i="2" s="1"/>
  <c r="O481" i="2"/>
  <c r="O480" i="2" s="1"/>
  <c r="F484" i="2"/>
  <c r="F483" i="2" s="1"/>
  <c r="G484" i="2"/>
  <c r="G483" i="2" s="1"/>
  <c r="H484" i="2"/>
  <c r="H483" i="2" s="1"/>
  <c r="I484" i="2"/>
  <c r="I483" i="2" s="1"/>
  <c r="J484" i="2"/>
  <c r="J483" i="2" s="1"/>
  <c r="K484" i="2"/>
  <c r="K483" i="2" s="1"/>
  <c r="L484" i="2"/>
  <c r="L483" i="2" s="1"/>
  <c r="M484" i="2"/>
  <c r="M483" i="2" s="1"/>
  <c r="N484" i="2"/>
  <c r="N483" i="2" s="1"/>
  <c r="O484" i="2"/>
  <c r="O483" i="2" s="1"/>
  <c r="F487" i="2"/>
  <c r="G487" i="2"/>
  <c r="G486" i="2" s="1"/>
  <c r="H487" i="2"/>
  <c r="I487" i="2"/>
  <c r="J487" i="2"/>
  <c r="K487" i="2"/>
  <c r="L487" i="2"/>
  <c r="M487" i="2"/>
  <c r="N487" i="2"/>
  <c r="O487" i="2"/>
  <c r="O486" i="2" s="1"/>
  <c r="F489" i="2"/>
  <c r="G489" i="2"/>
  <c r="H489" i="2"/>
  <c r="I489" i="2"/>
  <c r="J489" i="2"/>
  <c r="K489" i="2"/>
  <c r="L489" i="2"/>
  <c r="M489" i="2"/>
  <c r="N489" i="2"/>
  <c r="O489" i="2"/>
  <c r="F492" i="2"/>
  <c r="G492" i="2"/>
  <c r="H492" i="2"/>
  <c r="H491" i="2" s="1"/>
  <c r="I492" i="2"/>
  <c r="J492" i="2"/>
  <c r="K492" i="2"/>
  <c r="L492" i="2"/>
  <c r="M492" i="2"/>
  <c r="N492" i="2"/>
  <c r="O492" i="2"/>
  <c r="F494" i="2"/>
  <c r="G494" i="2"/>
  <c r="H494" i="2"/>
  <c r="I494" i="2"/>
  <c r="J494" i="2"/>
  <c r="K494" i="2"/>
  <c r="L494" i="2"/>
  <c r="M494" i="2"/>
  <c r="N494" i="2"/>
  <c r="O494" i="2"/>
  <c r="F498" i="2"/>
  <c r="G498" i="2"/>
  <c r="H498" i="2"/>
  <c r="I498" i="2"/>
  <c r="J498" i="2"/>
  <c r="K498" i="2"/>
  <c r="L498" i="2"/>
  <c r="M498" i="2"/>
  <c r="N498" i="2"/>
  <c r="O498" i="2"/>
  <c r="F500" i="2"/>
  <c r="G500" i="2"/>
  <c r="H500" i="2"/>
  <c r="I500" i="2"/>
  <c r="J500" i="2"/>
  <c r="K500" i="2"/>
  <c r="L500" i="2"/>
  <c r="M500" i="2"/>
  <c r="N500" i="2"/>
  <c r="O500" i="2"/>
  <c r="H504" i="2"/>
  <c r="F505" i="2"/>
  <c r="F504" i="2" s="1"/>
  <c r="G505" i="2"/>
  <c r="G504" i="2" s="1"/>
  <c r="H505" i="2"/>
  <c r="I505" i="2"/>
  <c r="I504" i="2" s="1"/>
  <c r="J505" i="2"/>
  <c r="J504" i="2" s="1"/>
  <c r="K505" i="2"/>
  <c r="K504" i="2" s="1"/>
  <c r="L505" i="2"/>
  <c r="L504" i="2" s="1"/>
  <c r="M505" i="2"/>
  <c r="M504" i="2" s="1"/>
  <c r="N505" i="2"/>
  <c r="N504" i="2" s="1"/>
  <c r="O505" i="2"/>
  <c r="O504" i="2" s="1"/>
  <c r="F508" i="2"/>
  <c r="F507" i="2" s="1"/>
  <c r="G508" i="2"/>
  <c r="G507" i="2" s="1"/>
  <c r="H508" i="2"/>
  <c r="H507" i="2" s="1"/>
  <c r="I508" i="2"/>
  <c r="I507" i="2" s="1"/>
  <c r="J508" i="2"/>
  <c r="J507" i="2" s="1"/>
  <c r="K508" i="2"/>
  <c r="K507" i="2" s="1"/>
  <c r="L508" i="2"/>
  <c r="L507" i="2" s="1"/>
  <c r="M508" i="2"/>
  <c r="M507" i="2" s="1"/>
  <c r="N508" i="2"/>
  <c r="N507" i="2" s="1"/>
  <c r="O508" i="2"/>
  <c r="O507" i="2" s="1"/>
  <c r="F513" i="2"/>
  <c r="F512" i="2" s="1"/>
  <c r="G513" i="2"/>
  <c r="G512" i="2" s="1"/>
  <c r="H513" i="2"/>
  <c r="I513" i="2"/>
  <c r="J513" i="2"/>
  <c r="K513" i="2"/>
  <c r="L513" i="2"/>
  <c r="M513" i="2"/>
  <c r="N513" i="2"/>
  <c r="O513" i="2"/>
  <c r="O512" i="2" s="1"/>
  <c r="F515" i="2"/>
  <c r="G515" i="2"/>
  <c r="H515" i="2"/>
  <c r="I515" i="2"/>
  <c r="J515" i="2"/>
  <c r="K515" i="2"/>
  <c r="L515" i="2"/>
  <c r="M515" i="2"/>
  <c r="N515" i="2"/>
  <c r="N512" i="2" s="1"/>
  <c r="O515" i="2"/>
  <c r="F518" i="2"/>
  <c r="F517" i="2" s="1"/>
  <c r="G518" i="2"/>
  <c r="G517" i="2" s="1"/>
  <c r="H518" i="2"/>
  <c r="H517" i="2" s="1"/>
  <c r="I518" i="2"/>
  <c r="I517" i="2" s="1"/>
  <c r="J518" i="2"/>
  <c r="J517" i="2" s="1"/>
  <c r="K518" i="2"/>
  <c r="K517" i="2" s="1"/>
  <c r="L518" i="2"/>
  <c r="L517" i="2" s="1"/>
  <c r="M518" i="2"/>
  <c r="M517" i="2" s="1"/>
  <c r="N518" i="2"/>
  <c r="N517" i="2" s="1"/>
  <c r="O518" i="2"/>
  <c r="O517" i="2" s="1"/>
  <c r="I521" i="2"/>
  <c r="I520" i="2" s="1"/>
  <c r="F522" i="2"/>
  <c r="F521" i="2" s="1"/>
  <c r="G522" i="2"/>
  <c r="G521" i="2" s="1"/>
  <c r="H522" i="2"/>
  <c r="H521" i="2" s="1"/>
  <c r="I522" i="2"/>
  <c r="J522" i="2"/>
  <c r="J521" i="2" s="1"/>
  <c r="K522" i="2"/>
  <c r="K521" i="2" s="1"/>
  <c r="L522" i="2"/>
  <c r="L521" i="2" s="1"/>
  <c r="M522" i="2"/>
  <c r="M521" i="2" s="1"/>
  <c r="N522" i="2"/>
  <c r="N521" i="2" s="1"/>
  <c r="O522" i="2"/>
  <c r="O521" i="2" s="1"/>
  <c r="F527" i="2"/>
  <c r="F526" i="2" s="1"/>
  <c r="G527" i="2"/>
  <c r="G526" i="2" s="1"/>
  <c r="H527" i="2"/>
  <c r="H526" i="2" s="1"/>
  <c r="I527" i="2"/>
  <c r="I526" i="2" s="1"/>
  <c r="J527" i="2"/>
  <c r="J526" i="2" s="1"/>
  <c r="K527" i="2"/>
  <c r="K526" i="2" s="1"/>
  <c r="L527" i="2"/>
  <c r="L526" i="2" s="1"/>
  <c r="M527" i="2"/>
  <c r="M526" i="2" s="1"/>
  <c r="N527" i="2"/>
  <c r="N526" i="2" s="1"/>
  <c r="O527" i="2"/>
  <c r="O526" i="2" s="1"/>
  <c r="F534" i="2"/>
  <c r="F533" i="2" s="1"/>
  <c r="G534" i="2"/>
  <c r="G533" i="2" s="1"/>
  <c r="H534" i="2"/>
  <c r="H533" i="2" s="1"/>
  <c r="I534" i="2"/>
  <c r="I533" i="2" s="1"/>
  <c r="J534" i="2"/>
  <c r="J533" i="2" s="1"/>
  <c r="K534" i="2"/>
  <c r="K533" i="2" s="1"/>
  <c r="L534" i="2"/>
  <c r="L533" i="2" s="1"/>
  <c r="M534" i="2"/>
  <c r="M533" i="2" s="1"/>
  <c r="N534" i="2"/>
  <c r="N533" i="2" s="1"/>
  <c r="O534" i="2"/>
  <c r="O533" i="2" s="1"/>
  <c r="F542" i="2"/>
  <c r="G542" i="2"/>
  <c r="H542" i="2"/>
  <c r="I542" i="2"/>
  <c r="J542" i="2"/>
  <c r="K542" i="2"/>
  <c r="L542" i="2"/>
  <c r="L540" i="2" s="1"/>
  <c r="M542" i="2"/>
  <c r="N542" i="2"/>
  <c r="O542" i="2"/>
  <c r="F549" i="2"/>
  <c r="G549" i="2"/>
  <c r="H549" i="2"/>
  <c r="I549" i="2"/>
  <c r="J549" i="2"/>
  <c r="K549" i="2"/>
  <c r="L549" i="2"/>
  <c r="M549" i="2"/>
  <c r="N549" i="2"/>
  <c r="O549" i="2"/>
  <c r="F554" i="2"/>
  <c r="G554" i="2"/>
  <c r="H554" i="2"/>
  <c r="I554" i="2"/>
  <c r="J554" i="2"/>
  <c r="K554" i="2"/>
  <c r="L554" i="2"/>
  <c r="M554" i="2"/>
  <c r="N554" i="2"/>
  <c r="O554" i="2"/>
  <c r="F559" i="2"/>
  <c r="G559" i="2"/>
  <c r="H559" i="2"/>
  <c r="I559" i="2"/>
  <c r="J559" i="2"/>
  <c r="K559" i="2"/>
  <c r="L559" i="2"/>
  <c r="M559" i="2"/>
  <c r="N559" i="2"/>
  <c r="O559" i="2"/>
  <c r="F561" i="2"/>
  <c r="G561" i="2"/>
  <c r="H561" i="2"/>
  <c r="I561" i="2"/>
  <c r="J561" i="2"/>
  <c r="K561" i="2"/>
  <c r="L561" i="2"/>
  <c r="M561" i="2"/>
  <c r="N561" i="2"/>
  <c r="O561" i="2"/>
  <c r="F563" i="2"/>
  <c r="G563" i="2"/>
  <c r="H563" i="2"/>
  <c r="I563" i="2"/>
  <c r="J563" i="2"/>
  <c r="K563" i="2"/>
  <c r="L563" i="2"/>
  <c r="M563" i="2"/>
  <c r="N563" i="2"/>
  <c r="O563" i="2"/>
  <c r="F567" i="2"/>
  <c r="G567" i="2"/>
  <c r="H567" i="2"/>
  <c r="I567" i="2"/>
  <c r="J567" i="2"/>
  <c r="K567" i="2"/>
  <c r="L567" i="2"/>
  <c r="M567" i="2"/>
  <c r="N567" i="2"/>
  <c r="O567" i="2"/>
  <c r="F569" i="2"/>
  <c r="G569" i="2"/>
  <c r="H569" i="2"/>
  <c r="I569" i="2"/>
  <c r="J569" i="2"/>
  <c r="K569" i="2"/>
  <c r="L569" i="2"/>
  <c r="M569" i="2"/>
  <c r="N569" i="2"/>
  <c r="O569" i="2"/>
  <c r="F572" i="2"/>
  <c r="G572" i="2"/>
  <c r="G571" i="2" s="1"/>
  <c r="H572" i="2"/>
  <c r="I572" i="2"/>
  <c r="J572" i="2"/>
  <c r="K572" i="2"/>
  <c r="L572" i="2"/>
  <c r="M572" i="2"/>
  <c r="N572" i="2"/>
  <c r="O572" i="2"/>
  <c r="O571" i="2" s="1"/>
  <c r="F574" i="2"/>
  <c r="G574" i="2"/>
  <c r="H574" i="2"/>
  <c r="I574" i="2"/>
  <c r="J574" i="2"/>
  <c r="K574" i="2"/>
  <c r="L574" i="2"/>
  <c r="M574" i="2"/>
  <c r="N574" i="2"/>
  <c r="O574" i="2"/>
  <c r="F576" i="2"/>
  <c r="G576" i="2"/>
  <c r="H576" i="2"/>
  <c r="I576" i="2"/>
  <c r="J576" i="2"/>
  <c r="K576" i="2"/>
  <c r="L576" i="2"/>
  <c r="M576" i="2"/>
  <c r="N576" i="2"/>
  <c r="O576" i="2"/>
  <c r="F578" i="2"/>
  <c r="G578" i="2"/>
  <c r="H578" i="2"/>
  <c r="I578" i="2"/>
  <c r="J578" i="2"/>
  <c r="K578" i="2"/>
  <c r="L578" i="2"/>
  <c r="M578" i="2"/>
  <c r="N578" i="2"/>
  <c r="O578" i="2"/>
  <c r="F581" i="2"/>
  <c r="G581" i="2"/>
  <c r="H581" i="2"/>
  <c r="I581" i="2"/>
  <c r="J581" i="2"/>
  <c r="J580" i="2" s="1"/>
  <c r="K581" i="2"/>
  <c r="L581" i="2"/>
  <c r="M581" i="2"/>
  <c r="N581" i="2"/>
  <c r="O581" i="2"/>
  <c r="F584" i="2"/>
  <c r="G584" i="2"/>
  <c r="H584" i="2"/>
  <c r="I584" i="2"/>
  <c r="J584" i="2"/>
  <c r="K584" i="2"/>
  <c r="L584" i="2"/>
  <c r="M584" i="2"/>
  <c r="N584" i="2"/>
  <c r="O584" i="2"/>
  <c r="F586" i="2"/>
  <c r="G586" i="2"/>
  <c r="H586" i="2"/>
  <c r="I586" i="2"/>
  <c r="J586" i="2"/>
  <c r="K586" i="2"/>
  <c r="L586" i="2"/>
  <c r="M586" i="2"/>
  <c r="N586" i="2"/>
  <c r="O586" i="2"/>
  <c r="F588" i="2"/>
  <c r="G588" i="2"/>
  <c r="H588" i="2"/>
  <c r="I588" i="2"/>
  <c r="J588" i="2"/>
  <c r="K588" i="2"/>
  <c r="L588" i="2"/>
  <c r="M588" i="2"/>
  <c r="N588" i="2"/>
  <c r="O588" i="2"/>
  <c r="F590" i="2"/>
  <c r="G590" i="2"/>
  <c r="H590" i="2"/>
  <c r="I590" i="2"/>
  <c r="J590" i="2"/>
  <c r="K590" i="2"/>
  <c r="L590" i="2"/>
  <c r="M590" i="2"/>
  <c r="N590" i="2"/>
  <c r="O590" i="2"/>
  <c r="F592" i="2"/>
  <c r="G592" i="2"/>
  <c r="H592" i="2"/>
  <c r="I592" i="2"/>
  <c r="J592" i="2"/>
  <c r="K592" i="2"/>
  <c r="L592" i="2"/>
  <c r="M592" i="2"/>
  <c r="N592" i="2"/>
  <c r="O592" i="2"/>
  <c r="F594" i="2"/>
  <c r="G594" i="2"/>
  <c r="H594" i="2"/>
  <c r="I594" i="2"/>
  <c r="J594" i="2"/>
  <c r="K594" i="2"/>
  <c r="L594" i="2"/>
  <c r="M594" i="2"/>
  <c r="N594" i="2"/>
  <c r="O594" i="2"/>
  <c r="F597" i="2"/>
  <c r="F596" i="2" s="1"/>
  <c r="G597" i="2"/>
  <c r="G596" i="2" s="1"/>
  <c r="H597" i="2"/>
  <c r="H596" i="2" s="1"/>
  <c r="I597" i="2"/>
  <c r="I596" i="2" s="1"/>
  <c r="J597" i="2"/>
  <c r="J596" i="2" s="1"/>
  <c r="K597" i="2"/>
  <c r="K596" i="2" s="1"/>
  <c r="L597" i="2"/>
  <c r="L596" i="2" s="1"/>
  <c r="M597" i="2"/>
  <c r="M596" i="2" s="1"/>
  <c r="N597" i="2"/>
  <c r="N596" i="2" s="1"/>
  <c r="O597" i="2"/>
  <c r="O596" i="2" s="1"/>
  <c r="F601" i="2"/>
  <c r="F600" i="2" s="1"/>
  <c r="G601" i="2"/>
  <c r="G600" i="2" s="1"/>
  <c r="H601" i="2"/>
  <c r="H600" i="2" s="1"/>
  <c r="I601" i="2"/>
  <c r="I600" i="2" s="1"/>
  <c r="J601" i="2"/>
  <c r="J600" i="2" s="1"/>
  <c r="K601" i="2"/>
  <c r="K600" i="2" s="1"/>
  <c r="L601" i="2"/>
  <c r="L600" i="2" s="1"/>
  <c r="M601" i="2"/>
  <c r="M600" i="2" s="1"/>
  <c r="N601" i="2"/>
  <c r="N600" i="2" s="1"/>
  <c r="O601" i="2"/>
  <c r="O600" i="2" s="1"/>
  <c r="F605" i="2"/>
  <c r="G605" i="2"/>
  <c r="H605" i="2"/>
  <c r="I605" i="2"/>
  <c r="J605" i="2"/>
  <c r="K605" i="2"/>
  <c r="L605" i="2"/>
  <c r="M605" i="2"/>
  <c r="N605" i="2"/>
  <c r="O605" i="2"/>
  <c r="F607" i="2"/>
  <c r="G607" i="2"/>
  <c r="H607" i="2"/>
  <c r="I607" i="2"/>
  <c r="J607" i="2"/>
  <c r="K607" i="2"/>
  <c r="L607" i="2"/>
  <c r="M607" i="2"/>
  <c r="N607" i="2"/>
  <c r="O607" i="2"/>
  <c r="J613" i="2"/>
  <c r="F614" i="2"/>
  <c r="F613" i="2" s="1"/>
  <c r="G614" i="2"/>
  <c r="G613" i="2" s="1"/>
  <c r="H614" i="2"/>
  <c r="H613" i="2" s="1"/>
  <c r="I614" i="2"/>
  <c r="I613" i="2" s="1"/>
  <c r="J614" i="2"/>
  <c r="K614" i="2"/>
  <c r="K613" i="2" s="1"/>
  <c r="L614" i="2"/>
  <c r="L613" i="2" s="1"/>
  <c r="M614" i="2"/>
  <c r="M613" i="2" s="1"/>
  <c r="N614" i="2"/>
  <c r="N613" i="2" s="1"/>
  <c r="O614" i="2"/>
  <c r="O613" i="2" s="1"/>
  <c r="F617" i="2"/>
  <c r="F616" i="2" s="1"/>
  <c r="G617" i="2"/>
  <c r="G616" i="2" s="1"/>
  <c r="H617" i="2"/>
  <c r="H616" i="2" s="1"/>
  <c r="I617" i="2"/>
  <c r="I616" i="2" s="1"/>
  <c r="J617" i="2"/>
  <c r="J616" i="2" s="1"/>
  <c r="K617" i="2"/>
  <c r="K616" i="2" s="1"/>
  <c r="L617" i="2"/>
  <c r="L616" i="2" s="1"/>
  <c r="M617" i="2"/>
  <c r="M616" i="2" s="1"/>
  <c r="N617" i="2"/>
  <c r="N616" i="2" s="1"/>
  <c r="O617" i="2"/>
  <c r="O616" i="2" s="1"/>
  <c r="F620" i="2"/>
  <c r="G620" i="2"/>
  <c r="H620" i="2"/>
  <c r="I620" i="2"/>
  <c r="J620" i="2"/>
  <c r="K620" i="2"/>
  <c r="L620" i="2"/>
  <c r="M620" i="2"/>
  <c r="N620" i="2"/>
  <c r="O620" i="2"/>
  <c r="F622" i="2"/>
  <c r="G622" i="2"/>
  <c r="H622" i="2"/>
  <c r="I622" i="2"/>
  <c r="J622" i="2"/>
  <c r="K622" i="2"/>
  <c r="L622" i="2"/>
  <c r="M622" i="2"/>
  <c r="N622" i="2"/>
  <c r="O622" i="2"/>
  <c r="F624" i="2"/>
  <c r="G624" i="2"/>
  <c r="H624" i="2"/>
  <c r="I624" i="2"/>
  <c r="J624" i="2"/>
  <c r="K624" i="2"/>
  <c r="L624" i="2"/>
  <c r="M624" i="2"/>
  <c r="N624" i="2"/>
  <c r="O624" i="2"/>
  <c r="F626" i="2"/>
  <c r="G626" i="2"/>
  <c r="H626" i="2"/>
  <c r="I626" i="2"/>
  <c r="J626" i="2"/>
  <c r="K626" i="2"/>
  <c r="L626" i="2"/>
  <c r="M626" i="2"/>
  <c r="N626" i="2"/>
  <c r="O626" i="2"/>
  <c r="F628" i="2"/>
  <c r="G628" i="2"/>
  <c r="H628" i="2"/>
  <c r="I628" i="2"/>
  <c r="J628" i="2"/>
  <c r="K628" i="2"/>
  <c r="L628" i="2"/>
  <c r="M628" i="2"/>
  <c r="N628" i="2"/>
  <c r="O628" i="2"/>
  <c r="F630" i="2"/>
  <c r="G630" i="2"/>
  <c r="H630" i="2"/>
  <c r="I630" i="2"/>
  <c r="J630" i="2"/>
  <c r="K630" i="2"/>
  <c r="L630" i="2"/>
  <c r="M630" i="2"/>
  <c r="N630" i="2"/>
  <c r="O630" i="2"/>
  <c r="F632" i="2"/>
  <c r="G632" i="2"/>
  <c r="H632" i="2"/>
  <c r="I632" i="2"/>
  <c r="J632" i="2"/>
  <c r="K632" i="2"/>
  <c r="L632" i="2"/>
  <c r="M632" i="2"/>
  <c r="N632" i="2"/>
  <c r="O632" i="2"/>
  <c r="F635" i="2"/>
  <c r="G635" i="2"/>
  <c r="H635" i="2"/>
  <c r="I635" i="2"/>
  <c r="J635" i="2"/>
  <c r="K635" i="2"/>
  <c r="L635" i="2"/>
  <c r="M635" i="2"/>
  <c r="N635" i="2"/>
  <c r="O635" i="2"/>
  <c r="F638" i="2"/>
  <c r="G638" i="2"/>
  <c r="H638" i="2"/>
  <c r="I638" i="2"/>
  <c r="J638" i="2"/>
  <c r="K638" i="2"/>
  <c r="L638" i="2"/>
  <c r="M638" i="2"/>
  <c r="N638" i="2"/>
  <c r="O638" i="2"/>
  <c r="F641" i="2"/>
  <c r="G641" i="2"/>
  <c r="H641" i="2"/>
  <c r="I641" i="2"/>
  <c r="J641" i="2"/>
  <c r="K641" i="2"/>
  <c r="L641" i="2"/>
  <c r="M641" i="2"/>
  <c r="N641" i="2"/>
  <c r="O641" i="2"/>
  <c r="F643" i="2"/>
  <c r="G643" i="2"/>
  <c r="H643" i="2"/>
  <c r="I643" i="2"/>
  <c r="J643" i="2"/>
  <c r="K643" i="2"/>
  <c r="L643" i="2"/>
  <c r="M643" i="2"/>
  <c r="N643" i="2"/>
  <c r="O643" i="2"/>
  <c r="F645" i="2"/>
  <c r="G645" i="2"/>
  <c r="H645" i="2"/>
  <c r="I645" i="2"/>
  <c r="J645" i="2"/>
  <c r="K645" i="2"/>
  <c r="L645" i="2"/>
  <c r="M645" i="2"/>
  <c r="N645" i="2"/>
  <c r="O645" i="2"/>
  <c r="F647" i="2"/>
  <c r="G647" i="2"/>
  <c r="H647" i="2"/>
  <c r="I647" i="2"/>
  <c r="J647" i="2"/>
  <c r="K647" i="2"/>
  <c r="L647" i="2"/>
  <c r="M647" i="2"/>
  <c r="N647" i="2"/>
  <c r="O647" i="2"/>
  <c r="F649" i="2"/>
  <c r="G649" i="2"/>
  <c r="H649" i="2"/>
  <c r="I649" i="2"/>
  <c r="J649" i="2"/>
  <c r="K649" i="2"/>
  <c r="L649" i="2"/>
  <c r="M649" i="2"/>
  <c r="N649" i="2"/>
  <c r="O649" i="2"/>
  <c r="F651" i="2"/>
  <c r="G651" i="2"/>
  <c r="H651" i="2"/>
  <c r="I651" i="2"/>
  <c r="J651" i="2"/>
  <c r="K651" i="2"/>
  <c r="L651" i="2"/>
  <c r="M651" i="2"/>
  <c r="N651" i="2"/>
  <c r="O651" i="2"/>
  <c r="F653" i="2"/>
  <c r="G653" i="2"/>
  <c r="H653" i="2"/>
  <c r="I653" i="2"/>
  <c r="J653" i="2"/>
  <c r="K653" i="2"/>
  <c r="L653" i="2"/>
  <c r="M653" i="2"/>
  <c r="N653" i="2"/>
  <c r="O653" i="2"/>
  <c r="F655" i="2"/>
  <c r="G655" i="2"/>
  <c r="H655" i="2"/>
  <c r="I655" i="2"/>
  <c r="J655" i="2"/>
  <c r="K655" i="2"/>
  <c r="L655" i="2"/>
  <c r="M655" i="2"/>
  <c r="N655" i="2"/>
  <c r="O655" i="2"/>
  <c r="F657" i="2"/>
  <c r="G657" i="2"/>
  <c r="H657" i="2"/>
  <c r="I657" i="2"/>
  <c r="J657" i="2"/>
  <c r="K657" i="2"/>
  <c r="L657" i="2"/>
  <c r="M657" i="2"/>
  <c r="N657" i="2"/>
  <c r="O657" i="2"/>
  <c r="F659" i="2"/>
  <c r="G659" i="2"/>
  <c r="H659" i="2"/>
  <c r="I659" i="2"/>
  <c r="J659" i="2"/>
  <c r="K659" i="2"/>
  <c r="L659" i="2"/>
  <c r="M659" i="2"/>
  <c r="N659" i="2"/>
  <c r="O659" i="2"/>
  <c r="F661" i="2"/>
  <c r="G661" i="2"/>
  <c r="H661" i="2"/>
  <c r="I661" i="2"/>
  <c r="J661" i="2"/>
  <c r="K661" i="2"/>
  <c r="L661" i="2"/>
  <c r="M661" i="2"/>
  <c r="N661" i="2"/>
  <c r="O661" i="2"/>
  <c r="F663" i="2"/>
  <c r="G663" i="2"/>
  <c r="H663" i="2"/>
  <c r="I663" i="2"/>
  <c r="J663" i="2"/>
  <c r="K663" i="2"/>
  <c r="L663" i="2"/>
  <c r="M663" i="2"/>
  <c r="N663" i="2"/>
  <c r="O663" i="2"/>
  <c r="F665" i="2"/>
  <c r="G665" i="2"/>
  <c r="H665" i="2"/>
  <c r="I665" i="2"/>
  <c r="J665" i="2"/>
  <c r="K665" i="2"/>
  <c r="L665" i="2"/>
  <c r="M665" i="2"/>
  <c r="N665" i="2"/>
  <c r="O665" i="2"/>
  <c r="F667" i="2"/>
  <c r="G667" i="2"/>
  <c r="H667" i="2"/>
  <c r="I667" i="2"/>
  <c r="J667" i="2"/>
  <c r="K667" i="2"/>
  <c r="L667" i="2"/>
  <c r="M667" i="2"/>
  <c r="N667" i="2"/>
  <c r="O667" i="2"/>
  <c r="F669" i="2"/>
  <c r="G669" i="2"/>
  <c r="H669" i="2"/>
  <c r="I669" i="2"/>
  <c r="J669" i="2"/>
  <c r="K669" i="2"/>
  <c r="L669" i="2"/>
  <c r="M669" i="2"/>
  <c r="N669" i="2"/>
  <c r="O669" i="2"/>
  <c r="F671" i="2"/>
  <c r="G671" i="2"/>
  <c r="H671" i="2"/>
  <c r="I671" i="2"/>
  <c r="J671" i="2"/>
  <c r="K671" i="2"/>
  <c r="L671" i="2"/>
  <c r="M671" i="2"/>
  <c r="N671" i="2"/>
  <c r="O671" i="2"/>
  <c r="F673" i="2"/>
  <c r="G673" i="2"/>
  <c r="H673" i="2"/>
  <c r="I673" i="2"/>
  <c r="J673" i="2"/>
  <c r="K673" i="2"/>
  <c r="L673" i="2"/>
  <c r="M673" i="2"/>
  <c r="N673" i="2"/>
  <c r="O673" i="2"/>
  <c r="F675" i="2"/>
  <c r="G675" i="2"/>
  <c r="H675" i="2"/>
  <c r="I675" i="2"/>
  <c r="J675" i="2"/>
  <c r="K675" i="2"/>
  <c r="L675" i="2"/>
  <c r="M675" i="2"/>
  <c r="N675" i="2"/>
  <c r="O675" i="2"/>
  <c r="F677" i="2"/>
  <c r="G677" i="2"/>
  <c r="H677" i="2"/>
  <c r="I677" i="2"/>
  <c r="J677" i="2"/>
  <c r="K677" i="2"/>
  <c r="L677" i="2"/>
  <c r="M677" i="2"/>
  <c r="N677" i="2"/>
  <c r="O677" i="2"/>
  <c r="F679" i="2"/>
  <c r="G679" i="2"/>
  <c r="H679" i="2"/>
  <c r="I679" i="2"/>
  <c r="J679" i="2"/>
  <c r="K679" i="2"/>
  <c r="L679" i="2"/>
  <c r="M679" i="2"/>
  <c r="N679" i="2"/>
  <c r="O679" i="2"/>
  <c r="F681" i="2"/>
  <c r="G681" i="2"/>
  <c r="H681" i="2"/>
  <c r="I681" i="2"/>
  <c r="J681" i="2"/>
  <c r="K681" i="2"/>
  <c r="L681" i="2"/>
  <c r="M681" i="2"/>
  <c r="N681" i="2"/>
  <c r="O681" i="2"/>
  <c r="F683" i="2"/>
  <c r="G683" i="2"/>
  <c r="H683" i="2"/>
  <c r="I683" i="2"/>
  <c r="J683" i="2"/>
  <c r="K683" i="2"/>
  <c r="L683" i="2"/>
  <c r="M683" i="2"/>
  <c r="N683" i="2"/>
  <c r="O683" i="2"/>
  <c r="F685" i="2"/>
  <c r="G685" i="2"/>
  <c r="H685" i="2"/>
  <c r="I685" i="2"/>
  <c r="J685" i="2"/>
  <c r="K685" i="2"/>
  <c r="L685" i="2"/>
  <c r="M685" i="2"/>
  <c r="N685" i="2"/>
  <c r="O685" i="2"/>
  <c r="F687" i="2"/>
  <c r="G687" i="2"/>
  <c r="H687" i="2"/>
  <c r="I687" i="2"/>
  <c r="J687" i="2"/>
  <c r="K687" i="2"/>
  <c r="L687" i="2"/>
  <c r="M687" i="2"/>
  <c r="N687" i="2"/>
  <c r="O687" i="2"/>
  <c r="F689" i="2"/>
  <c r="G689" i="2"/>
  <c r="H689" i="2"/>
  <c r="I689" i="2"/>
  <c r="J689" i="2"/>
  <c r="K689" i="2"/>
  <c r="L689" i="2"/>
  <c r="M689" i="2"/>
  <c r="N689" i="2"/>
  <c r="O689" i="2"/>
  <c r="F691" i="2"/>
  <c r="G691" i="2"/>
  <c r="H691" i="2"/>
  <c r="I691" i="2"/>
  <c r="J691" i="2"/>
  <c r="K691" i="2"/>
  <c r="L691" i="2"/>
  <c r="M691" i="2"/>
  <c r="N691" i="2"/>
  <c r="O691" i="2"/>
  <c r="F693" i="2"/>
  <c r="G693" i="2"/>
  <c r="H693" i="2"/>
  <c r="I693" i="2"/>
  <c r="J693" i="2"/>
  <c r="K693" i="2"/>
  <c r="L693" i="2"/>
  <c r="M693" i="2"/>
  <c r="N693" i="2"/>
  <c r="O693" i="2"/>
  <c r="F695" i="2"/>
  <c r="G695" i="2"/>
  <c r="H695" i="2"/>
  <c r="I695" i="2"/>
  <c r="J695" i="2"/>
  <c r="K695" i="2"/>
  <c r="L695" i="2"/>
  <c r="M695" i="2"/>
  <c r="N695" i="2"/>
  <c r="O695" i="2"/>
  <c r="F697" i="2"/>
  <c r="G697" i="2"/>
  <c r="H697" i="2"/>
  <c r="I697" i="2"/>
  <c r="J697" i="2"/>
  <c r="K697" i="2"/>
  <c r="L697" i="2"/>
  <c r="M697" i="2"/>
  <c r="N697" i="2"/>
  <c r="O697" i="2"/>
  <c r="F699" i="2"/>
  <c r="G699" i="2"/>
  <c r="H699" i="2"/>
  <c r="I699" i="2"/>
  <c r="J699" i="2"/>
  <c r="K699" i="2"/>
  <c r="L699" i="2"/>
  <c r="M699" i="2"/>
  <c r="N699" i="2"/>
  <c r="O699" i="2"/>
  <c r="F701" i="2"/>
  <c r="G701" i="2"/>
  <c r="H701" i="2"/>
  <c r="I701" i="2"/>
  <c r="J701" i="2"/>
  <c r="K701" i="2"/>
  <c r="L701" i="2"/>
  <c r="M701" i="2"/>
  <c r="N701" i="2"/>
  <c r="O701" i="2"/>
  <c r="F703" i="2"/>
  <c r="G703" i="2"/>
  <c r="H703" i="2"/>
  <c r="I703" i="2"/>
  <c r="J703" i="2"/>
  <c r="K703" i="2"/>
  <c r="L703" i="2"/>
  <c r="M703" i="2"/>
  <c r="N703" i="2"/>
  <c r="O703" i="2"/>
  <c r="F705" i="2"/>
  <c r="G705" i="2"/>
  <c r="H705" i="2"/>
  <c r="I705" i="2"/>
  <c r="J705" i="2"/>
  <c r="K705" i="2"/>
  <c r="L705" i="2"/>
  <c r="M705" i="2"/>
  <c r="N705" i="2"/>
  <c r="O705" i="2"/>
  <c r="F707" i="2"/>
  <c r="G707" i="2"/>
  <c r="H707" i="2"/>
  <c r="I707" i="2"/>
  <c r="J707" i="2"/>
  <c r="K707" i="2"/>
  <c r="L707" i="2"/>
  <c r="M707" i="2"/>
  <c r="N707" i="2"/>
  <c r="O707" i="2"/>
  <c r="F710" i="2"/>
  <c r="F709" i="2" s="1"/>
  <c r="G710" i="2"/>
  <c r="G709" i="2" s="1"/>
  <c r="H710" i="2"/>
  <c r="H709" i="2" s="1"/>
  <c r="I710" i="2"/>
  <c r="I709" i="2" s="1"/>
  <c r="J710" i="2"/>
  <c r="J709" i="2" s="1"/>
  <c r="K710" i="2"/>
  <c r="K709" i="2" s="1"/>
  <c r="L710" i="2"/>
  <c r="L709" i="2" s="1"/>
  <c r="M710" i="2"/>
  <c r="M709" i="2" s="1"/>
  <c r="N710" i="2"/>
  <c r="N709" i="2" s="1"/>
  <c r="O710" i="2"/>
  <c r="O709" i="2" s="1"/>
  <c r="F712" i="2"/>
  <c r="F713" i="2"/>
  <c r="G713" i="2"/>
  <c r="H713" i="2"/>
  <c r="I713" i="2"/>
  <c r="J713" i="2"/>
  <c r="K713" i="2"/>
  <c r="L713" i="2"/>
  <c r="M713" i="2"/>
  <c r="N713" i="2"/>
  <c r="O713" i="2"/>
  <c r="F715" i="2"/>
  <c r="G715" i="2"/>
  <c r="H715" i="2"/>
  <c r="I715" i="2"/>
  <c r="J715" i="2"/>
  <c r="K715" i="2"/>
  <c r="L715" i="2"/>
  <c r="M715" i="2"/>
  <c r="N715" i="2"/>
  <c r="O715" i="2"/>
  <c r="F717" i="2"/>
  <c r="G717" i="2"/>
  <c r="H717" i="2"/>
  <c r="I717" i="2"/>
  <c r="J717" i="2"/>
  <c r="K717" i="2"/>
  <c r="L717" i="2"/>
  <c r="M717" i="2"/>
  <c r="N717" i="2"/>
  <c r="O717" i="2"/>
  <c r="F719" i="2"/>
  <c r="G719" i="2"/>
  <c r="H719" i="2"/>
  <c r="I719" i="2"/>
  <c r="J719" i="2"/>
  <c r="K719" i="2"/>
  <c r="L719" i="2"/>
  <c r="M719" i="2"/>
  <c r="N719" i="2"/>
  <c r="O719" i="2"/>
  <c r="F721" i="2"/>
  <c r="G721" i="2"/>
  <c r="H721" i="2"/>
  <c r="I721" i="2"/>
  <c r="J721" i="2"/>
  <c r="K721" i="2"/>
  <c r="L721" i="2"/>
  <c r="M721" i="2"/>
  <c r="N721" i="2"/>
  <c r="O721" i="2"/>
  <c r="F723" i="2"/>
  <c r="G723" i="2"/>
  <c r="H723" i="2"/>
  <c r="I723" i="2"/>
  <c r="J723" i="2"/>
  <c r="K723" i="2"/>
  <c r="L723" i="2"/>
  <c r="M723" i="2"/>
  <c r="N723" i="2"/>
  <c r="O723" i="2"/>
  <c r="F725" i="2"/>
  <c r="G725" i="2"/>
  <c r="H725" i="2"/>
  <c r="I725" i="2"/>
  <c r="J725" i="2"/>
  <c r="K725" i="2"/>
  <c r="L725" i="2"/>
  <c r="M725" i="2"/>
  <c r="N725" i="2"/>
  <c r="O725" i="2"/>
  <c r="F727" i="2"/>
  <c r="G727" i="2"/>
  <c r="H727" i="2"/>
  <c r="I727" i="2"/>
  <c r="J727" i="2"/>
  <c r="K727" i="2"/>
  <c r="L727" i="2"/>
  <c r="M727" i="2"/>
  <c r="N727" i="2"/>
  <c r="O727" i="2"/>
  <c r="F729" i="2"/>
  <c r="G729" i="2"/>
  <c r="H729" i="2"/>
  <c r="I729" i="2"/>
  <c r="J729" i="2"/>
  <c r="K729" i="2"/>
  <c r="L729" i="2"/>
  <c r="M729" i="2"/>
  <c r="N729" i="2"/>
  <c r="O729" i="2"/>
  <c r="F731" i="2"/>
  <c r="G731" i="2"/>
  <c r="H731" i="2"/>
  <c r="I731" i="2"/>
  <c r="J731" i="2"/>
  <c r="K731" i="2"/>
  <c r="L731" i="2"/>
  <c r="M731" i="2"/>
  <c r="N731" i="2"/>
  <c r="O731" i="2"/>
  <c r="F733" i="2"/>
  <c r="G733" i="2"/>
  <c r="H733" i="2"/>
  <c r="I733" i="2"/>
  <c r="J733" i="2"/>
  <c r="K733" i="2"/>
  <c r="L733" i="2"/>
  <c r="M733" i="2"/>
  <c r="N733" i="2"/>
  <c r="O733" i="2"/>
  <c r="F735" i="2"/>
  <c r="G735" i="2"/>
  <c r="H735" i="2"/>
  <c r="I735" i="2"/>
  <c r="J735" i="2"/>
  <c r="K735" i="2"/>
  <c r="L735" i="2"/>
  <c r="M735" i="2"/>
  <c r="N735" i="2"/>
  <c r="O735" i="2"/>
  <c r="F737" i="2"/>
  <c r="G737" i="2"/>
  <c r="H737" i="2"/>
  <c r="I737" i="2"/>
  <c r="J737" i="2"/>
  <c r="K737" i="2"/>
  <c r="L737" i="2"/>
  <c r="M737" i="2"/>
  <c r="N737" i="2"/>
  <c r="O737" i="2"/>
  <c r="F741" i="2"/>
  <c r="F740" i="2" s="1"/>
  <c r="G741" i="2"/>
  <c r="G740" i="2" s="1"/>
  <c r="H741" i="2"/>
  <c r="H740" i="2" s="1"/>
  <c r="I741" i="2"/>
  <c r="I740" i="2" s="1"/>
  <c r="J741" i="2"/>
  <c r="J740" i="2" s="1"/>
  <c r="K741" i="2"/>
  <c r="K740" i="2" s="1"/>
  <c r="L741" i="2"/>
  <c r="L740" i="2" s="1"/>
  <c r="M741" i="2"/>
  <c r="M740" i="2" s="1"/>
  <c r="N741" i="2"/>
  <c r="N740" i="2" s="1"/>
  <c r="O741" i="2"/>
  <c r="O740" i="2" s="1"/>
  <c r="F744" i="2"/>
  <c r="F743" i="2" s="1"/>
  <c r="G744" i="2"/>
  <c r="G743" i="2" s="1"/>
  <c r="H744" i="2"/>
  <c r="H743" i="2" s="1"/>
  <c r="I744" i="2"/>
  <c r="I743" i="2" s="1"/>
  <c r="J744" i="2"/>
  <c r="J743" i="2" s="1"/>
  <c r="K744" i="2"/>
  <c r="K743" i="2" s="1"/>
  <c r="L744" i="2"/>
  <c r="L743" i="2" s="1"/>
  <c r="M744" i="2"/>
  <c r="M743" i="2" s="1"/>
  <c r="N744" i="2"/>
  <c r="N743" i="2" s="1"/>
  <c r="O744" i="2"/>
  <c r="O743" i="2" s="1"/>
  <c r="H746" i="2"/>
  <c r="F747" i="2"/>
  <c r="F746" i="2" s="1"/>
  <c r="G747" i="2"/>
  <c r="G746" i="2" s="1"/>
  <c r="H747" i="2"/>
  <c r="I747" i="2"/>
  <c r="I746" i="2" s="1"/>
  <c r="J747" i="2"/>
  <c r="J746" i="2" s="1"/>
  <c r="K747" i="2"/>
  <c r="K746" i="2" s="1"/>
  <c r="L747" i="2"/>
  <c r="L746" i="2" s="1"/>
  <c r="M747" i="2"/>
  <c r="M746" i="2" s="1"/>
  <c r="N747" i="2"/>
  <c r="N746" i="2" s="1"/>
  <c r="O747" i="2"/>
  <c r="O746" i="2" s="1"/>
  <c r="F750" i="2"/>
  <c r="G750" i="2"/>
  <c r="H750" i="2"/>
  <c r="I750" i="2"/>
  <c r="J750" i="2"/>
  <c r="K750" i="2"/>
  <c r="L750" i="2"/>
  <c r="M750" i="2"/>
  <c r="M749" i="2" s="1"/>
  <c r="N750" i="2"/>
  <c r="O750" i="2"/>
  <c r="F752" i="2"/>
  <c r="G752" i="2"/>
  <c r="H752" i="2"/>
  <c r="I752" i="2"/>
  <c r="J752" i="2"/>
  <c r="K752" i="2"/>
  <c r="L752" i="2"/>
  <c r="M752" i="2"/>
  <c r="N752" i="2"/>
  <c r="O752" i="2"/>
  <c r="F754" i="2"/>
  <c r="G754" i="2"/>
  <c r="H754" i="2"/>
  <c r="I754" i="2"/>
  <c r="J754" i="2"/>
  <c r="K754" i="2"/>
  <c r="L754" i="2"/>
  <c r="M754" i="2"/>
  <c r="N754" i="2"/>
  <c r="O754" i="2"/>
  <c r="F756" i="2"/>
  <c r="G756" i="2"/>
  <c r="H756" i="2"/>
  <c r="I756" i="2"/>
  <c r="J756" i="2"/>
  <c r="K756" i="2"/>
  <c r="L756" i="2"/>
  <c r="M756" i="2"/>
  <c r="N756" i="2"/>
  <c r="O756" i="2"/>
  <c r="F760" i="2"/>
  <c r="F759" i="2" s="1"/>
  <c r="F758" i="2" s="1"/>
  <c r="G760" i="2"/>
  <c r="G759" i="2" s="1"/>
  <c r="G758" i="2" s="1"/>
  <c r="H760" i="2"/>
  <c r="H759" i="2" s="1"/>
  <c r="H758" i="2" s="1"/>
  <c r="I760" i="2"/>
  <c r="I759" i="2" s="1"/>
  <c r="I758" i="2" s="1"/>
  <c r="J760" i="2"/>
  <c r="J759" i="2" s="1"/>
  <c r="J758" i="2" s="1"/>
  <c r="K760" i="2"/>
  <c r="K759" i="2" s="1"/>
  <c r="K758" i="2" s="1"/>
  <c r="L760" i="2"/>
  <c r="L759" i="2" s="1"/>
  <c r="L758" i="2" s="1"/>
  <c r="M760" i="2"/>
  <c r="M759" i="2" s="1"/>
  <c r="M758" i="2" s="1"/>
  <c r="N760" i="2"/>
  <c r="N759" i="2" s="1"/>
  <c r="N758" i="2" s="1"/>
  <c r="O760" i="2"/>
  <c r="O759" i="2" s="1"/>
  <c r="O758" i="2" s="1"/>
  <c r="K763" i="2"/>
  <c r="K762" i="2" s="1"/>
  <c r="F764" i="2"/>
  <c r="F763" i="2" s="1"/>
  <c r="F762" i="2" s="1"/>
  <c r="G764" i="2"/>
  <c r="G763" i="2" s="1"/>
  <c r="G762" i="2" s="1"/>
  <c r="H764" i="2"/>
  <c r="H763" i="2" s="1"/>
  <c r="H762" i="2" s="1"/>
  <c r="I764" i="2"/>
  <c r="I763" i="2" s="1"/>
  <c r="I762" i="2" s="1"/>
  <c r="J764" i="2"/>
  <c r="J763" i="2" s="1"/>
  <c r="J762" i="2" s="1"/>
  <c r="K764" i="2"/>
  <c r="L764" i="2"/>
  <c r="L763" i="2" s="1"/>
  <c r="L762" i="2" s="1"/>
  <c r="M764" i="2"/>
  <c r="M763" i="2" s="1"/>
  <c r="M762" i="2" s="1"/>
  <c r="N764" i="2"/>
  <c r="N763" i="2" s="1"/>
  <c r="N762" i="2" s="1"/>
  <c r="O764" i="2"/>
  <c r="O763" i="2" s="1"/>
  <c r="O762" i="2" s="1"/>
  <c r="F773" i="2"/>
  <c r="G773" i="2"/>
  <c r="H773" i="2"/>
  <c r="I773" i="2"/>
  <c r="J773" i="2"/>
  <c r="K773" i="2"/>
  <c r="L773" i="2"/>
  <c r="M773" i="2"/>
  <c r="N773" i="2"/>
  <c r="O773" i="2"/>
  <c r="F775" i="2"/>
  <c r="G775" i="2"/>
  <c r="H775" i="2"/>
  <c r="I775" i="2"/>
  <c r="J775" i="2"/>
  <c r="K775" i="2"/>
  <c r="L775" i="2"/>
  <c r="M775" i="2"/>
  <c r="N775" i="2"/>
  <c r="O775" i="2"/>
  <c r="F777" i="2"/>
  <c r="G777" i="2"/>
  <c r="H777" i="2"/>
  <c r="I777" i="2"/>
  <c r="J777" i="2"/>
  <c r="K777" i="2"/>
  <c r="L777" i="2"/>
  <c r="M777" i="2"/>
  <c r="N777" i="2"/>
  <c r="O777" i="2"/>
  <c r="F779" i="2"/>
  <c r="G779" i="2"/>
  <c r="H779" i="2"/>
  <c r="I779" i="2"/>
  <c r="J779" i="2"/>
  <c r="K779" i="2"/>
  <c r="L779" i="2"/>
  <c r="M779" i="2"/>
  <c r="N779" i="2"/>
  <c r="O779" i="2"/>
  <c r="F781" i="2"/>
  <c r="G781" i="2"/>
  <c r="H781" i="2"/>
  <c r="I781" i="2"/>
  <c r="J781" i="2"/>
  <c r="K781" i="2"/>
  <c r="L781" i="2"/>
  <c r="M781" i="2"/>
  <c r="N781" i="2"/>
  <c r="O781" i="2"/>
  <c r="F783" i="2"/>
  <c r="G783" i="2"/>
  <c r="H783" i="2"/>
  <c r="I783" i="2"/>
  <c r="J783" i="2"/>
  <c r="K783" i="2"/>
  <c r="L783" i="2"/>
  <c r="M783" i="2"/>
  <c r="N783" i="2"/>
  <c r="O783" i="2"/>
  <c r="F785" i="2"/>
  <c r="G785" i="2"/>
  <c r="H785" i="2"/>
  <c r="I785" i="2"/>
  <c r="J785" i="2"/>
  <c r="K785" i="2"/>
  <c r="L785" i="2"/>
  <c r="M785" i="2"/>
  <c r="N785" i="2"/>
  <c r="O785" i="2"/>
  <c r="F787" i="2"/>
  <c r="G787" i="2"/>
  <c r="H787" i="2"/>
  <c r="I787" i="2"/>
  <c r="J787" i="2"/>
  <c r="K787" i="2"/>
  <c r="L787" i="2"/>
  <c r="M787" i="2"/>
  <c r="N787" i="2"/>
  <c r="O787" i="2"/>
  <c r="F789" i="2"/>
  <c r="G789" i="2"/>
  <c r="H789" i="2"/>
  <c r="I789" i="2"/>
  <c r="J789" i="2"/>
  <c r="K789" i="2"/>
  <c r="L789" i="2"/>
  <c r="M789" i="2"/>
  <c r="N789" i="2"/>
  <c r="O789" i="2"/>
  <c r="F791" i="2"/>
  <c r="G791" i="2"/>
  <c r="H791" i="2"/>
  <c r="I791" i="2"/>
  <c r="J791" i="2"/>
  <c r="K791" i="2"/>
  <c r="L791" i="2"/>
  <c r="M791" i="2"/>
  <c r="N791" i="2"/>
  <c r="O791" i="2"/>
  <c r="F793" i="2"/>
  <c r="G793" i="2"/>
  <c r="H793" i="2"/>
  <c r="I793" i="2"/>
  <c r="J793" i="2"/>
  <c r="K793" i="2"/>
  <c r="L793" i="2"/>
  <c r="M793" i="2"/>
  <c r="N793" i="2"/>
  <c r="O793" i="2"/>
  <c r="F795" i="2"/>
  <c r="G795" i="2"/>
  <c r="H795" i="2"/>
  <c r="I795" i="2"/>
  <c r="J795" i="2"/>
  <c r="K795" i="2"/>
  <c r="L795" i="2"/>
  <c r="M795" i="2"/>
  <c r="N795" i="2"/>
  <c r="O795" i="2"/>
  <c r="F797" i="2"/>
  <c r="G797" i="2"/>
  <c r="H797" i="2"/>
  <c r="I797" i="2"/>
  <c r="J797" i="2"/>
  <c r="K797" i="2"/>
  <c r="L797" i="2"/>
  <c r="M797" i="2"/>
  <c r="N797" i="2"/>
  <c r="O797" i="2"/>
  <c r="F799" i="2"/>
  <c r="G799" i="2"/>
  <c r="H799" i="2"/>
  <c r="I799" i="2"/>
  <c r="J799" i="2"/>
  <c r="K799" i="2"/>
  <c r="L799" i="2"/>
  <c r="M799" i="2"/>
  <c r="N799" i="2"/>
  <c r="O799" i="2"/>
  <c r="F801" i="2"/>
  <c r="G801" i="2"/>
  <c r="H801" i="2"/>
  <c r="I801" i="2"/>
  <c r="J801" i="2"/>
  <c r="K801" i="2"/>
  <c r="L801" i="2"/>
  <c r="M801" i="2"/>
  <c r="N801" i="2"/>
  <c r="O801" i="2"/>
  <c r="F803" i="2"/>
  <c r="G803" i="2"/>
  <c r="H803" i="2"/>
  <c r="I803" i="2"/>
  <c r="J803" i="2"/>
  <c r="K803" i="2"/>
  <c r="L803" i="2"/>
  <c r="M803" i="2"/>
  <c r="N803" i="2"/>
  <c r="O803" i="2"/>
  <c r="H806" i="2"/>
  <c r="F807" i="2"/>
  <c r="F806" i="2" s="1"/>
  <c r="G807" i="2"/>
  <c r="G806" i="2" s="1"/>
  <c r="H807" i="2"/>
  <c r="I807" i="2"/>
  <c r="I806" i="2" s="1"/>
  <c r="J807" i="2"/>
  <c r="J806" i="2" s="1"/>
  <c r="K807" i="2"/>
  <c r="K806" i="2" s="1"/>
  <c r="L807" i="2"/>
  <c r="L806" i="2" s="1"/>
  <c r="M807" i="2"/>
  <c r="M806" i="2" s="1"/>
  <c r="N807" i="2"/>
  <c r="N806" i="2" s="1"/>
  <c r="O807" i="2"/>
  <c r="O806" i="2" s="1"/>
  <c r="F810" i="2"/>
  <c r="G810" i="2"/>
  <c r="H810" i="2"/>
  <c r="I810" i="2"/>
  <c r="J810" i="2"/>
  <c r="J809" i="2" s="1"/>
  <c r="J805" i="2" s="1"/>
  <c r="K810" i="2"/>
  <c r="L810" i="2"/>
  <c r="M810" i="2"/>
  <c r="N810" i="2"/>
  <c r="O810" i="2"/>
  <c r="F812" i="2"/>
  <c r="G812" i="2"/>
  <c r="H812" i="2"/>
  <c r="I812" i="2"/>
  <c r="J812" i="2"/>
  <c r="K812" i="2"/>
  <c r="L812" i="2"/>
  <c r="M812" i="2"/>
  <c r="N812" i="2"/>
  <c r="O812" i="2"/>
  <c r="L815" i="2"/>
  <c r="L814" i="2" s="1"/>
  <c r="F816" i="2"/>
  <c r="G816" i="2"/>
  <c r="H816" i="2"/>
  <c r="I816" i="2"/>
  <c r="J816" i="2"/>
  <c r="K816" i="2"/>
  <c r="L816" i="2"/>
  <c r="M816" i="2"/>
  <c r="N816" i="2"/>
  <c r="O816" i="2"/>
  <c r="F818" i="2"/>
  <c r="G818" i="2"/>
  <c r="H818" i="2"/>
  <c r="I818" i="2"/>
  <c r="J818" i="2"/>
  <c r="K818" i="2"/>
  <c r="L818" i="2"/>
  <c r="M818" i="2"/>
  <c r="N818" i="2"/>
  <c r="O818" i="2"/>
  <c r="C827" i="2"/>
  <c r="D827" i="2"/>
  <c r="E827" i="2"/>
  <c r="F827" i="2"/>
  <c r="G827" i="2"/>
  <c r="H827" i="2"/>
  <c r="I827" i="2"/>
  <c r="J827" i="2"/>
  <c r="K827" i="2"/>
  <c r="L827" i="2"/>
  <c r="C840" i="2"/>
  <c r="D840" i="2"/>
  <c r="E840" i="2"/>
  <c r="F840" i="2"/>
  <c r="G840" i="2"/>
  <c r="H840" i="2"/>
  <c r="I840" i="2"/>
  <c r="J840" i="2"/>
  <c r="K840" i="2"/>
  <c r="L840" i="2"/>
  <c r="G842" i="2"/>
  <c r="H842" i="2"/>
  <c r="O510" i="2" l="1"/>
  <c r="E842" i="2"/>
  <c r="J432" i="2"/>
  <c r="L432" i="2"/>
  <c r="H309" i="2"/>
  <c r="J58" i="2"/>
  <c r="J57" i="2" s="1"/>
  <c r="L48" i="2"/>
  <c r="N48" i="2"/>
  <c r="L842" i="2"/>
  <c r="K172" i="2"/>
  <c r="K171" i="2" s="1"/>
  <c r="J89" i="2"/>
  <c r="J88" i="2" s="1"/>
  <c r="I603" i="2"/>
  <c r="M512" i="2"/>
  <c r="M510" i="2" s="1"/>
  <c r="I497" i="2"/>
  <c r="I496" i="2" s="1"/>
  <c r="M341" i="2"/>
  <c r="M340" i="2" s="1"/>
  <c r="J172" i="2"/>
  <c r="J171" i="2" s="1"/>
  <c r="K815" i="2"/>
  <c r="K814" i="2" s="1"/>
  <c r="J155" i="2"/>
  <c r="N809" i="2"/>
  <c r="F809" i="2"/>
  <c r="L512" i="2"/>
  <c r="L510" i="2" s="1"/>
  <c r="H497" i="2"/>
  <c r="H496" i="2" s="1"/>
  <c r="L341" i="2"/>
  <c r="L340" i="2" s="1"/>
  <c r="H335" i="2"/>
  <c r="L319" i="2"/>
  <c r="M309" i="2"/>
  <c r="H201" i="2"/>
  <c r="K177" i="2"/>
  <c r="I172" i="2"/>
  <c r="I171" i="2" s="1"/>
  <c r="L121" i="2"/>
  <c r="I58" i="2"/>
  <c r="I57" i="2" s="1"/>
  <c r="K48" i="2"/>
  <c r="J486" i="2"/>
  <c r="K432" i="2"/>
  <c r="O225" i="2"/>
  <c r="J211" i="2"/>
  <c r="J210" i="2" s="1"/>
  <c r="M48" i="2"/>
  <c r="M809" i="2"/>
  <c r="O603" i="2"/>
  <c r="I580" i="2"/>
  <c r="J571" i="2"/>
  <c r="J540" i="2"/>
  <c r="J532" i="2" s="1"/>
  <c r="O497" i="2"/>
  <c r="O496" i="2" s="1"/>
  <c r="G497" i="2"/>
  <c r="G496" i="2" s="1"/>
  <c r="K341" i="2"/>
  <c r="K340" i="2" s="1"/>
  <c r="I211" i="2"/>
  <c r="I210" i="2" s="1"/>
  <c r="O201" i="2"/>
  <c r="G201" i="2"/>
  <c r="I160" i="2"/>
  <c r="K160" i="2"/>
  <c r="G155" i="2"/>
  <c r="H58" i="2"/>
  <c r="H57" i="2" s="1"/>
  <c r="D842" i="2"/>
  <c r="J603" i="2"/>
  <c r="M540" i="2"/>
  <c r="M532" i="2" s="1"/>
  <c r="O309" i="2"/>
  <c r="G225" i="2"/>
  <c r="F842" i="2"/>
  <c r="O815" i="2"/>
  <c r="O814" i="2" s="1"/>
  <c r="G815" i="2"/>
  <c r="G814" i="2" s="1"/>
  <c r="I503" i="2"/>
  <c r="L486" i="2"/>
  <c r="N486" i="2"/>
  <c r="F486" i="2"/>
  <c r="J341" i="2"/>
  <c r="J340" i="2" s="1"/>
  <c r="J330" i="2"/>
  <c r="J319" i="2"/>
  <c r="I225" i="2"/>
  <c r="I224" i="2" s="1"/>
  <c r="F211" i="2"/>
  <c r="F210" i="2" s="1"/>
  <c r="H211" i="2"/>
  <c r="H210" i="2" s="1"/>
  <c r="N201" i="2"/>
  <c r="F155" i="2"/>
  <c r="K64" i="2"/>
  <c r="K63" i="2" s="1"/>
  <c r="K749" i="2"/>
  <c r="K809" i="2"/>
  <c r="I491" i="2"/>
  <c r="I348" i="2"/>
  <c r="J224" i="2"/>
  <c r="M211" i="2"/>
  <c r="M210" i="2" s="1"/>
  <c r="G211" i="2"/>
  <c r="G210" i="2" s="1"/>
  <c r="H177" i="2"/>
  <c r="N172" i="2"/>
  <c r="N171" i="2" s="1"/>
  <c r="M89" i="2"/>
  <c r="M88" i="2" s="1"/>
  <c r="J64" i="2"/>
  <c r="O712" i="2"/>
  <c r="O448" i="2"/>
  <c r="M448" i="2"/>
  <c r="K260" i="2"/>
  <c r="K772" i="2"/>
  <c r="K771" i="2" s="1"/>
  <c r="G712" i="2"/>
  <c r="J348" i="2"/>
  <c r="J772" i="2"/>
  <c r="J771" i="2" s="1"/>
  <c r="L809" i="2"/>
  <c r="L805" i="2" s="1"/>
  <c r="N211" i="2"/>
  <c r="N210" i="2" s="1"/>
  <c r="O772" i="2"/>
  <c r="O771" i="2" s="1"/>
  <c r="J749" i="2"/>
  <c r="J739" i="2" s="1"/>
  <c r="G603" i="2"/>
  <c r="M712" i="2"/>
  <c r="F805" i="2"/>
  <c r="H512" i="2"/>
  <c r="H510" i="2" s="1"/>
  <c r="F497" i="2"/>
  <c r="F496" i="2" s="1"/>
  <c r="M815" i="2"/>
  <c r="M814" i="2" s="1"/>
  <c r="J413" i="2"/>
  <c r="G772" i="2"/>
  <c r="G771" i="2" s="1"/>
  <c r="I413" i="2"/>
  <c r="M155" i="2"/>
  <c r="I619" i="2"/>
  <c r="L580" i="2"/>
  <c r="N510" i="2"/>
  <c r="O491" i="2"/>
  <c r="G491" i="2"/>
  <c r="K225" i="2"/>
  <c r="K224" i="2" s="1"/>
  <c r="M225" i="2"/>
  <c r="H160" i="2"/>
  <c r="J121" i="2"/>
  <c r="M486" i="2"/>
  <c r="N177" i="2"/>
  <c r="O58" i="2"/>
  <c r="O57" i="2" s="1"/>
  <c r="G58" i="2"/>
  <c r="G57" i="2" s="1"/>
  <c r="F260" i="2"/>
  <c r="M335" i="2"/>
  <c r="H603" i="2"/>
  <c r="K842" i="2"/>
  <c r="C842" i="2"/>
  <c r="J815" i="2"/>
  <c r="J814" i="2" s="1"/>
  <c r="H809" i="2"/>
  <c r="H805" i="2" s="1"/>
  <c r="M772" i="2"/>
  <c r="M771" i="2" s="1"/>
  <c r="J619" i="2"/>
  <c r="H619" i="2"/>
  <c r="M603" i="2"/>
  <c r="K580" i="2"/>
  <c r="L503" i="2"/>
  <c r="M432" i="2"/>
  <c r="M430" i="2" s="1"/>
  <c r="J842" i="2"/>
  <c r="I815" i="2"/>
  <c r="I814" i="2" s="1"/>
  <c r="O749" i="2"/>
  <c r="O739" i="2" s="1"/>
  <c r="G749" i="2"/>
  <c r="G739" i="2" s="1"/>
  <c r="H520" i="2"/>
  <c r="L430" i="2"/>
  <c r="M319" i="2"/>
  <c r="L160" i="2"/>
  <c r="N160" i="2"/>
  <c r="F160" i="2"/>
  <c r="M139" i="2"/>
  <c r="M138" i="2" s="1"/>
  <c r="K139" i="2"/>
  <c r="K138" i="2" s="1"/>
  <c r="N497" i="2"/>
  <c r="N496" i="2" s="1"/>
  <c r="N491" i="2"/>
  <c r="F491" i="2"/>
  <c r="L448" i="2"/>
  <c r="N448" i="2"/>
  <c r="O319" i="2"/>
  <c r="F309" i="2"/>
  <c r="H172" i="2"/>
  <c r="H171" i="2" s="1"/>
  <c r="M160" i="2"/>
  <c r="M154" i="2" s="1"/>
  <c r="L155" i="2"/>
  <c r="I121" i="2"/>
  <c r="M99" i="2"/>
  <c r="N64" i="2"/>
  <c r="N63" i="2" s="1"/>
  <c r="F64" i="2"/>
  <c r="F63" i="2" s="1"/>
  <c r="H64" i="2"/>
  <c r="H63" i="2" s="1"/>
  <c r="I842" i="2"/>
  <c r="H815" i="2"/>
  <c r="H814" i="2" s="1"/>
  <c r="O809" i="2"/>
  <c r="O805" i="2" s="1"/>
  <c r="G809" i="2"/>
  <c r="G805" i="2" s="1"/>
  <c r="L772" i="2"/>
  <c r="L771" i="2" s="1"/>
  <c r="L749" i="2"/>
  <c r="H749" i="2"/>
  <c r="H739" i="2" s="1"/>
  <c r="K619" i="2"/>
  <c r="N603" i="2"/>
  <c r="F603" i="2"/>
  <c r="H580" i="2"/>
  <c r="K571" i="2"/>
  <c r="K540" i="2"/>
  <c r="K532" i="2" s="1"/>
  <c r="I512" i="2"/>
  <c r="I510" i="2" s="1"/>
  <c r="K503" i="2"/>
  <c r="K486" i="2"/>
  <c r="K430" i="2"/>
  <c r="N89" i="2"/>
  <c r="N88" i="2" s="1"/>
  <c r="F89" i="2"/>
  <c r="F88" i="2" s="1"/>
  <c r="H11" i="2"/>
  <c r="H10" i="2" s="1"/>
  <c r="H9" i="2" s="1"/>
  <c r="L11" i="2"/>
  <c r="L10" i="2" s="1"/>
  <c r="L9" i="2" s="1"/>
  <c r="N11" i="2"/>
  <c r="N10" i="2" s="1"/>
  <c r="F11" i="2"/>
  <c r="I11" i="2"/>
  <c r="I10" i="2" s="1"/>
  <c r="J503" i="2"/>
  <c r="L211" i="2"/>
  <c r="L210" i="2" s="1"/>
  <c r="G99" i="2"/>
  <c r="O11" i="2"/>
  <c r="O10" i="2" s="1"/>
  <c r="O9" i="2" s="1"/>
  <c r="N772" i="2"/>
  <c r="N771" i="2" s="1"/>
  <c r="F772" i="2"/>
  <c r="F771" i="2" s="1"/>
  <c r="N749" i="2"/>
  <c r="F749" i="2"/>
  <c r="F739" i="2" s="1"/>
  <c r="L712" i="2"/>
  <c r="N712" i="2"/>
  <c r="M571" i="2"/>
  <c r="I571" i="2"/>
  <c r="I540" i="2"/>
  <c r="I532" i="2" s="1"/>
  <c r="K497" i="2"/>
  <c r="K496" i="2" s="1"/>
  <c r="I486" i="2"/>
  <c r="I432" i="2"/>
  <c r="O432" i="2"/>
  <c r="G432" i="2"/>
  <c r="N413" i="2"/>
  <c r="H348" i="2"/>
  <c r="K335" i="2"/>
  <c r="G309" i="2"/>
  <c r="K309" i="2"/>
  <c r="O211" i="2"/>
  <c r="K211" i="2"/>
  <c r="K210" i="2" s="1"/>
  <c r="J48" i="2"/>
  <c r="H503" i="2"/>
  <c r="J430" i="2"/>
  <c r="O413" i="2"/>
  <c r="O99" i="2"/>
  <c r="G11" i="2"/>
  <c r="G10" i="2" s="1"/>
  <c r="K739" i="2"/>
  <c r="M580" i="2"/>
  <c r="L571" i="2"/>
  <c r="H571" i="2"/>
  <c r="L532" i="2"/>
  <c r="J497" i="2"/>
  <c r="J496" i="2" s="1"/>
  <c r="H486" i="2"/>
  <c r="H432" i="2"/>
  <c r="N432" i="2"/>
  <c r="N430" i="2" s="1"/>
  <c r="F432" i="2"/>
  <c r="F430" i="2" s="1"/>
  <c r="K348" i="2"/>
  <c r="K347" i="2" s="1"/>
  <c r="J335" i="2"/>
  <c r="H330" i="2"/>
  <c r="K319" i="2"/>
  <c r="J201" i="2"/>
  <c r="L172" i="2"/>
  <c r="L171" i="2" s="1"/>
  <c r="H155" i="2"/>
  <c r="H154" i="2" s="1"/>
  <c r="N139" i="2"/>
  <c r="N138" i="2" s="1"/>
  <c r="F139" i="2"/>
  <c r="F138" i="2" s="1"/>
  <c r="L139" i="2"/>
  <c r="L138" i="2" s="1"/>
  <c r="I99" i="2"/>
  <c r="I95" i="2" s="1"/>
  <c r="K89" i="2"/>
  <c r="K88" i="2" s="1"/>
  <c r="L64" i="2"/>
  <c r="L63" i="2" s="1"/>
  <c r="J11" i="2"/>
  <c r="F48" i="2"/>
  <c r="K805" i="2"/>
  <c r="N805" i="2"/>
  <c r="H772" i="2"/>
  <c r="H771" i="2" s="1"/>
  <c r="L739" i="2"/>
  <c r="N739" i="2"/>
  <c r="N580" i="2"/>
  <c r="F580" i="2"/>
  <c r="N503" i="2"/>
  <c r="L260" i="2"/>
  <c r="N260" i="2"/>
  <c r="H260" i="2"/>
  <c r="J260" i="2"/>
  <c r="M805" i="2"/>
  <c r="I553" i="2"/>
  <c r="I379" i="2"/>
  <c r="M260" i="2"/>
  <c r="I260" i="2"/>
  <c r="O619" i="2"/>
  <c r="O599" i="2" s="1"/>
  <c r="O553" i="2"/>
  <c r="F815" i="2"/>
  <c r="F814" i="2" s="1"/>
  <c r="N619" i="2"/>
  <c r="F619" i="2"/>
  <c r="F599" i="2" s="1"/>
  <c r="L603" i="2"/>
  <c r="N571" i="2"/>
  <c r="F571" i="2"/>
  <c r="N553" i="2"/>
  <c r="F553" i="2"/>
  <c r="H540" i="2"/>
  <c r="H532" i="2" s="1"/>
  <c r="N532" i="2"/>
  <c r="J379" i="2"/>
  <c r="J347" i="2" s="1"/>
  <c r="N379" i="2"/>
  <c r="F379" i="2"/>
  <c r="H553" i="2"/>
  <c r="K379" i="2"/>
  <c r="O379" i="2"/>
  <c r="N815" i="2"/>
  <c r="N814" i="2" s="1"/>
  <c r="K712" i="2"/>
  <c r="M619" i="2"/>
  <c r="M599" i="2" s="1"/>
  <c r="K603" i="2"/>
  <c r="K553" i="2"/>
  <c r="K552" i="2" s="1"/>
  <c r="M520" i="2"/>
  <c r="K520" i="2"/>
  <c r="G510" i="2"/>
  <c r="G448" i="2"/>
  <c r="K448" i="2"/>
  <c r="I430" i="2"/>
  <c r="O430" i="2"/>
  <c r="G430" i="2"/>
  <c r="I335" i="2"/>
  <c r="J200" i="2"/>
  <c r="I63" i="2"/>
  <c r="G619" i="2"/>
  <c r="H712" i="2"/>
  <c r="H599" i="2" s="1"/>
  <c r="J712" i="2"/>
  <c r="J599" i="2" s="1"/>
  <c r="L619" i="2"/>
  <c r="J553" i="2"/>
  <c r="J552" i="2" s="1"/>
  <c r="L520" i="2"/>
  <c r="J520" i="2"/>
  <c r="F510" i="2"/>
  <c r="F448" i="2"/>
  <c r="J448" i="2"/>
  <c r="H430" i="2"/>
  <c r="H379" i="2"/>
  <c r="G553" i="2"/>
  <c r="G379" i="2"/>
  <c r="I809" i="2"/>
  <c r="I805" i="2" s="1"/>
  <c r="I772" i="2"/>
  <c r="I771" i="2" s="1"/>
  <c r="I749" i="2"/>
  <c r="I739" i="2" s="1"/>
  <c r="M739" i="2"/>
  <c r="I712" i="2"/>
  <c r="O580" i="2"/>
  <c r="G580" i="2"/>
  <c r="M503" i="2"/>
  <c r="O503" i="2"/>
  <c r="K200" i="2"/>
  <c r="O64" i="2"/>
  <c r="O63" i="2" s="1"/>
  <c r="G64" i="2"/>
  <c r="G63" i="2" s="1"/>
  <c r="M553" i="2"/>
  <c r="O540" i="2"/>
  <c r="O532" i="2" s="1"/>
  <c r="G540" i="2"/>
  <c r="G532" i="2" s="1"/>
  <c r="G503" i="2"/>
  <c r="M491" i="2"/>
  <c r="I448" i="2"/>
  <c r="I447" i="2" s="1"/>
  <c r="M379" i="2"/>
  <c r="M348" i="2"/>
  <c r="O348" i="2"/>
  <c r="G348" i="2"/>
  <c r="I341" i="2"/>
  <c r="I340" i="2" s="1"/>
  <c r="O335" i="2"/>
  <c r="G335" i="2"/>
  <c r="O330" i="2"/>
  <c r="G330" i="2"/>
  <c r="F201" i="2"/>
  <c r="I139" i="2"/>
  <c r="I138" i="2" s="1"/>
  <c r="N9" i="2"/>
  <c r="L553" i="2"/>
  <c r="N540" i="2"/>
  <c r="F540" i="2"/>
  <c r="F532" i="2" s="1"/>
  <c r="F503" i="2"/>
  <c r="L491" i="2"/>
  <c r="H448" i="2"/>
  <c r="H447" i="2" s="1"/>
  <c r="L379" i="2"/>
  <c r="N348" i="2"/>
  <c r="F348" i="2"/>
  <c r="H341" i="2"/>
  <c r="H340" i="2" s="1"/>
  <c r="N335" i="2"/>
  <c r="F335" i="2"/>
  <c r="N330" i="2"/>
  <c r="F330" i="2"/>
  <c r="H224" i="2"/>
  <c r="H200" i="2" s="1"/>
  <c r="L95" i="2"/>
  <c r="M11" i="2"/>
  <c r="J139" i="2"/>
  <c r="J138" i="2" s="1"/>
  <c r="I89" i="2"/>
  <c r="I88" i="2" s="1"/>
  <c r="O520" i="2"/>
  <c r="G520" i="2"/>
  <c r="K512" i="2"/>
  <c r="K510" i="2" s="1"/>
  <c r="M497" i="2"/>
  <c r="M496" i="2" s="1"/>
  <c r="K491" i="2"/>
  <c r="M413" i="2"/>
  <c r="O341" i="2"/>
  <c r="O340" i="2" s="1"/>
  <c r="G341" i="2"/>
  <c r="G340" i="2" s="1"/>
  <c r="M330" i="2"/>
  <c r="I319" i="2"/>
  <c r="G224" i="2"/>
  <c r="G200" i="2" s="1"/>
  <c r="K155" i="2"/>
  <c r="K154" i="2" s="1"/>
  <c r="I154" i="2"/>
  <c r="N520" i="2"/>
  <c r="F520" i="2"/>
  <c r="J512" i="2"/>
  <c r="J510" i="2" s="1"/>
  <c r="L497" i="2"/>
  <c r="L496" i="2" s="1"/>
  <c r="J491" i="2"/>
  <c r="L413" i="2"/>
  <c r="L348" i="2"/>
  <c r="N341" i="2"/>
  <c r="N340" i="2" s="1"/>
  <c r="F341" i="2"/>
  <c r="F340" i="2" s="1"/>
  <c r="L330" i="2"/>
  <c r="N319" i="2"/>
  <c r="F319" i="2"/>
  <c r="H319" i="2"/>
  <c r="O210" i="2"/>
  <c r="I201" i="2"/>
  <c r="I200" i="2" s="1"/>
  <c r="H99" i="2"/>
  <c r="K11" i="2"/>
  <c r="K10" i="2" s="1"/>
  <c r="G319" i="2"/>
  <c r="O260" i="2"/>
  <c r="G260" i="2"/>
  <c r="M201" i="2"/>
  <c r="L177" i="2"/>
  <c r="J160" i="2"/>
  <c r="J154" i="2" s="1"/>
  <c r="H139" i="2"/>
  <c r="H138" i="2" s="1"/>
  <c r="N121" i="2"/>
  <c r="F121" i="2"/>
  <c r="H121" i="2"/>
  <c r="M64" i="2"/>
  <c r="M63" i="2" s="1"/>
  <c r="J10" i="2"/>
  <c r="O172" i="2"/>
  <c r="O171" i="2" s="1"/>
  <c r="G172" i="2"/>
  <c r="G171" i="2" s="1"/>
  <c r="O139" i="2"/>
  <c r="O138" i="2" s="1"/>
  <c r="G139" i="2"/>
  <c r="G138" i="2" s="1"/>
  <c r="O121" i="2"/>
  <c r="G121" i="2"/>
  <c r="N99" i="2"/>
  <c r="N95" i="2" s="1"/>
  <c r="F99" i="2"/>
  <c r="F95" i="2" s="1"/>
  <c r="F94" i="2" s="1"/>
  <c r="J99" i="2"/>
  <c r="L99" i="2"/>
  <c r="O89" i="2"/>
  <c r="O88" i="2" s="1"/>
  <c r="G89" i="2"/>
  <c r="G88" i="2" s="1"/>
  <c r="J63" i="2"/>
  <c r="M58" i="2"/>
  <c r="M57" i="2" s="1"/>
  <c r="L225" i="2"/>
  <c r="L224" i="2" s="1"/>
  <c r="N225" i="2"/>
  <c r="N224" i="2" s="1"/>
  <c r="F225" i="2"/>
  <c r="F224" i="2" s="1"/>
  <c r="J177" i="2"/>
  <c r="F177" i="2"/>
  <c r="K99" i="2"/>
  <c r="K95" i="2" s="1"/>
  <c r="L309" i="2"/>
  <c r="M224" i="2"/>
  <c r="O224" i="2"/>
  <c r="I177" i="2"/>
  <c r="O160" i="2"/>
  <c r="O154" i="2" s="1"/>
  <c r="G160" i="2"/>
  <c r="G154" i="2" s="1"/>
  <c r="N154" i="2"/>
  <c r="F154" i="2"/>
  <c r="M121" i="2"/>
  <c r="O95" i="2"/>
  <c r="N200" i="2" l="1"/>
  <c r="N94" i="2"/>
  <c r="K599" i="2"/>
  <c r="I347" i="2"/>
  <c r="I94" i="2"/>
  <c r="M447" i="2"/>
  <c r="G599" i="2"/>
  <c r="K9" i="2"/>
  <c r="H95" i="2"/>
  <c r="L154" i="2"/>
  <c r="J95" i="2"/>
  <c r="M10" i="2"/>
  <c r="K259" i="2"/>
  <c r="K258" i="2" s="1"/>
  <c r="H94" i="2"/>
  <c r="J94" i="2"/>
  <c r="L200" i="2"/>
  <c r="L447" i="2"/>
  <c r="M259" i="2"/>
  <c r="M258" i="2" s="1"/>
  <c r="G347" i="2"/>
  <c r="I9" i="2"/>
  <c r="I599" i="2"/>
  <c r="I551" i="2" s="1"/>
  <c r="M95" i="2"/>
  <c r="M94" i="2" s="1"/>
  <c r="G95" i="2"/>
  <c r="G94" i="2" s="1"/>
  <c r="G552" i="2"/>
  <c r="G551" i="2" s="1"/>
  <c r="G259" i="2"/>
  <c r="G258" i="2" s="1"/>
  <c r="H347" i="2"/>
  <c r="H346" i="2" s="1"/>
  <c r="G447" i="2"/>
  <c r="K94" i="2"/>
  <c r="F259" i="2"/>
  <c r="F258" i="2" s="1"/>
  <c r="F347" i="2"/>
  <c r="F346" i="2" s="1"/>
  <c r="L552" i="2"/>
  <c r="G9" i="2"/>
  <c r="F552" i="2"/>
  <c r="I552" i="2"/>
  <c r="F10" i="2"/>
  <c r="F9" i="2" s="1"/>
  <c r="F447" i="2"/>
  <c r="J259" i="2"/>
  <c r="J258" i="2" s="1"/>
  <c r="O200" i="2"/>
  <c r="N599" i="2"/>
  <c r="O447" i="2"/>
  <c r="O259" i="2"/>
  <c r="M552" i="2"/>
  <c r="M551" i="2" s="1"/>
  <c r="N347" i="2"/>
  <c r="H552" i="2"/>
  <c r="H551" i="2" s="1"/>
  <c r="N447" i="2"/>
  <c r="O94" i="2"/>
  <c r="M9" i="2"/>
  <c r="M347" i="2"/>
  <c r="M346" i="2" s="1"/>
  <c r="O258" i="2"/>
  <c r="L94" i="2"/>
  <c r="J551" i="2"/>
  <c r="F551" i="2"/>
  <c r="I346" i="2"/>
  <c r="H259" i="2"/>
  <c r="H258" i="2" s="1"/>
  <c r="N552" i="2"/>
  <c r="N551" i="2" s="1"/>
  <c r="N259" i="2"/>
  <c r="N258" i="2" s="1"/>
  <c r="K551" i="2"/>
  <c r="L259" i="2"/>
  <c r="L258" i="2" s="1"/>
  <c r="J447" i="2"/>
  <c r="O552" i="2"/>
  <c r="O551" i="2" s="1"/>
  <c r="L599" i="2"/>
  <c r="L551" i="2" s="1"/>
  <c r="G346" i="2"/>
  <c r="J9" i="2"/>
  <c r="M200" i="2"/>
  <c r="L347" i="2"/>
  <c r="F200" i="2"/>
  <c r="O347" i="2"/>
  <c r="J346" i="2"/>
  <c r="K447" i="2"/>
  <c r="K346" i="2" s="1"/>
  <c r="I259" i="2"/>
  <c r="I258" i="2" s="1"/>
  <c r="O346" i="2" l="1"/>
  <c r="N346" i="2"/>
  <c r="L346" i="2"/>
</calcChain>
</file>

<file path=xl/sharedStrings.xml><?xml version="1.0" encoding="utf-8"?>
<sst xmlns="http://schemas.openxmlformats.org/spreadsheetml/2006/main" count="4208" uniqueCount="2082">
  <si>
    <t>Kodas</t>
  </si>
  <si>
    <t>Šakių rajono savivaldybės administracijos 2023 m. metinis veiklos planas</t>
  </si>
  <si>
    <t>Vykdytojas</t>
  </si>
  <si>
    <t>Atsakingas (-i) asmuo (-ys)</t>
  </si>
  <si>
    <t>Papildomas (-i) požymis (-iai)</t>
  </si>
  <si>
    <t>Lėšos biudžetiniams metams</t>
  </si>
  <si>
    <t>Finansavimo lėšos</t>
  </si>
  <si>
    <t>Poveikio /Rezultato /Produkto /Veiklos efektyvumo</t>
  </si>
  <si>
    <t>SB</t>
  </si>
  <si>
    <t>SB (PĮ; KTP)</t>
  </si>
  <si>
    <t>SB (AA)</t>
  </si>
  <si>
    <t>SB (VB D)</t>
  </si>
  <si>
    <t>SP</t>
  </si>
  <si>
    <t>ES</t>
  </si>
  <si>
    <t>VB</t>
  </si>
  <si>
    <t>VIP</t>
  </si>
  <si>
    <t>KT</t>
  </si>
  <si>
    <t>Rodiklis</t>
  </si>
  <si>
    <t>Mato vnt.</t>
  </si>
  <si>
    <t>Planas</t>
  </si>
  <si>
    <t>2023</t>
  </si>
  <si>
    <t>01</t>
  </si>
  <si>
    <t>Mokymosi visą gyvenimą, jaunimo ir sporto programa</t>
  </si>
  <si>
    <t>Švietimo, kultūros ir sporto skyrius</t>
  </si>
  <si>
    <t>Darius Aštrauskas; Ingrida Kasparavičienė</t>
  </si>
  <si>
    <t>01.01.</t>
  </si>
  <si>
    <t>Tikslas. Švietimo kokybės gerinimas</t>
  </si>
  <si>
    <t>Darius Aštrauskas</t>
  </si>
  <si>
    <t>Visuomenės pasitenkinimas teikiamomis švietimo paslaugomis</t>
  </si>
  <si>
    <t>proc.</t>
  </si>
  <si>
    <t>55,00</t>
  </si>
  <si>
    <t>01.01.01</t>
  </si>
  <si>
    <t>Uždavinys. Kompleksiškai modernizuoti, renovuoti švietimo įstaigų mokymo (si) ir ugdymo (si) aplinką ir materialinę bazę (vaikų ir jaunimo ugdymo organizavimas)</t>
  </si>
  <si>
    <t>T</t>
  </si>
  <si>
    <t>Modernizuotų švietimo įstaigų skaičius</t>
  </si>
  <si>
    <t>vnt.</t>
  </si>
  <si>
    <t>2,00</t>
  </si>
  <si>
    <t>01.01.01.01.</t>
  </si>
  <si>
    <t>Priemonė. Atnaujinti švietimo įstaigų mokymo priemonių bazę</t>
  </si>
  <si>
    <t>Gintaras  Demenius</t>
  </si>
  <si>
    <t>TP</t>
  </si>
  <si>
    <t>Gaunamų iš Švietimo ir mokslo ministerijos priemonių skaičius</t>
  </si>
  <si>
    <t>200,00</t>
  </si>
  <si>
    <t>01.01.01.01.01</t>
  </si>
  <si>
    <t>Veikla:  Iš Švietimo, mokslo ir sporto ministerijos gaunamos mokymo priemonės mokyklų kabinetams atnaujinti.</t>
  </si>
  <si>
    <t>01.01.01.02</t>
  </si>
  <si>
    <t>Priemonė. Atnaujinti mokyklinį transportą</t>
  </si>
  <si>
    <t>Įsigytų transporto priemonių skaičius</t>
  </si>
  <si>
    <t>1,00</t>
  </si>
  <si>
    <t>01.01.01.02.01</t>
  </si>
  <si>
    <t>Veikla:  Įsigyti transporto priemones švietimo įstaigoms</t>
  </si>
  <si>
    <t>01.01.01.03</t>
  </si>
  <si>
    <t>Priemonė. Mokymo reikmėms skirtų lėšų naudojimo programa valdoma administracijoje</t>
  </si>
  <si>
    <t>Administracines lėšas naudojančių įstaigų skaičius</t>
  </si>
  <si>
    <t>11,00</t>
  </si>
  <si>
    <t>01.01.01.03.01</t>
  </si>
  <si>
    <t>Veikla: Egzaminų vykdymas, tarifinių atlygių koeficientų skirtumui išlyginimas, mažiau pasirenkamų užsienio kalbų mokymosi finansavimas</t>
  </si>
  <si>
    <t>01.01.01.05.</t>
  </si>
  <si>
    <t>Priemonė. Mokinių pavėžėjimo programa</t>
  </si>
  <si>
    <t>Mokinių, pavežamų maršrutiniu transportu, skaičius</t>
  </si>
  <si>
    <t>420,00</t>
  </si>
  <si>
    <t>01.01.01.05.01</t>
  </si>
  <si>
    <t>Veikla:  Lėšos, atsiskaitymui su vežėjais už mokinių pavėžėjimą</t>
  </si>
  <si>
    <t>01.01.01.08.</t>
  </si>
  <si>
    <t>Priemonė. Renginių (olimpiadų, konkursų, viktorinų, peržiūrų, švenčių, festivalių, vasaros poilsio) organizavimo, mokinių ir darbuotojų skatinimo programos</t>
  </si>
  <si>
    <t>Organizuojamų renginių skaičius</t>
  </si>
  <si>
    <t>50,00</t>
  </si>
  <si>
    <t>Premija apdovanotų mokytojų skaičius</t>
  </si>
  <si>
    <t>4,00</t>
  </si>
  <si>
    <t>Skirtų premijų šimtukininkams skaičius</t>
  </si>
  <si>
    <t>12,00</t>
  </si>
  <si>
    <t>01.01.01.08.01.</t>
  </si>
  <si>
    <t>Veikla:  Įgyvendinti renginių (olimpiadų, konkursų, viktorinų, peržiūrų, švenčių, festivalių, vasaros poilsio) organizavimo, mokinių ir darbuotojų skatinimo programą</t>
  </si>
  <si>
    <t>01.01.01.09.</t>
  </si>
  <si>
    <t>Priemonė. Aprūpinti švietimo įstaigas metodine literatūra, mokykline dokumentacija</t>
  </si>
  <si>
    <t>Ingrida Kasparavičienė</t>
  </si>
  <si>
    <t>Nupirktų mokyklinės dokumentacijos leidinių skaičius</t>
  </si>
  <si>
    <t>500,00</t>
  </si>
  <si>
    <t>01.01.01.09.01.</t>
  </si>
  <si>
    <t>Veikla:  Nupirkti mokyklinės dokumentacijos leidinių</t>
  </si>
  <si>
    <t>01.01.01.09.02.</t>
  </si>
  <si>
    <t>Veikla:  Paskirstyti Švietimo,mokslo ir sporto ministerijos skirtus leidinius</t>
  </si>
  <si>
    <t>01.01.01.11.</t>
  </si>
  <si>
    <t>Priemonė: Vaikų vasaros stovyklų ir neformaliojo vaikų švietimo finansavimo programa</t>
  </si>
  <si>
    <t>BĮ Šakių kultūros centras; Šakių rajono jaunimo kūrybos ir sporto centras</t>
  </si>
  <si>
    <t>Neformaliojo ugdymo programų skaičius</t>
  </si>
  <si>
    <t>21,00</t>
  </si>
  <si>
    <t>Mokiniams organizuotų stovyklų skaičius</t>
  </si>
  <si>
    <t>10,00</t>
  </si>
  <si>
    <t>01.01.01.11.01</t>
  </si>
  <si>
    <t>Veikla. Skirti lėšas vaikų vasaros stovykloms organizuoti</t>
  </si>
  <si>
    <t>01.01.01.11.02</t>
  </si>
  <si>
    <t>Veikla. Skirti lėšas neformaliojo vaikų švietimo programoms</t>
  </si>
  <si>
    <t>01.01.01.14</t>
  </si>
  <si>
    <t>Priemonė: Kokybės krepšelio lėšos</t>
  </si>
  <si>
    <t>Kokybės krepšelį naudojančių įstaigų skaičius</t>
  </si>
  <si>
    <t>01.01.01.14.01</t>
  </si>
  <si>
    <t>Veikla: Vykdyti mokytojų kvalifikacijos kėlimą</t>
  </si>
  <si>
    <t>01.01.01.14.02</t>
  </si>
  <si>
    <t>Veikla. Įsigyti naujų mokymo priemonių</t>
  </si>
  <si>
    <t>01.01.01.15.</t>
  </si>
  <si>
    <t>Priemonė. Apdrausti priemones, įsigytas iš Kokybės krepšelio lėšų</t>
  </si>
  <si>
    <t>Apdraustų priemonių skaičius</t>
  </si>
  <si>
    <t>70,00</t>
  </si>
  <si>
    <t>01.01.01.15.01</t>
  </si>
  <si>
    <t>Veikla: Apdausti mokymo priemones įsigytas iš „Kokybės krepšelio“ lėšų</t>
  </si>
  <si>
    <t>01.01.01.18</t>
  </si>
  <si>
    <t>Priemonė. Įsteigti švietimo pagalbos specialistų pareigybes</t>
  </si>
  <si>
    <t>Švietimo įstaigų, kurioms skirti švietimo pagalbos specialistai, etatai</t>
  </si>
  <si>
    <t>01.01.01.18.01</t>
  </si>
  <si>
    <t>Veikla. Skirti lėšas naujoms švietimo pagalbos specialistų pareigybėms</t>
  </si>
  <si>
    <t>01.01.01.22.</t>
  </si>
  <si>
    <t>Priemonė. Mokinius vežančių Griškabūdžio seniūnijos autobusų išlaikymo programa</t>
  </si>
  <si>
    <t>Griškabūdžio seniūnija</t>
  </si>
  <si>
    <t>Mokinių, pavežamų seniūnijos autobusu, skaičius</t>
  </si>
  <si>
    <t>22,00</t>
  </si>
  <si>
    <t>01.01.01.22.01</t>
  </si>
  <si>
    <t>Veikla. Pavėžėti mokinius seniūnijos autobusu</t>
  </si>
  <si>
    <t>01.01.01.23.</t>
  </si>
  <si>
    <t>Priemonė. Mokinius vežančių Kriūkų seniūnijos autobusų išlaikymo programa</t>
  </si>
  <si>
    <t>Kriūkų seniūnija</t>
  </si>
  <si>
    <t>01.01.01.23.01</t>
  </si>
  <si>
    <t>01.01.01.24.</t>
  </si>
  <si>
    <t>Priemonė. Mokinius vežančių Kudirkos Naumiesčio seniūnijos autobusų išlaikymo programa</t>
  </si>
  <si>
    <t>Kudirkos Naumiesčio seniūnija</t>
  </si>
  <si>
    <t>43,00</t>
  </si>
  <si>
    <t>01.01.01.24.01</t>
  </si>
  <si>
    <t>01.01.01.25.</t>
  </si>
  <si>
    <t>Priemonė. Mokinius vežančių Lekėčių seniūnijos autobusų išlaikymo programa</t>
  </si>
  <si>
    <t>Lekėčių seniūnija</t>
  </si>
  <si>
    <t>31,00</t>
  </si>
  <si>
    <t>01.01.01.25.01</t>
  </si>
  <si>
    <t>01.01.01.26.</t>
  </si>
  <si>
    <t>Priemonė. Mokinius vežančius Sudargo seniūnijos autobusų išlaikymo programa</t>
  </si>
  <si>
    <t>Sudargo seniūnija</t>
  </si>
  <si>
    <t>15,00</t>
  </si>
  <si>
    <t>01.01.01.26.01</t>
  </si>
  <si>
    <t>01.01.02.</t>
  </si>
  <si>
    <t>Uždavinys. Tobulinti pedagoginio personalo klvalifikacijos kėlimą ir persikvalifikavimo galimybes.</t>
  </si>
  <si>
    <t>Pakėlusių kvalifikaciją pedagogų skaičius</t>
  </si>
  <si>
    <t>120,00</t>
  </si>
  <si>
    <t>01.01.02.01.</t>
  </si>
  <si>
    <t>Priemonė. Organizuoti kvalifikacijos kėlimo kursus švietimo įstaigų vadovams, pavaduotojams, dakykų mokytojams, mokytojams, dirbantiems neformaliojo švietimo srityje</t>
  </si>
  <si>
    <t>Suorganizuotų kvalifikacijos kėlimo kursų skaičius</t>
  </si>
  <si>
    <t>3,00</t>
  </si>
  <si>
    <t>01.01.02.01.01</t>
  </si>
  <si>
    <t>Veikla:  Suorganizuoti kvalifikacijos kėlimo kursus, švietimo įstaigų vadovams, pavaduotojams, mokytojams</t>
  </si>
  <si>
    <t>01.01.02.02.</t>
  </si>
  <si>
    <t>Priemonė. Mokytojų perkvalifikavimo programa</t>
  </si>
  <si>
    <t>Perkvalifikuojamų specialistų skaičius</t>
  </si>
  <si>
    <t>5,00</t>
  </si>
  <si>
    <t>01.01.02.02.01</t>
  </si>
  <si>
    <t>Veikla: Sudaryti persikvalifikavimo galimybes mokytojams</t>
  </si>
  <si>
    <t>01.03.</t>
  </si>
  <si>
    <t>Tikslas. Suaugusiųjų mokymo (si) sistemos, sąlygų ir paskatų plėtojimas</t>
  </si>
  <si>
    <t>Besimokančių suaugusiųjų žmonių dalis</t>
  </si>
  <si>
    <t>85,00</t>
  </si>
  <si>
    <t>01.03.02.</t>
  </si>
  <si>
    <t>Uždavinys. Didinti neformaliojo švietimo prieinamumą ir galimybes</t>
  </si>
  <si>
    <t>Programų skaičius</t>
  </si>
  <si>
    <t>01.03.02.01.</t>
  </si>
  <si>
    <t>Priemonė. Vykdyti Trečiojo amžiaus universiteto veiklą</t>
  </si>
  <si>
    <t>Veikiančių fakultetų skaičius</t>
  </si>
  <si>
    <t>6,00</t>
  </si>
  <si>
    <t>01.03.02.01.01.</t>
  </si>
  <si>
    <t>Veikla: Vykdyti Trečiojo amžiaus universiteto 6 fakultetų veiklą</t>
  </si>
  <si>
    <t>01.04.</t>
  </si>
  <si>
    <t>Tikslas. Sveiko gyvenimo būdo ir sporto propogavimas</t>
  </si>
  <si>
    <t>Besilaikančiųjų sveiko gyvenimo būdo dalis</t>
  </si>
  <si>
    <t>60,00</t>
  </si>
  <si>
    <t>01.04.01.</t>
  </si>
  <si>
    <t>Uždavinys. Skatinti sporto klubų ir masinių sportinių renginių veiklas</t>
  </si>
  <si>
    <t>180,00</t>
  </si>
  <si>
    <t>01.04.01.01.</t>
  </si>
  <si>
    <t>Priemonė. VšĮ Šakių krepšinio klubo finansavimo programa</t>
  </si>
  <si>
    <t>NKL varžybų skaičius</t>
  </si>
  <si>
    <t>01.04.01.01.01</t>
  </si>
  <si>
    <t>Veikla:  Vykdyti VšĮ Šakių krepšinio klubo finansavimo programą</t>
  </si>
  <si>
    <t>01.04.01.05.</t>
  </si>
  <si>
    <t>Priemonė. Organizuoti „3 prieš 3“ turnyrą</t>
  </si>
  <si>
    <t>Renginių skaičius</t>
  </si>
  <si>
    <t>0,00</t>
  </si>
  <si>
    <t>01.04.01.05.01</t>
  </si>
  <si>
    <t>Veikla: Vykdyti „3 prieš 3“ turnyrą</t>
  </si>
  <si>
    <t>01.05.</t>
  </si>
  <si>
    <t>Tikslas. Jaunimo politikos įgyvendinimas</t>
  </si>
  <si>
    <t>Jaunimo reikalų koordinatorė</t>
  </si>
  <si>
    <t>Danutė Jurgutienė</t>
  </si>
  <si>
    <t>Jaunimo iniciatyvų projektuose ir savanorystės programose dalyvaujančio jaunimo dalis</t>
  </si>
  <si>
    <t>9,00</t>
  </si>
  <si>
    <t>01.05.01.</t>
  </si>
  <si>
    <t>Uždavinys. Skatinti ir palaikyti jaunimo iniciatyvas.</t>
  </si>
  <si>
    <t>01.05.01.01</t>
  </si>
  <si>
    <t>Priemonė. Skatinti ir palaikyti jaunimo iniciatyvas</t>
  </si>
  <si>
    <t>Projektų, skirtų jaunimo iniciatyvų skatinimui, jaunimo mokymams ir gerosios patirties sklaidai, skaičius</t>
  </si>
  <si>
    <t>Jaunimui skirtų premijų skaičius</t>
  </si>
  <si>
    <t>8,00</t>
  </si>
  <si>
    <t>01.05.01.01.01</t>
  </si>
  <si>
    <t>Veikla:  Skatinti jaunimo organizacijų, neformalių jaunimo grupių ir organizacijų, dirbančių su jaunimu, patirties mainų, mokymų, seminarų organizavimą ir kitas iniciatyvas.</t>
  </si>
  <si>
    <t>01.05.01.02.</t>
  </si>
  <si>
    <t>Priemonė. Skirti socialines stipendijas jaunimui</t>
  </si>
  <si>
    <t>Skirtų socialinių stipendijų jaunimui skaičius</t>
  </si>
  <si>
    <t>01.05.01.02.01</t>
  </si>
  <si>
    <t>Veikla:  Remti gabius jaunuolius, neturinčius galimybių studijuoti dėl materialinių sunkumų, skiriant jiems socialines stipendijas.</t>
  </si>
  <si>
    <t>01.05.02.</t>
  </si>
  <si>
    <t>Uždavinys. Teikti atvirojo darbo su jaunimu bei mobiliojo darbo su jaunimu paslaugas</t>
  </si>
  <si>
    <t>Teikiamų paslaugų skaičius</t>
  </si>
  <si>
    <t>01.05.02.01.</t>
  </si>
  <si>
    <t>Priemonė. Užtikrinti atvirojo darbo su jaunimu ir mobiliojo darbo su jaunimu teikiamų paslaugų įvairovę ir kokybę</t>
  </si>
  <si>
    <t>BĮ Šakių kultūros centras; BĮ Socialinių paslaugų centras</t>
  </si>
  <si>
    <t>Komandų, vykdančių mobilųjį darbą su jaunimu</t>
  </si>
  <si>
    <t>Vietovių, kuriose vykdomas mobilusis darbas su jaunimu</t>
  </si>
  <si>
    <t>01.05.02.01.01</t>
  </si>
  <si>
    <t>Veikla: Teikti atvirojo darbo su jaunimu ir mobiliojo darbo su jaunimu paslaugas</t>
  </si>
  <si>
    <t>01.06.</t>
  </si>
  <si>
    <t>Tikslas. Socialinių paslaugų aprėpties didinimas.</t>
  </si>
  <si>
    <t>Tarpinstitucinio bendradarbiavimo koordinatorius</t>
  </si>
  <si>
    <t>Aušra Pavydienė</t>
  </si>
  <si>
    <t>Naujai  gavusių socialines paslaugas asmenų skaičius</t>
  </si>
  <si>
    <t>01.06.01.</t>
  </si>
  <si>
    <t>Uždavinys. Vykdyti tarpinstitucinį bendradarbiavimą teikiant koordinuotą pagalbą vaikui ir šeimai</t>
  </si>
  <si>
    <t>Gavusių koordinuotą pagalbą šeimų skaičius</t>
  </si>
  <si>
    <t>01.06.01.01.</t>
  </si>
  <si>
    <t>Priemonė. Teikti koordinuotą pagalbą vaikui ir šeimai</t>
  </si>
  <si>
    <t>TN</t>
  </si>
  <si>
    <t>Šeimų, gavusių koordinuotai teikiamas paslaugas, skaičius</t>
  </si>
  <si>
    <t>Vaikų, gavusių paskirtas minimalios ar vidutinės priežiūros priemones, skaičius</t>
  </si>
  <si>
    <t>Vaikų, gavusių paskirtą privalomą ikimokyklinį ugdymą, skaičius</t>
  </si>
  <si>
    <t>01.06.01.01.01</t>
  </si>
  <si>
    <t>Veikla: Vykdyti tarpinstitucinį bendradarbiavimą teikiant pagalbą, paslaugas vaikui ir šeimai</t>
  </si>
  <si>
    <t>01.07.</t>
  </si>
  <si>
    <t>Tikslas. Efektyvaus viešojo valdymo sistemos sukūrimas.</t>
  </si>
  <si>
    <t>Įdiegtų  išmaniųjų sistemų aprėptis</t>
  </si>
  <si>
    <t>35,00</t>
  </si>
  <si>
    <t>01.07.01.</t>
  </si>
  <si>
    <t>Uždavinys.Sukurti aukšta kvalifikacija ir darbo rezultatais paremtą darbuotojų skatinimo programą</t>
  </si>
  <si>
    <t>Kvalifikuotų specialistų skaičius</t>
  </si>
  <si>
    <t>01.07.01.01.</t>
  </si>
  <si>
    <t>Priemonė. Vykdyti Šakių rajono savivaldybėje biudžetinių ir viešųjų įstaigų specialistų pritraukimą ir kvalifikacijos tobulinimą</t>
  </si>
  <si>
    <t>Parengtų ir pritrauktų specialistų skaičius</t>
  </si>
  <si>
    <t>01.07.01.01.01</t>
  </si>
  <si>
    <t>Veikla: Organizuoti specialistų pritraukimą ir kvalifikacijos tobulinimą</t>
  </si>
  <si>
    <t>01.08.</t>
  </si>
  <si>
    <t>Tikslas. Didinti švietimo įtrauktį ir veiksmingumą, siekiant atitikties asmens ir visuomenės poreikiams.</t>
  </si>
  <si>
    <t>Aukštąjį išsilavinimą turinčių 25–34 metų gyventojų dalis, proc.</t>
  </si>
  <si>
    <t>60,40</t>
  </si>
  <si>
    <t>01.08.02.</t>
  </si>
  <si>
    <t>Uždavinys. Gerinti atitiktį tarp švietimo sistemoje įgyjamų ir darbo rinkoje bei prisitaikyti kintančioje aplinkoje reikalingų kompetencijų.</t>
  </si>
  <si>
    <t>P</t>
  </si>
  <si>
    <t>Mokinių (5–12 klasių), gavusių profesinio orientavimo paslaugas, dalis proc.</t>
  </si>
  <si>
    <t>100,00</t>
  </si>
  <si>
    <t>01.08.02.01.</t>
  </si>
  <si>
    <t>Priemonė. Įgyvendinti projektą "Karjeros specialistų tinklo vystymas"</t>
  </si>
  <si>
    <t>PP</t>
  </si>
  <si>
    <t>Karjeros specialistų etatų skaičius</t>
  </si>
  <si>
    <t>3,20</t>
  </si>
  <si>
    <t>01.08.02.01.01</t>
  </si>
  <si>
    <t>Veikla. Skirti finansavimą iš dalies karjeros specialistų etatų išlaikymui</t>
  </si>
  <si>
    <t>01.09.</t>
  </si>
  <si>
    <t>Tikslas. Stiprinti ryšius su diaspora.</t>
  </si>
  <si>
    <t>Lietuvos gyventojų dalis, mananti, kad Lietuvos interesų tarptautinėje bendruomenėje įgyvendinimas yra užtikrintas, proc.</t>
  </si>
  <si>
    <t>01.09.01.</t>
  </si>
  <si>
    <t>Uždavinys. Stiprinti diasporos politiką.</t>
  </si>
  <si>
    <t>Užsienio lietuvių, įsitraukusių į Lietuvos gyvenimą ir gerovės joje kūrimą, dalis</t>
  </si>
  <si>
    <t>25,00</t>
  </si>
  <si>
    <t>01.09.01.01.</t>
  </si>
  <si>
    <t>Priemonė. Organizuoti vaikų vasaros stovyklą, įtraukiant diasporos vaikus</t>
  </si>
  <si>
    <t>Lankiusių stovyklą, diasporos vaikams, vaikų skaičius</t>
  </si>
  <si>
    <t>01.09.01.01.01</t>
  </si>
  <si>
    <t>Veikla: Suorganizuoti stovyklą lietuvių diasporos vaikams ir jaunimui.</t>
  </si>
  <si>
    <t>01.09.01.02.</t>
  </si>
  <si>
    <t>Priemonė. Plėsti lituanistinį švietimą</t>
  </si>
  <si>
    <t>Diasporos vaikų, papildomai besimokančių lietuvių kalbos, skaičius</t>
  </si>
  <si>
    <t>01.09.01.02.01</t>
  </si>
  <si>
    <t>Veikla. Mokyti papildomai lietuvių kalbos diasporos vaikus</t>
  </si>
  <si>
    <t>04.</t>
  </si>
  <si>
    <t>Regioninės plėtros ir bendruomeninių iniciatyvų programa</t>
  </si>
  <si>
    <t>Ūkio ir investicijų skyrius</t>
  </si>
  <si>
    <t>Aušra Slidziauskienė; Janina Povilaitytė</t>
  </si>
  <si>
    <t>04.01.</t>
  </si>
  <si>
    <t xml:space="preserve">Tikslas: Darnaus išteklių naudojimo skatinimas.  </t>
  </si>
  <si>
    <t>Aušra Slidziauskienė</t>
  </si>
  <si>
    <t>Renovuotų daugiabučių namų dalis</t>
  </si>
  <si>
    <t>04.01.01.</t>
  </si>
  <si>
    <t>Uždavinys: Kompleksiškai plėtoti ir puoselėti  rekreacines teritorijas, želdynus, tvenkinius bei kitas viešąsias erdves, pritaikant jas gyventojų bei verslo poreikiams</t>
  </si>
  <si>
    <t>Pritaikyta viešųjų erdvių</t>
  </si>
  <si>
    <t>04.01.01.03.</t>
  </si>
  <si>
    <t>Priemonė: įgyvendinti projektą  „Gelgaudiškio dvaro parko sutvarkymas.“ (V-016)</t>
  </si>
  <si>
    <t>Miglė Kriaučiūnienė</t>
  </si>
  <si>
    <t>Vykdomų rangos sutarčių skaičius</t>
  </si>
  <si>
    <t>04.01.01.03.03.</t>
  </si>
  <si>
    <t>Veikla: Gelgaudiškio dvaro parko sutvarkymo rangos darbų vykdymas</t>
  </si>
  <si>
    <t>04.01.03</t>
  </si>
  <si>
    <t>Uždavinys: Švelninti poveikį klimato kaitai, įskaitant  gyvenamųjų ir savivaldybių viešųjų pastatų energijos vartojimo efektyvumo didinimą ir energijos iš atsinaujinančių išteklių naudojimo skatinimą.</t>
  </si>
  <si>
    <t>Sutaupytas daugiabučių namų ir savivaldybių viešųjų pastatų ūkyje energijos suminis kiekis</t>
  </si>
  <si>
    <t>GWh</t>
  </si>
  <si>
    <t>0,53</t>
  </si>
  <si>
    <t>04.01.03.03.</t>
  </si>
  <si>
    <t>Priemonė. Įgyvendinti projektą ,,Saulės fotovoltinės jėgainės diegimas Šakių rajono savivaldybės administracijos pastate, esančiame Bažnyčios g. 4, Šakiuose"</t>
  </si>
  <si>
    <t>PP, TI</t>
  </si>
  <si>
    <t>Parengtų ŠESD (šiltnamio efektą sukeliančių dujų) ataskaitų skaičius</t>
  </si>
  <si>
    <t>04.01.03.03.03.</t>
  </si>
  <si>
    <t>Veikla: Parengti ŠESD (šiltnamio efektą sukeliančių dujų) ataskaitą</t>
  </si>
  <si>
    <t>04.01.03.04.</t>
  </si>
  <si>
    <t>Priemonė. Įgyvendinti projektą ,,Saulės fotovoltinės jėgainės diegimas Šakių ,,Žiburio" gimnazijoje, esančioje V. Kudirkos g. 33, Šakiuose"</t>
  </si>
  <si>
    <t>04.01.03.04.02.</t>
  </si>
  <si>
    <t>04.01.03.05.</t>
  </si>
  <si>
    <t>Priemonė. Įgyvendinti projektą ,,Saulės fotovoltinės jėgainės diegimas Šakių lopšelyje darželyje ,,Berželis", esančiame Gimnazijos g. 7, Šakiuose"</t>
  </si>
  <si>
    <t>04.01.03.05.02.</t>
  </si>
  <si>
    <t>04.01.03.06.</t>
  </si>
  <si>
    <t>Priemonė. Įgyvendinti projektą ,,Saulės fotovoltinės jėgainės diegimas Šakių darželyje ,,Klevelis", esančiame Šaulių g. 20, Šakiuose"</t>
  </si>
  <si>
    <t>04.01.03.06.02.</t>
  </si>
  <si>
    <t>04.01.03.07.</t>
  </si>
  <si>
    <t>Priemonė. Įgyvendinti projektą ,,Saulės fotovoltinės jėgainės diegimas Kukarskės globos namuose, esančiuose Nemuno g. 136, Kukarskės k. Kidulių sen.,Šakių r."</t>
  </si>
  <si>
    <t>04.01.03.07.02.</t>
  </si>
  <si>
    <t>04.01.03.08.</t>
  </si>
  <si>
    <t>Priemonė. Įgyvendinti projektą ,,Atsinaujinančių energijos šaltinių diegimas Šakių rajono savivaldybės jaunimo kūrybos ir sporto centre"</t>
  </si>
  <si>
    <t>04.01.03.08.02.</t>
  </si>
  <si>
    <t>04.01.03.09.</t>
  </si>
  <si>
    <t>Priemonė. Įgyvendinti projektą ,,Atsinaujinančių energijos šaltinių diegimas Šakių rajono Kudirkos Naumiesčio Vinco Kudirkos gimnazijoje"</t>
  </si>
  <si>
    <t>04.01.03.09.02.</t>
  </si>
  <si>
    <t>04.01.03.11.</t>
  </si>
  <si>
    <t>Priemonė. Įgyvendinti projektą ,,Atsinaujinančių energijos šaltinių diegimas Šakių kultūros centre"</t>
  </si>
  <si>
    <t>04.01.03.11.02.</t>
  </si>
  <si>
    <t>04.01.03.12.</t>
  </si>
  <si>
    <t>Priemonė: Įgyvendinti projektą „Šakių „Žiburio“ gimnazijos pastato modernizavimas/atnaujinimas (energetinio efektyvumo didinimas) "</t>
  </si>
  <si>
    <t>Rasa Liubamirskaitė</t>
  </si>
  <si>
    <t>Modernizuotų/atnaujintų pastatų skaičius</t>
  </si>
  <si>
    <t>Atlikta autorinių projekto priežiūrų, procentais</t>
  </si>
  <si>
    <t>Atlikta rangos darbų, procentais</t>
  </si>
  <si>
    <t>Atlikta rangos darbų techninės priežiūros, procentais</t>
  </si>
  <si>
    <t>04.01.03.12.02.</t>
  </si>
  <si>
    <t>Veikla: Modernizuoti/atnaujinti Šakių ,,Žiburio" gimnaziją</t>
  </si>
  <si>
    <t>04.01.04.</t>
  </si>
  <si>
    <t>Uždavinys: Rengti teritorijų planavimo dokumentus</t>
  </si>
  <si>
    <t>Antanas Grigaitis</t>
  </si>
  <si>
    <t>Suplanuotų teritorijų skaičius</t>
  </si>
  <si>
    <t>04.01.04.01.</t>
  </si>
  <si>
    <t>Priemonė: Teritorijų planavimo dokumentų rengimas</t>
  </si>
  <si>
    <t>Parengtų projektų teritorijų planavimo dokumentų skaičius</t>
  </si>
  <si>
    <t>04.01.04.01.04.</t>
  </si>
  <si>
    <t>Veikla: įsigyti Šakių miesto bendrojo ir detaliojo planų koregavimo paslaugas</t>
  </si>
  <si>
    <t>04.01.04.02.</t>
  </si>
  <si>
    <t>Priemonė: Plėtoti Geoinformacinės sistemos kūrimą Šakių rajono savivaldybės teritorijoje</t>
  </si>
  <si>
    <t>Mindaugas Kukys</t>
  </si>
  <si>
    <t>Atnaujintų GIS GeoMap programinės įrangos vienetų skaičius</t>
  </si>
  <si>
    <t>04.01.04.02.02.</t>
  </si>
  <si>
    <t>Veikla: Įsigyti GIS GeoMap programinės įrangos atnaujinimo licenciiją</t>
  </si>
  <si>
    <t>04.01.04.03.</t>
  </si>
  <si>
    <t>Priemonė: „Šakių rajono teritorijų pritaikymo šiandienos poreikiams parengtų priešprojektinių pasiūlymų parengimas ir viešinimo paslaugos, konkurso „Išmanusis mietas X“ metu“</t>
  </si>
  <si>
    <t>Architektūros ir urbanistikos skyrius</t>
  </si>
  <si>
    <t>Jurgita Bosikienė</t>
  </si>
  <si>
    <t>Priešprojektinių pasiūlymų skaičius</t>
  </si>
  <si>
    <t>04.01.04.03.01.</t>
  </si>
  <si>
    <t>04.02.</t>
  </si>
  <si>
    <t>Tikslas: Inžinerinės infrastruktūros modernizavimas.</t>
  </si>
  <si>
    <t>Verslo įmonių, kurioms pagerinta viešoji infrastruktūra dalis, (nuo visų įmonių)</t>
  </si>
  <si>
    <t>04.02.02.</t>
  </si>
  <si>
    <t xml:space="preserve">Uždavinys: Kurti ir plėtoti pramonės zonas ir subzonas </t>
  </si>
  <si>
    <t>Naujų  verslo zonų ir subzonų skaičius</t>
  </si>
  <si>
    <t>04.02.02.01.</t>
  </si>
  <si>
    <t>Priemonė: „Šakių pramonės zonos įrengimas“ / infrastruktūros įrengimo darbai.</t>
  </si>
  <si>
    <t>Parengtų techninių projektų dėl privažiavimų į PEZ teritoriją skaičius</t>
  </si>
  <si>
    <t>04.02.02.01.05.</t>
  </si>
  <si>
    <t>Veikla: Parengti techninius projektus dėl privažiavimų į PEZ teritoriją</t>
  </si>
  <si>
    <t>04.03.</t>
  </si>
  <si>
    <t>Tikslas: Šiuolaikiškos susisiekimo sistemos plėtra.</t>
  </si>
  <si>
    <t>Vietinės reikšmės kelių su asfalto danga dalis</t>
  </si>
  <si>
    <t>16,80</t>
  </si>
  <si>
    <t>04.03.01.</t>
  </si>
  <si>
    <t>Uždavinys: Modernizuoti ir plėtoti savivaldybės vietinės reikšmės kelius, gatves ir kitas susisiekimo komunikacijas</t>
  </si>
  <si>
    <t>Modernizuotų ir įrengtų vietinės reikšmės kelių ir gatvių  ilgis</t>
  </si>
  <si>
    <t>km</t>
  </si>
  <si>
    <t>0,67</t>
  </si>
  <si>
    <t>04.03.01.01.</t>
  </si>
  <si>
    <t>Priemonė: Įgyvendinti projektą „Šakių miesto susisiekimo infrastruktūros modernizavimas" (TID-511)</t>
  </si>
  <si>
    <t>30,00</t>
  </si>
  <si>
    <t>04.03.01.01.08.</t>
  </si>
  <si>
    <t>Veikla: vykdyti Šakių miesto susisiekimo infrastruktūros modernizavimo rangos darbus</t>
  </si>
  <si>
    <t>04.04.</t>
  </si>
  <si>
    <t>Tikslas: Efektyvus melioracijos statinių funkcionavimas</t>
  </si>
  <si>
    <t>Žemės ūkio ir kaimo reikalų skyrius</t>
  </si>
  <si>
    <t>Irena  Žemaitienė; Lina Štrimaitytė; Rimantas  Vaičiūnas</t>
  </si>
  <si>
    <t>Pagerintos žemės dalis nuo viso melioruotos žemės ploto</t>
  </si>
  <si>
    <t>04.04.01.</t>
  </si>
  <si>
    <t xml:space="preserve">Uždavinys: Skatinti efektyvesnį melioracijos statinių naudojimą ir priežiūrą
</t>
  </si>
  <si>
    <t>Įsteigtų melioracijos statinių naudotojų asociacijų skaičius</t>
  </si>
  <si>
    <t>Melioracijos statinių naudotojų projektų skaičius</t>
  </si>
  <si>
    <t>7,00</t>
  </si>
  <si>
    <t>04.04.01.05.</t>
  </si>
  <si>
    <t>Priemonė: Įgyvendinti projektą ,,Šakių rajono savivaldybės Briedžių, Liepalotų ir Lukšių kadastro vietovėse esančių melioracijos statinių rekonstravimas“</t>
  </si>
  <si>
    <t>Irena  Žemaitienė; Rimantas  Vaičiūnas</t>
  </si>
  <si>
    <t>Prižiūrimų griovių ilgis kilometrais (projekto priežiūrą vykdoma iš 12 programos 12.05.01.01. priemonės)</t>
  </si>
  <si>
    <t>20,41</t>
  </si>
  <si>
    <t>04.04.01.05.04</t>
  </si>
  <si>
    <t>Veikla: Vykdyti Projekto ,,Šakių rajono savivaldybės Briedžių, Liepalotų ir Lukšių kadastro vietovėse esančių melioracijos statinių rekonstravimas“ griovių priežiūros darbus (šienavimas)</t>
  </si>
  <si>
    <t>04.04.01.06</t>
  </si>
  <si>
    <t>Priemonė: Įgyvendinti projektą ,,Šakių rajono savivaldybės Kidulių ir Voverių kadastro vietovėse esančių melioracijos statinių rekonstravimas“</t>
  </si>
  <si>
    <t>15,94</t>
  </si>
  <si>
    <t>04.04.01.06.04</t>
  </si>
  <si>
    <t>Veikla: Vykdyti Projekto ,,Šakių rajono savivaldybės Kidulių ir Voverių kadastro vietovėse esančių melioracijos statinių rekonstravimas“ griovių priežiūros darbus (šienavimas)</t>
  </si>
  <si>
    <t>04.04.01.07.</t>
  </si>
  <si>
    <t>Priemonė: Įgyvendinti projektą ,,Šakių rajono savivaldybės Išdagų, Sintautų ir Veršių kadastro vietovėse esančių melioracijos statinių rekonstravimas"</t>
  </si>
  <si>
    <t>Rekonstruojamų griovių ilgis kilometrais</t>
  </si>
  <si>
    <t>18,64</t>
  </si>
  <si>
    <t>04.04.01.07.02</t>
  </si>
  <si>
    <t>Veikla: Rekonstruoti melioracijos griovius ir juose esančius hidrotechninius statinius</t>
  </si>
  <si>
    <t>04.04.01.07.03.</t>
  </si>
  <si>
    <t>Veikla: atlikti Sintautų tvenkinio ant Pentos up. žemių užtvankos su šachtiniu vandens numetėjo rekonstrukciją</t>
  </si>
  <si>
    <t>04.04.01.07.04.</t>
  </si>
  <si>
    <t>Veikla: Vykdyti Projekto ,,Šakių rajono savivaldybės Išdagų, Sintautų ir Veršių kadastro vietovėse esančių melioracijos statinių rekonstravimas“ griovių priežiūros darbus (šienavimas)</t>
  </si>
  <si>
    <t>04.04.01.08.</t>
  </si>
  <si>
    <t>Priemonė: įgyvendinti projektą „Šakių rajono savivaldybės Užsienių ir Žvirgždaičių kadastro vietovėse esančių melioracijos statinių rekonstravimas“</t>
  </si>
  <si>
    <t>25,76</t>
  </si>
  <si>
    <t>04.04.01.08.02.</t>
  </si>
  <si>
    <t>Veikla: Rekonstruoti melioracijos griovius ir juose esančius hidrotechninius statinius.</t>
  </si>
  <si>
    <t>04.04.01.08.03.</t>
  </si>
  <si>
    <t>Veikla: Vykdyti Projekto ,,Šakių rajono savivaldybės Užsienių ir Žvirgždaičių kadastro vietovėse esančių melioracijos statinių rekonstravimas“ griovių priežiūros darbus (šienavimas)</t>
  </si>
  <si>
    <t>04.05.</t>
  </si>
  <si>
    <t>Tikslas: Kompleksinis miestelių ir kaimų bendruomeninės ir viešosios infrastruktūros atnaujinimas.</t>
  </si>
  <si>
    <t>Per 100 gyventojų turinčių vietovių kurių infrastruktūra atnaujinta dalis</t>
  </si>
  <si>
    <t>47,00</t>
  </si>
  <si>
    <t>04.05.01.</t>
  </si>
  <si>
    <t>Uždavinys:  Atnaujinti gyvenviečių, turinčių nuo 1000 iki 6000 gyventojų viešąją infrastruktūrą</t>
  </si>
  <si>
    <t>Atnaujintų gyvenviečių skaičius</t>
  </si>
  <si>
    <t>04.05.01.01</t>
  </si>
  <si>
    <t>Priemonė: Įgyvendinti projektą „Kudirkos Naumiesčio gyvenamosios vietovės atnaujinimas“ (R-908)</t>
  </si>
  <si>
    <t>04.05.01.01.04.</t>
  </si>
  <si>
    <t>Veikla: Vykdyti projekto užbaigimo procedūras</t>
  </si>
  <si>
    <t>04.05.01.02.</t>
  </si>
  <si>
    <t>Priemonė: Įgyvendinti projektą ,,Lukšių gyvenamosios vietovės atnaujinimas" (R-908)</t>
  </si>
  <si>
    <t>Vykdomų rangos darbų sutarčių skaičius</t>
  </si>
  <si>
    <t>04.05.01.02.04.</t>
  </si>
  <si>
    <t>Veikla: vykdyti Lukšių  gyvenamosios vietovės atnaujinimo rangos darbus</t>
  </si>
  <si>
    <t>04.05.02.</t>
  </si>
  <si>
    <t>Uždavinys:  Atnaujinti gyvenviečių, turinčių iki  1000 gyventojų viešąją infrastruktūrą</t>
  </si>
  <si>
    <t>04.05.02.01.</t>
  </si>
  <si>
    <t>Priemonė: Įgyvendinti priemonės „Kaimo atnaujinimas ir plėtra“ projektą „Barzdų atnaujinimas ir plėtra“</t>
  </si>
  <si>
    <t>Apdraustų investicijų skaičius</t>
  </si>
  <si>
    <t>04.05.02.01.04.</t>
  </si>
  <si>
    <t>Veikla: apdrausti projekto „Barzdų atnaujinimas ir plėtra“ investicijas</t>
  </si>
  <si>
    <t>04.05.02.04.</t>
  </si>
  <si>
    <t>Priemonė: Įgyvendinti priemonės „Kaimo atnaujinimas ir plėtra“ projektą „Kriūkų atnaujinimas ir plėtra“</t>
  </si>
  <si>
    <t>04.05.02.04.04.</t>
  </si>
  <si>
    <t>Veikla: Apdrausti projekto „Kriūkų atnaujinimas ir plėtra“ investicijas</t>
  </si>
  <si>
    <t>04.05.02.05.</t>
  </si>
  <si>
    <t>Priemonė: Įgyvendinti priemonės „Kaimo atnaujinimas ir plėtra „projektą „Plokščių atnaujinimas ir plėtra“</t>
  </si>
  <si>
    <t>04.05.02.05.04.</t>
  </si>
  <si>
    <t>Veikla: Apdrausti projekto „Plokščių atnaujinimas ir plėtra“ investicijas</t>
  </si>
  <si>
    <t>04.05.02.06.</t>
  </si>
  <si>
    <t>Priemonė: Įgyvendinti priemonės „Kaimo atnaujinimas ir plėtra“ projektą „Sudargo atnaujinimas ir plėtra“</t>
  </si>
  <si>
    <t>04.05.02.06.04.</t>
  </si>
  <si>
    <t>Veikla: Apdrausti projekto „Sudargo atnaujinimas ir plėtra“ investicijas</t>
  </si>
  <si>
    <t>04.05.02.08.</t>
  </si>
  <si>
    <t>Priemonė: Įgyvendinti priemonės „Kaimo atnaujinimas ir plėtra“ projektą „Žvirgždaičių atnaujinimas ir plėtra“</t>
  </si>
  <si>
    <t>Janina Povilaitytė</t>
  </si>
  <si>
    <t>04.05.02.08.03.</t>
  </si>
  <si>
    <t>Veikla: Apdrausti projekto „Žvirgždaičių atnaujinimas ir plėtra“ investicijas</t>
  </si>
  <si>
    <t>04.10.</t>
  </si>
  <si>
    <t>Tikslas: Sveiko gyvenimo  būdo ir sporto propagavimas, ligų prevencija, profilaktika.</t>
  </si>
  <si>
    <t>Visuomenės pasitenkinimas visuomenės sveikatos teikiamomis prevencinėmis paslaugomis</t>
  </si>
  <si>
    <t>04.10.01.</t>
  </si>
  <si>
    <t>Uždavinys: Skatinti sveiką gyvenseną ir vykdyti ligų prevenciją</t>
  </si>
  <si>
    <t>Vykdomų projektų skaičius</t>
  </si>
  <si>
    <t>04.10.01.01.</t>
  </si>
  <si>
    <t>Priemonė: įgyvendinti projektą „Šakių rajono  pirminės asmens  sveikatos priežiūros  veiklos efektyvumo didinimas“ (R-609)</t>
  </si>
  <si>
    <t>Įsigytų medicininės, kompiuterinės įrangų bei baldų komplektų skaičius</t>
  </si>
  <si>
    <t>kompl.</t>
  </si>
  <si>
    <t>04.10.01.01.05.</t>
  </si>
  <si>
    <t>Veikla: įsigyti medicininę ir kompiuterinę įrangą numatytą projekto sutartyje</t>
  </si>
  <si>
    <t>04.10.01.03.</t>
  </si>
  <si>
    <t>Priemonė: įgyvendinti projektą „Priemonių, gerinančių ambulatorinių sveikatos priežiūros paslaugų prieinamumą tuberkulioze sergantiems pacientams įgyvendinimas Šakių rajone“ (R-615)</t>
  </si>
  <si>
    <t>Asmenų, gavusių maisto talonus, skaičius</t>
  </si>
  <si>
    <t>04.10.01.03.01</t>
  </si>
  <si>
    <t>Veikla: Maisto talonų dalinimas tuberkulioze sergantiems pacientams, kurie vartoja vaistus ambulatorinio gydymo metu</t>
  </si>
  <si>
    <t>04.12.</t>
  </si>
  <si>
    <t>Tikslas: Regioninio ir tarptautinio bendradarbiavimo plėtojimas.</t>
  </si>
  <si>
    <t>Įgyvendintų tarptautinių ir regioninių partnerysčių skaičius</t>
  </si>
  <si>
    <t>04.12.01.</t>
  </si>
  <si>
    <t>Uždavinys: ES lėšomis finansuojamų bendradarbiavimo projektų įgyvendinimas</t>
  </si>
  <si>
    <t>Planuojamų ir vykdomų projektų skaičius</t>
  </si>
  <si>
    <t>04.12.01.01.</t>
  </si>
  <si>
    <t>Priemonė: finansuoti apyvartines Regioninės plėtros programos išlaidas</t>
  </si>
  <si>
    <t>Vykdomų priemonių, projektų įgyvendinimui būtinų išlaidų finansavimui, skaičius</t>
  </si>
  <si>
    <t>04.12.01.01.02.</t>
  </si>
  <si>
    <t>Veikla: Finansuoti priemonių, projektų įgyvendinimui būtinąsias išlaidas</t>
  </si>
  <si>
    <t>04.12.02.</t>
  </si>
  <si>
    <t>Uždavinys. Išnaudoti regioninio ir  tarptautinio bendradarbiavimo galimybes socialinės infrastruktūros plėtrai</t>
  </si>
  <si>
    <t>Vykdomų partnerystės  projektų skaičius</t>
  </si>
  <si>
    <t>04.12.02.02.</t>
  </si>
  <si>
    <t>Priemonė: „Įgyvendinti projektą „WiFi4EU Šakių rajono savivaldybėje“</t>
  </si>
  <si>
    <t>Palaikomų bevielio interneto ryšio prieigos taškų skaičius</t>
  </si>
  <si>
    <t>17,00</t>
  </si>
  <si>
    <t>04.12.02.02.02.</t>
  </si>
  <si>
    <t>Veikla: Palaikyti bevielio interneto ryšio prieigos taškus (apmokėti už interneto paslaugas)</t>
  </si>
  <si>
    <t>04.14.</t>
  </si>
  <si>
    <t>Tikslas: Socialinių paslaugų prieinamumo  ir pasirinkimo užtikrinimas.</t>
  </si>
  <si>
    <t>Patenkintų prašymų dalis</t>
  </si>
  <si>
    <t>04.14.01.</t>
  </si>
  <si>
    <t>Uždavinys:Teikti socialinės globos paslaugas</t>
  </si>
  <si>
    <t>Asmenų, gavusių socialinės globos  paslaugas skaičius</t>
  </si>
  <si>
    <t>04.14.01.01.</t>
  </si>
  <si>
    <t>Priemonė: įgyvendinti projektą „Kompleksinių paslaugų šeimai plėtra Šakių savivaldybėje“ (V-416)</t>
  </si>
  <si>
    <t>04.14.01.01.02.</t>
  </si>
  <si>
    <t>Veikla: rengti ir teikti projekto užbaigimui reikalingus dokumentus</t>
  </si>
  <si>
    <t>04.15.</t>
  </si>
  <si>
    <t xml:space="preserve">Tikslas: Socialinių paslaugų aprėpties didinimas.       </t>
  </si>
  <si>
    <t>Naujai gavusių socialines paslaugas asmenų skaičius</t>
  </si>
  <si>
    <t>250,00</t>
  </si>
  <si>
    <t>04.15.02.</t>
  </si>
  <si>
    <t>Uždavinys: Šakių rajono socialinio būsto fondo plėtra</t>
  </si>
  <si>
    <t>Įsigytų būstų skaičius</t>
  </si>
  <si>
    <t>04.15.02.01.</t>
  </si>
  <si>
    <t>Priemonė: įgyvendinti projektą „Šakių rajono savivaldybės socialinio būsto plėtra“ (R-408)</t>
  </si>
  <si>
    <t>04.15.02.01.01</t>
  </si>
  <si>
    <t>Veikla: Įsigyti nekilnojamą turtą skirtą socialinio būsto laukiantiems asmenims (paskelbti skelbiamų derybų pirkimus, apžiūrėti pasiūlytas įsigyti patalpas, užsakyti turto vertinimo paslaugas, tinkamus būstus įsigyti).</t>
  </si>
  <si>
    <t>04.16.</t>
  </si>
  <si>
    <t>Tikslas: Viešosios tvarkos palaikymo sistemų tobulinimas.</t>
  </si>
  <si>
    <t>Ištirtų nusikalstamų veikų skaičiaus pokytis, procentais</t>
  </si>
  <si>
    <t>0,50</t>
  </si>
  <si>
    <t>04.16.01.</t>
  </si>
  <si>
    <t>Uždavinys: Gerinti saugumą viešosiose erdvėse</t>
  </si>
  <si>
    <t>Lokalių vaizdo stebėjimo sistemų įdiegimas ir plėtra</t>
  </si>
  <si>
    <t>04.16.01.01.</t>
  </si>
  <si>
    <t>Priemonė: „Miesto stebėjimo sistemos įrengimas“</t>
  </si>
  <si>
    <t>Stebėjimo sistemų įrangos skaičius</t>
  </si>
  <si>
    <t>04.16.01.01.01</t>
  </si>
  <si>
    <t>Veikla: Atnaujinti stebėjimo sistemos įrangą</t>
  </si>
  <si>
    <t>04.17.</t>
  </si>
  <si>
    <t>Tikslas: Kultūros paveldo saugojimas, aktualizavimas ir pritaikymas viešiesiems poreikiams.</t>
  </si>
  <si>
    <t>Restauruotų ir pritaikytų kultūros paveldo objektų dalis nuo visų kultūros paveldo objektų (per 370 objektų)</t>
  </si>
  <si>
    <t>2,75</t>
  </si>
  <si>
    <t>04.17.01</t>
  </si>
  <si>
    <t>Uždavinys. Restauruoti, pritaikyti viešiesiems poreikiams kultūros paveldo objektus.</t>
  </si>
  <si>
    <t>Restauruotų ir pritaikytų statinių skaičius</t>
  </si>
  <si>
    <t>04.17.01.10.</t>
  </si>
  <si>
    <t>Priemonė: „Įgyvendinti projektą „Gelgaudiškio dvaro sodybos rūmų, Parko g. 5, Gelgaudiškis, Šakių r. rūsio patalpų tvarkybos darbų projektas“</t>
  </si>
  <si>
    <t>Nupirktų tvarkybos darbų projektų skaičius</t>
  </si>
  <si>
    <t>04.17.01.10.01.</t>
  </si>
  <si>
    <t>Veikla: įsigyti Gelgaudiškio dvaro rūmų rūsio patalpų tvarkybos darbų projekto parengimo paslaugas</t>
  </si>
  <si>
    <t>06.</t>
  </si>
  <si>
    <t>Kultūros ir turizmo plėtros programa</t>
  </si>
  <si>
    <t>Asta  Kėvelaitytė; Eglė Plančiūnienė</t>
  </si>
  <si>
    <t>06.01.</t>
  </si>
  <si>
    <t>Tikslas: Sąlygų sudarymas visiems gyventojams dalyvauti etninės kultūros sklaidos procese</t>
  </si>
  <si>
    <t>Eglė Plančiūnienė</t>
  </si>
  <si>
    <t>Etnokultūros veiklos proc. bendrame kultūrinės veiklos kontekste</t>
  </si>
  <si>
    <t>06.01.01.</t>
  </si>
  <si>
    <t>Uždavinys: Skleisti zanavykų krašto kultūrą, bendradarbiauti su kitų regionų ir šalių institucijomis</t>
  </si>
  <si>
    <t>Surengtų ir dalyvautų festivalių, stovyklų, parodų ir kt. renginių skaičius</t>
  </si>
  <si>
    <t>06.01.01.01.</t>
  </si>
  <si>
    <t>Priemonė: Organizuoti ir dalyvauti tarptautiniuose, respublikiniuose, regionų seminaruose, festivaliuose, konkursuose, šventėse (šokių, armonikierių, kapelų, vaikų ir moksleivių – liaudies kūrybos atlikėjų, tautodailininkų; reginiai Lenkijoje, Latvijoje ir kt. šalyse)</t>
  </si>
  <si>
    <t>Organizuotų ir sudalyvautų renginių skaičius</t>
  </si>
  <si>
    <t>06.01.01.01.01.</t>
  </si>
  <si>
    <t>Veikla: Organizuoti ir dalyvauti renginiuose</t>
  </si>
  <si>
    <t>06.01.02.</t>
  </si>
  <si>
    <t>Uždavinys: Įgyvendinti tautinio kostiumo ir liaudies instrumentų atnaujinimo programą</t>
  </si>
  <si>
    <t>Įsigytų tautinių rūbų komplektų ir instrumentų skaičius</t>
  </si>
  <si>
    <t>06.01.02.01.</t>
  </si>
  <si>
    <t>Priemonė: Įsigyti tautinių kostiumų ir liaudies instrumentų</t>
  </si>
  <si>
    <t>Įsigytų tautinių kostiumų skaičius</t>
  </si>
  <si>
    <t>Įsigytų liaudies instrumentų skaičius</t>
  </si>
  <si>
    <t>06.01.02.01.01</t>
  </si>
  <si>
    <t>Veikla: Įsigyti tautinių kostiumų</t>
  </si>
  <si>
    <t>06.01.02.01.02.</t>
  </si>
  <si>
    <t>Veikla: Įsigyti liaudies instrumentų</t>
  </si>
  <si>
    <t>06.02.</t>
  </si>
  <si>
    <t>Tikslas:  Kultūros paveldo saugojimas, aktualizavimas ir pritaikymas viešiesiems poreikiams</t>
  </si>
  <si>
    <t>Inga Navlickienė</t>
  </si>
  <si>
    <t>2,50</t>
  </si>
  <si>
    <t>06.02.01.</t>
  </si>
  <si>
    <t>Uždavinys: Atgaivinti visuomenei reikšmingą kultūros ir tautinį paveldą ir didinti jo naudojimą visuomenės poreikiams</t>
  </si>
  <si>
    <t>Įveiklintų kultūros paveldo objektų dalis proc.</t>
  </si>
  <si>
    <t>53,00</t>
  </si>
  <si>
    <t>06.02.01.05.</t>
  </si>
  <si>
    <t>Priemonė. Zyplių dvaro sodybos svirno stogo ir fasado restauravimas</t>
  </si>
  <si>
    <t>Restauruotų pastatų skaičius</t>
  </si>
  <si>
    <t>Parengtų projektinių dokumentacijų skaičius</t>
  </si>
  <si>
    <t>06.02.01.05.01</t>
  </si>
  <si>
    <t>Veikla: Parengti projektinius dokumentus Zyplių dvaro sodybos svirno stogo ir fasado restauravimui</t>
  </si>
  <si>
    <t>06.02.01.07.</t>
  </si>
  <si>
    <t>Priemonės: Zyplių dvaro sodybos parko restauravimas</t>
  </si>
  <si>
    <t>Restauruotų ir sutvarkytų dvaro parkų skaičius</t>
  </si>
  <si>
    <t>06.02.01.07.04</t>
  </si>
  <si>
    <t>Veikla: Parengti Zyplių parko projektinę/techninę dokumentaciją</t>
  </si>
  <si>
    <t>06.02.01.08.</t>
  </si>
  <si>
    <t>Priemonė: Kultūros paveldo objektų priežiūros ir tvarkybos darbai</t>
  </si>
  <si>
    <t>Sutvarkytų kultūros paveldo objektų skaičius</t>
  </si>
  <si>
    <t>06.02.01.08.01</t>
  </si>
  <si>
    <t>Veikla: Organizuoti ir vykdyti kultūros paveldo objektų priežiūrą ir tvarkybą</t>
  </si>
  <si>
    <t>06.02.02.</t>
  </si>
  <si>
    <t>Uždavinys: Rūpintis krašto įžymių žmonių atminimo, įvykių, vietų išsaugojimu</t>
  </si>
  <si>
    <t>Įamžinimo priemonių skaičius</t>
  </si>
  <si>
    <t>06.02.02.01.</t>
  </si>
  <si>
    <t>Priemonė: Krašto įžymių žmonių atminimo, įvykių, vietų išsaugojimas ir įamžinimas</t>
  </si>
  <si>
    <t>Suorganizuotų renginių skaičius</t>
  </si>
  <si>
    <t>Išsaugotų įžymių vietų skaičius</t>
  </si>
  <si>
    <t>06.02.02.01.09.</t>
  </si>
  <si>
    <t>Veikla: Sutvarkyti ir restauruoti žymių žmonių atminimo vietas</t>
  </si>
  <si>
    <t>06.02.02.01.10.</t>
  </si>
  <si>
    <t>Veikla: Pastatyti Žvirgždaičių miestelyje paminklą Liorentų atminimui</t>
  </si>
  <si>
    <t>06.03.</t>
  </si>
  <si>
    <t>Tikslas: Palankių sąlygų sudarymas kultūros ir turizmo paslaugų plėtrai ir paslaugų kokybės gerinimui</t>
  </si>
  <si>
    <t>Asta  Kėvelaitytė</t>
  </si>
  <si>
    <t>Vartotojų skaičiaus augimas nuo 2017 m.</t>
  </si>
  <si>
    <t>06.03.01</t>
  </si>
  <si>
    <t>Uždavinys: Skleisti profesionaliąją kūrybą,  skatinti mėgėjų meno veiklą, dainų švenčių tradiciją</t>
  </si>
  <si>
    <t>Parengtų profesionalaus meno programų / projektų skaičius</t>
  </si>
  <si>
    <t>Veikiančių kolektyvų skaičius</t>
  </si>
  <si>
    <t>06.03.01.01.</t>
  </si>
  <si>
    <t>Priemonė: Organizuoti žanrinius  tradicinius renginius ir šventes</t>
  </si>
  <si>
    <t>06.03.01.01.01</t>
  </si>
  <si>
    <t>Veikla: Organizuoti žanrinius tradicinius renginius ir šventes</t>
  </si>
  <si>
    <t>06.03.01.02.</t>
  </si>
  <si>
    <t>Priemonė: Kasmetinė kultūros premija</t>
  </si>
  <si>
    <t>Skirtų kasmetinių kultūros darbuotojų premijų skaičius</t>
  </si>
  <si>
    <t>06.03.01.02.01</t>
  </si>
  <si>
    <t>Veikla: Skirti kasmetinę kultūros premiją</t>
  </si>
  <si>
    <t>06.03.01.03.</t>
  </si>
  <si>
    <t>Priemonė: Koofinansavimo lėšos kultūros įstaigų projektams</t>
  </si>
  <si>
    <t>Koofinansuotų  projektų skaičius</t>
  </si>
  <si>
    <t>06.03.01.03.01</t>
  </si>
  <si>
    <t>Veikla: Koofinansuoti kultūros įstaigų projektus</t>
  </si>
  <si>
    <t>06.03.02.</t>
  </si>
  <si>
    <t>Uždavinys: Remti krašto autorių kūrybą ir kraštą reprezentuojančius leidinius</t>
  </si>
  <si>
    <t>Paremtų autorių skaičių</t>
  </si>
  <si>
    <t>06.03.02.01.</t>
  </si>
  <si>
    <t>Priemonė: Dalinai paremti leidiniai</t>
  </si>
  <si>
    <t>Dalinai paremtų leidinių skaičius</t>
  </si>
  <si>
    <t>06.03.02.01.01</t>
  </si>
  <si>
    <t>Veikla: Dalinai finansuoti leidiniai</t>
  </si>
  <si>
    <t>06.04.</t>
  </si>
  <si>
    <t>Tikslas.Turizmo plėtros skatinimas ir konkurencingumo didinimas</t>
  </si>
  <si>
    <t>Šakių turizmo ir verslo informacijos centras</t>
  </si>
  <si>
    <t>Daiva Palukaitienė</t>
  </si>
  <si>
    <t>Lankytojų ir turistų srautų augimas (lyginant su 2017 m.)</t>
  </si>
  <si>
    <t>06.04.01.</t>
  </si>
  <si>
    <t>Uždavinys: Vykdyti aktyvią rinkodarą ir komunikaciją.</t>
  </si>
  <si>
    <t>Suorganizuotų rinkodaros priemonių skaičius</t>
  </si>
  <si>
    <t>06.04.01.01.</t>
  </si>
  <si>
    <t>Priemonė: Formuoti Šakių rajono turizmo reprezentacinį įvaizdį.</t>
  </si>
  <si>
    <t>Parengtų rinkodaros priemonių skaičius</t>
  </si>
  <si>
    <t>Išplatintų informacijos rinkinių skaičius</t>
  </si>
  <si>
    <t>Oganizuotų turizmo renginių skaičius</t>
  </si>
  <si>
    <t>Parengtų strategijos krypčių skaičius</t>
  </si>
  <si>
    <t>06.04.01.01.02</t>
  </si>
  <si>
    <t>Veikla: Išplatinti informacijos rinkinius</t>
  </si>
  <si>
    <t>06.04.01.01.03</t>
  </si>
  <si>
    <t>Veikla: Parengti strategijos kryptis</t>
  </si>
  <si>
    <t>06.04.01.01.04.</t>
  </si>
  <si>
    <t>Veikla: Dalyvauti parodose, mugėse, pristatant Šakių r. turizmą</t>
  </si>
  <si>
    <t>06.04.01.01.05.</t>
  </si>
  <si>
    <t>Veikla: Organizuoti info turus žiniasklaidai, turizmo agentūroms</t>
  </si>
  <si>
    <t>06.05.</t>
  </si>
  <si>
    <t>Tikslas: Palankių sąlygų sudarymas kultūros ir turizmo paslaugų plėtrai ir paslaugų kokybės gerinimui.</t>
  </si>
  <si>
    <t>06.05.01.</t>
  </si>
  <si>
    <t>Uždavinys: Plėtoti turizmo informacinę sistemą</t>
  </si>
  <si>
    <t>Vartotojams tiesiogiai ir elektroniniu būdu suteiktų paslaugų skaičiaus augimas</t>
  </si>
  <si>
    <t>Sukurtų naujų turizmo maršrutų, vnt.</t>
  </si>
  <si>
    <t>Naujai sukurtų ir/ar atnaujintų stendų skaičius</t>
  </si>
  <si>
    <t>06.05.01.01.</t>
  </si>
  <si>
    <t>Priemonė: Sukurti viešųjų paslaugų turistams ir turizmo paslaugų teikėjams plėtros modelį</t>
  </si>
  <si>
    <t>Aptarnautų vartotojų skaičius</t>
  </si>
  <si>
    <t>3 000,00</t>
  </si>
  <si>
    <t>Inicijuotų veiklų skaičius</t>
  </si>
  <si>
    <t>Sukurtų produktų skaičius</t>
  </si>
  <si>
    <t>Dalyvautų, organizuotų konferencijų, renginių skaičius</t>
  </si>
  <si>
    <t>Sudarytų ataskaitų skaičius</t>
  </si>
  <si>
    <t>06.05.01.01.01</t>
  </si>
  <si>
    <t>Veikla: Dalyvauti, organizuoti konferencijas, mokymus ir renginius, susitikimus su turizmo tiekėjais ir organizatoriais.</t>
  </si>
  <si>
    <t>06.05.01.01.06.</t>
  </si>
  <si>
    <t>Veikla: Tiesiogiai ir internetu teikti informaciją klientams, potencialiems turistams.</t>
  </si>
  <si>
    <t>06.05.01.01.07.</t>
  </si>
  <si>
    <t>Veikla: Viešinti turizmo paslaugų teikėjus ir jų paslaugas</t>
  </si>
  <si>
    <t>07</t>
  </si>
  <si>
    <t>Valdymo programa</t>
  </si>
  <si>
    <t>Vitalija Tumienė</t>
  </si>
  <si>
    <t>07.01.</t>
  </si>
  <si>
    <t>Tikslas: Efektyvaus viešojo valdymo sistemos sukūrimas</t>
  </si>
  <si>
    <t>Apskaitos skyrius</t>
  </si>
  <si>
    <t>Finansinių įsipareigojimų vykdymas pagal pasirašytas sutartis arba patvirtintas išlaidų sąmatas (proc.)</t>
  </si>
  <si>
    <t>07.01.01.</t>
  </si>
  <si>
    <t>Uždavinys: užtikrinti efektyvų savivaldybės funkcijų vykdymą</t>
  </si>
  <si>
    <t>Politikų, valstybės tarnautojų, dirbančių pagal darbo sutartis kvalifikacijos kėlimas (žmonių skaičius)</t>
  </si>
  <si>
    <t>172,00</t>
  </si>
  <si>
    <t>07.01.01.01.</t>
  </si>
  <si>
    <t>Priemonė: užtikrinti savivaldybės tarybos darbo funkcionalumą</t>
  </si>
  <si>
    <t>Seminarų/mokymų skaičius</t>
  </si>
  <si>
    <t>07.01.01.01.01</t>
  </si>
  <si>
    <t>Veikla: Savivaldybės tarybos narių kokybiško darbo užtikrinimas (Darbo užmokestis, išmokos, kvalifikacijos kėlimas, komandiruotės)</t>
  </si>
  <si>
    <t>07.01.01.02.</t>
  </si>
  <si>
    <t>Priemonė: užtikrinti kontrolės ir audito tarnybos darbo funkcionalumą</t>
  </si>
  <si>
    <t>Kontrolės ir audito tarnyba</t>
  </si>
  <si>
    <t>Kontrolės ir audito tarnybos darbuotojų, kėlusių kvalifikaciją skaičius</t>
  </si>
  <si>
    <t>07.01.01.02.01</t>
  </si>
  <si>
    <t>Veikla: Savivaldybės kontrolės ir audito tarnybos darbuotojų kokybiško darbo užtikrinimas (Darbo užmokestis, darbo priemonės, kvalifikacijos kėlimas, komandiruotės)</t>
  </si>
  <si>
    <t>07.01.01.03.</t>
  </si>
  <si>
    <t>Priemonė: Užtikrinti savivaldybės administracijos darbo funkcionalumą.</t>
  </si>
  <si>
    <t>Jūratė Šneideraitienė; Vitalija Tumienė</t>
  </si>
  <si>
    <t>Administracijos darbuotojų, kėlusių kvalifikaciją skaičius</t>
  </si>
  <si>
    <t>140,00</t>
  </si>
  <si>
    <t>07.01.01.03.01</t>
  </si>
  <si>
    <t>Veikla: Savivaldybės administracijos darbuotojų darbo funkcijų vykdymo užtikrinimas</t>
  </si>
  <si>
    <t>07.01.01.03</t>
  </si>
  <si>
    <t>Priemonė: Užtikrinti savivaldybės administracijos darbo funkcionalumą. Nario mokestis.</t>
  </si>
  <si>
    <t>TD, TP</t>
  </si>
  <si>
    <t>Surinktų mokesčių pagal pasirašytas sutartis, procentais</t>
  </si>
  <si>
    <t>07.01.01.03.01.</t>
  </si>
  <si>
    <t>Veikla: Surinkti pagal pasirašytas sutartis nario mokestį</t>
  </si>
  <si>
    <t>07.01.01.04.</t>
  </si>
  <si>
    <t>Priemonė: Užtikrinti savivaldybės administracijos darbo funkcionalumą. Seniūnijų ryšių išlaidos.</t>
  </si>
  <si>
    <t>Įvykdytų įsipareigojimų pagal sudarytas sutartis, procentais</t>
  </si>
  <si>
    <t>07.01.01.04.01.</t>
  </si>
  <si>
    <t>Veikla: Apmokėti telefono ryšių paslaugas pagal pasirašytas sutartis</t>
  </si>
  <si>
    <t>07.01.01.04</t>
  </si>
  <si>
    <t>Priemonė: Užtikrinti savivaldybės administracijos darbo funkcionalumą. Teisinės paslaugos ir kitos funkcijos.</t>
  </si>
  <si>
    <t>Teisės, personalo ir civilinės metrikacijos skyrius</t>
  </si>
  <si>
    <t>Jūratė Šneideraitienė</t>
  </si>
  <si>
    <t>Įvykdytų viešųjų pirkimų teisinių konsultacijų skaičius</t>
  </si>
  <si>
    <t>Parengtų viešųjų pirkimų teisės aktų paketų skaičius</t>
  </si>
  <si>
    <t>Įdiegtos programinės įrangos skaičius</t>
  </si>
  <si>
    <t>Suteiktų teisinių konsultacijų skaičius</t>
  </si>
  <si>
    <t>07.01.05.04.01</t>
  </si>
  <si>
    <t>Veikla: Vykdyti viešųjų pirkimų konsultacijas</t>
  </si>
  <si>
    <t>07.01.01.05.</t>
  </si>
  <si>
    <t>Priemonė: užtikrinti savivaldybės administracijos Barzdų seniūnijos darbo funkcionalumą.</t>
  </si>
  <si>
    <t>Barzdų seniūnija</t>
  </si>
  <si>
    <t>Jurgita Didžiulienė</t>
  </si>
  <si>
    <t>Seniūnijos darbuotojų, kėlusių kvalifikaciją skaičius</t>
  </si>
  <si>
    <t>07.01.01.05.01.</t>
  </si>
  <si>
    <t>Veikla: Savivaldybės administracijos Barzdų seniūnijos darbuotojų darbo funkcijų vykdymo užtikrinimas</t>
  </si>
  <si>
    <t>07.01.01.05.02.</t>
  </si>
  <si>
    <t>Veikla: Savivaldybės administracijos Bardų seniūnijos pajamų uždirbimui vykdomų priemonių užtikrinimas (patalpų nuoma, turto pardavimas ir kt.)</t>
  </si>
  <si>
    <t>07.01.01.06.</t>
  </si>
  <si>
    <t>Priemonė: užtikrinti savivaldybės administracijos Gelgaudiškio seniūnijos darbo funkcionalumą.</t>
  </si>
  <si>
    <t>Gelgaudiškio seniūnija</t>
  </si>
  <si>
    <t>Valdas Dumčius</t>
  </si>
  <si>
    <t>07.01.01.06.01.</t>
  </si>
  <si>
    <t>Veikla: Savivaldybės administracijos Gelgaudiškio seniūnijos darbuotojų darbo funkcijų vykdymo užtikrinimas</t>
  </si>
  <si>
    <t>07.01.01.07.</t>
  </si>
  <si>
    <t>Priemonė: užtikrinti savivaldybės administracijos Griškabūdžio seniūnijos darbo funkcionalumą</t>
  </si>
  <si>
    <t>Saulius Naumavičius</t>
  </si>
  <si>
    <t>07.01.01.07.01.</t>
  </si>
  <si>
    <t>Veikla: Savivaldybės administracijos Griškabūdžio seniūnijos darbuotojų darbo funkcijų vykdymo užtikrinimas</t>
  </si>
  <si>
    <t>07.01.01.08.</t>
  </si>
  <si>
    <t>Priemonė: užtikrinti savivaldybės administracijos Kidulių seniūnijos darbo funkcionalumą.</t>
  </si>
  <si>
    <t>Kidulių seniūnija</t>
  </si>
  <si>
    <t>Renata Švelnytė</t>
  </si>
  <si>
    <t>07.01.01.08.01.</t>
  </si>
  <si>
    <t>Veikla: Savivaldybės administracijos Kidulių seniūnijos darbuotojų darbo funkcijų vykdymo užtikrinimas</t>
  </si>
  <si>
    <t>07.01.01.09.</t>
  </si>
  <si>
    <t>Priemonė: užtikrinti savivaldybės administracijos Kriūkų seniūnijos darbo funkcionalumą.</t>
  </si>
  <si>
    <t>Anatolijus Kazlauskas</t>
  </si>
  <si>
    <t>07.01.01.09.01.</t>
  </si>
  <si>
    <t>Veikla: Savivaldybės administracijos Kriūkų seniūnijos darbuotojų darbo funkcijų vykdymo užtikrinimas</t>
  </si>
  <si>
    <t>07.01.01.10.</t>
  </si>
  <si>
    <t>Priemonė: užtikrinti savivaldybės administracijos Kudirkos Naumiesčio seniūnijos darbo funkcionalumą.</t>
  </si>
  <si>
    <t>Edvardas Belevičius</t>
  </si>
  <si>
    <t>07.01.01.10.01.</t>
  </si>
  <si>
    <t>Veikla: Savivaldybės administracijos Kudirkos Naumiesčio seniūnijos darbuotojų darbo funkcijų vykdymo užtikrinimas</t>
  </si>
  <si>
    <t>07.01.01.11.</t>
  </si>
  <si>
    <t>Priemonė: užtikrinti savivaldybės administracijos Lekėčių seniūnijos darbo funkcionalumą.</t>
  </si>
  <si>
    <t>Ričardas Krikštolaitis</t>
  </si>
  <si>
    <t>07.01.01.11.01.</t>
  </si>
  <si>
    <t>Veikla: Savivaldybės administracijos Lekėčių seniūnijos darbuotojų darbo funkcijų vykdymo užtikrinimas</t>
  </si>
  <si>
    <t>07.01.01.12.</t>
  </si>
  <si>
    <t>Priemonė: užtikrinti savivaldybės administracijos Lukšių seniūnijos darbo funkcionalumą.</t>
  </si>
  <si>
    <t>Lukšių seniūnija</t>
  </si>
  <si>
    <t>Vytautas Andziulevičius</t>
  </si>
  <si>
    <t>07.01.01.12.01.</t>
  </si>
  <si>
    <t>Veikla: Savivaldybės administracijos Lukšių seniūnijos darbuotojų darbo funkcijų vykdymo užtikrinimas</t>
  </si>
  <si>
    <t>07.01.01.13.</t>
  </si>
  <si>
    <t>Priemonė: užtikrinti savivaldybės administracijos Plokščių seniūnijos darbo funkcionalumą.</t>
  </si>
  <si>
    <t>Plokščių seniūnija</t>
  </si>
  <si>
    <t>Danas Bendoraitis</t>
  </si>
  <si>
    <t>07.01.01.13.01.</t>
  </si>
  <si>
    <t>Veikla: Savivaldybės administracijos Plokščių seniūnijos darbuotojų darbo funkcijų vykdymo užtikrinimas</t>
  </si>
  <si>
    <t>07.01.01.14.</t>
  </si>
  <si>
    <t>Priemonė: užtikrinti savivaldybės administracijos Sintautų seniūnijos darbo funkcionalumą.</t>
  </si>
  <si>
    <t>Sintautų seniūnija</t>
  </si>
  <si>
    <t>Kęstutis  Birbilas</t>
  </si>
  <si>
    <t>07.01.01.14.01.</t>
  </si>
  <si>
    <t>Veikla: Savivaldybės administracijos Sintautų seniūnijos darbuotojų darbo funkcijų vykdymo užtikrinimas</t>
  </si>
  <si>
    <t>07.01.01.14.02.</t>
  </si>
  <si>
    <t>Veikla: Savivaldybės administracijos Sintautų seniūnijos pajamų uždirbimui vykdomų priemonių užtikrinimas (patalpų nuoma, turto pardavimas ir kt.)</t>
  </si>
  <si>
    <t>07.01.01.15.</t>
  </si>
  <si>
    <t>Priemonė: užtikrinti savivaldybės administracijos Slavikų seniūnijos darbo funkcionalumą.</t>
  </si>
  <si>
    <t>Slavikų seniūnija</t>
  </si>
  <si>
    <t>Redas Juškaitis</t>
  </si>
  <si>
    <t>07.01.01.15.01.</t>
  </si>
  <si>
    <t>Veikla: Savivaldybės administracijos Slavikų seniūnijos darbuotojų darbo funkcijų vykdymo užtikrinimas</t>
  </si>
  <si>
    <t>07.01.01.16.</t>
  </si>
  <si>
    <t>Priemonė: užtikrinti savivaldybės administracijos Sudargo seniūnijos darbo funkcionalumą.</t>
  </si>
  <si>
    <t>Rita  Grigaitienė</t>
  </si>
  <si>
    <t>07.01.01.16.01.</t>
  </si>
  <si>
    <t>Veikla: Savivaldybės administracijos Sudargo seniūnijos darbuotojų darbo funkcijų vykdymo užtikrinimas</t>
  </si>
  <si>
    <t>07.01.01.17.</t>
  </si>
  <si>
    <t>Priemonė: užtikrinti savivaldybės administracijos Šakių seniūnijos darbo funkcionalumą.</t>
  </si>
  <si>
    <t>Šakių seniūnija</t>
  </si>
  <si>
    <t>Dalius Jasevičius</t>
  </si>
  <si>
    <t>07.01.01.17.01.</t>
  </si>
  <si>
    <t>Veikla: Savivaldybės administracijos Šakių seniūnijos darbuotojų darbo funkcijų vykdymo užtikrinimas</t>
  </si>
  <si>
    <t>07.01.01.18.</t>
  </si>
  <si>
    <t>Priemonė: užtikrinti savivaldybės administracijos Žvirgždaičių seniūnijos darbo funkcionalumą.</t>
  </si>
  <si>
    <t>Žvirgždaičių seniūnija</t>
  </si>
  <si>
    <t>Giedrė Snudaitienė</t>
  </si>
  <si>
    <t>07.01.01.18.01.</t>
  </si>
  <si>
    <t>Veikla: Savivaldybės administracijos Žvirgždaičių seniūnijos darbuotojų darbo funkcijų vykdymo užtikrinimas</t>
  </si>
  <si>
    <t>07.01.02.</t>
  </si>
  <si>
    <t>Uždavinys: Užtikrinti efektyvų priskirtųjų (ribotai savarankiškų) savivaldybių funkcijų vykdymą)</t>
  </si>
  <si>
    <t>Nuostolių dėl keleivių vežimo vietinio (priemiestinio) reguliaraus susisiekimo autobusų maršrutais procentas nuo išlaidų, patirtų vežant keleivius (priemiestinio) reguliaraus susisiekimo autobusais</t>
  </si>
  <si>
    <t>49,70</t>
  </si>
  <si>
    <t>07.01.02.01.</t>
  </si>
  <si>
    <t>Priemonė: Organizuoti keleivių vežimą vietiniais maršrutais</t>
  </si>
  <si>
    <t>07.01.02.01.01</t>
  </si>
  <si>
    <t>Veikla: Keleivių vežimo vietiniais marštutais organizavimas</t>
  </si>
  <si>
    <t>07.01.03.</t>
  </si>
  <si>
    <t>Uždavinys: Formuoti savivaldybės veiklos įvaizdį</t>
  </si>
  <si>
    <t>Reprezentacinių renginių skaičius</t>
  </si>
  <si>
    <t>150,00</t>
  </si>
  <si>
    <t>07.01.03.01.</t>
  </si>
  <si>
    <t>Priemonė: Organizuoti reprezentacijas ir dalyvauti švenčių ir renginių organizavime</t>
  </si>
  <si>
    <t>Bendrųjų reikalų skyrius</t>
  </si>
  <si>
    <t>Rita Vaičiūnienė</t>
  </si>
  <si>
    <t>163,00</t>
  </si>
  <si>
    <t>07.01.03.01.01</t>
  </si>
  <si>
    <t>Veikla: Reprezentacijų, švenčių ir renginių organizavimo bei atsovavimo užtikrinimas</t>
  </si>
  <si>
    <t>07.01.03.02.</t>
  </si>
  <si>
    <t>Priemonė: Reprezentacinis pavėžėjimas</t>
  </si>
  <si>
    <t>Reprezentacinių pavėžėjimų skaičius</t>
  </si>
  <si>
    <t>65,00</t>
  </si>
  <si>
    <t>07.01.03.02.01</t>
  </si>
  <si>
    <t>Veikla: Organizuoti reprezentacinį pavėžėjimą</t>
  </si>
  <si>
    <t>07.01.03.03.</t>
  </si>
  <si>
    <t>Priemonė: Organizuoti mero fondo reprezentacijas ir atstovauti Šakių rajono savivaldybę Lietuvoje ir užsienyje</t>
  </si>
  <si>
    <t>Savivaldybės tarybos ir mero sekretoriatas</t>
  </si>
  <si>
    <t>Inga Kanapeckienė</t>
  </si>
  <si>
    <t>130,00</t>
  </si>
  <si>
    <t>07.01.03.03.01</t>
  </si>
  <si>
    <t>Veikla: Organizuoti reprezentacijas ir atstovauti Šakių rajono savivaldybę Lietuvoje ir užsienyje</t>
  </si>
  <si>
    <t>07.01.04.</t>
  </si>
  <si>
    <t>Uždavinys: Nenumatytų reikmių finansavimas</t>
  </si>
  <si>
    <t>Biudžeto, turto ir strateginio planavimo skyrius</t>
  </si>
  <si>
    <t>Vilija Tamošaitienė</t>
  </si>
  <si>
    <t>Prašymų skaičius</t>
  </si>
  <si>
    <t>07.01.04.01.</t>
  </si>
  <si>
    <t>Priemonė: Ekstremalių situacijų padarinių likvidavimas</t>
  </si>
  <si>
    <t>07.01.04.01.01</t>
  </si>
  <si>
    <t>Veikla: Likviduoti ekstremalių situacijų padarinius</t>
  </si>
  <si>
    <t>07.01.05.</t>
  </si>
  <si>
    <t>Uždavinys: Dengti su savivaldybės turto disponavimu ir įteisinimu susijusias išlaidas</t>
  </si>
  <si>
    <t>Irmunda Čepulionienė; Sonata  Gruzdaitienė</t>
  </si>
  <si>
    <t>Įteisinta nekilnojamojo turto, atlikta kadastrinių matavimų, parengta detaliųjų planų, atlikta teisinių registracijų pagal pasirašytas sutartis (proc.)</t>
  </si>
  <si>
    <t>07.01.05.01</t>
  </si>
  <si>
    <t>Priemonė. Organizuoti savivaldybės turto vertinimą.</t>
  </si>
  <si>
    <t>Irmunda Čepulionienė</t>
  </si>
  <si>
    <t>Užsakymų skaičius</t>
  </si>
  <si>
    <t>07.01.05.01.01.</t>
  </si>
  <si>
    <t>Veikla: Pateikti prašymus išduoti pastatų energetinio naudingumo sertifikatus</t>
  </si>
  <si>
    <t>07.01.05.01.02.</t>
  </si>
  <si>
    <t>Veikla: Pateikti užsakymus nustatyti NT vertes</t>
  </si>
  <si>
    <t>07.01.05.02.</t>
  </si>
  <si>
    <t>Priemonė. Organizuoti savivaldybės turto kadastrinius matavimus.</t>
  </si>
  <si>
    <t>Sonata  Gruzdaitienė</t>
  </si>
  <si>
    <t>20,00</t>
  </si>
  <si>
    <t>07.01.05.02.01.</t>
  </si>
  <si>
    <t>Veikla: Pateikti užsakymus atlikti pastatų ir statinių kadastrinius matavimus</t>
  </si>
  <si>
    <t>07.01.05.03.</t>
  </si>
  <si>
    <t>Priemonė. Organizuoti savivaldybės turto teisinę registraciją</t>
  </si>
  <si>
    <t>40,00</t>
  </si>
  <si>
    <t>07.01.05.03.01.</t>
  </si>
  <si>
    <t>Veikla: Pateikti užsakymus užregistruoti NT objektus ir juridinius faktus</t>
  </si>
  <si>
    <t>07.01.05.04.</t>
  </si>
  <si>
    <t>Priemonė. Administruoti valstybinės žemės sklypų realizavimo pajamas</t>
  </si>
  <si>
    <t>07.01.05.04.01.</t>
  </si>
  <si>
    <t>Veikla: Pateikti prašymus suformuoti žemės sklypus</t>
  </si>
  <si>
    <t>07.01.05.04.02.</t>
  </si>
  <si>
    <t>Veikla: Pateikti prašymus atlikti žemės sklypų kadastrinius matavimus</t>
  </si>
  <si>
    <t>07.01.06.</t>
  </si>
  <si>
    <t>Uždavinys: Užtikrinti finansinių įsipareigojimų vykdymą</t>
  </si>
  <si>
    <t>Renata Maciukevičienė</t>
  </si>
  <si>
    <t>Grąžintos paskolos pagal pasirašytas sutartis (proc.)</t>
  </si>
  <si>
    <t>07.01.06.01.</t>
  </si>
  <si>
    <t>Priemonė: Grąžinti paskolas</t>
  </si>
  <si>
    <t>Finansinių įsipareigojimų vykdymas (paskolų grąžinimas pagal grafiką)</t>
  </si>
  <si>
    <t>07.01.06.01.01</t>
  </si>
  <si>
    <t>Veikla: Vykdyti finansinius įsipareigojimus (paskolų grąžinimą pagal grafiką)</t>
  </si>
  <si>
    <t>07.01.06.02.</t>
  </si>
  <si>
    <t>Priemonė: Mokėti palūkanas</t>
  </si>
  <si>
    <t>Finansinių įsipareigojimų vykdymas (palūkanų grąžinimas pagal grafiką)</t>
  </si>
  <si>
    <t>07.01.06.02.01</t>
  </si>
  <si>
    <t>Veikla: Vykdyti finansinius įsipareigojimus (mokėti palūkanas)</t>
  </si>
  <si>
    <t>07.01.07.</t>
  </si>
  <si>
    <t>Uždavinys: Vykdyti administracinės naštos mažinimą</t>
  </si>
  <si>
    <t>Parengtų administracinės naštos priemonių planų skaičius</t>
  </si>
  <si>
    <t>07.01.07.05</t>
  </si>
  <si>
    <t>Priemonė. Mažinant administracinę naštą, diegti naujas ir tobulinti veikiančias informacines sistemas.</t>
  </si>
  <si>
    <t>Įdiegtų naujų ir patobulintų veikiančių informacinių sistemų skaičius</t>
  </si>
  <si>
    <t>07.01.07.05.01.</t>
  </si>
  <si>
    <t>Veikla: Įdiegti informacines sistemas</t>
  </si>
  <si>
    <t>07.01.07.07</t>
  </si>
  <si>
    <t>Priemonė.Mažinant administracinę naštą, licencijas, leidimus ir pažymas išduoti per trumpesnį laiką, nelaukiant, kol sueis teisės aktuose nustatytas terminas</t>
  </si>
  <si>
    <t>Greičiau, nei nustatyta teisės aktuose, išduotų DVS priemonėmis licencijų, leidimų ir pažymų dalis nuo viso išduotų minėtų dokumentų skaičiaus DVS, proc.</t>
  </si>
  <si>
    <t>07.01.07.07.01.</t>
  </si>
  <si>
    <t>Veikla: Išduoti per trumpesnį laiką nei nustatyta teisės aktuose licencijas, leidimus, pažymas</t>
  </si>
  <si>
    <t>07.02.</t>
  </si>
  <si>
    <t>Tikslas: Stiprinti Lietuvos įtaką pasaulyje ir ryšius su diaspora</t>
  </si>
  <si>
    <t>07.02.01.</t>
  </si>
  <si>
    <t>Uždavinys: Stiprinti atstovavimą Lietuvos interesams tarptautinėje erdvėje ir diasporos politiką</t>
  </si>
  <si>
    <t>Oficialios paramos vystymuisi  kriterijus atitinkančių vystomojo bendradarbiavimo veiklų finansavimo apimtis, dalis nuo bendrojo nacionalinio produkto, proc.</t>
  </si>
  <si>
    <t>0,15</t>
  </si>
  <si>
    <t>07.02.01.01.</t>
  </si>
  <si>
    <t>Priemonė: Teikti humanitarinę pagalbą ir įgyvendinti vystomąjį bendradarbiavimą</t>
  </si>
  <si>
    <t>Humanitarinės pagalbos priemonių skaičius</t>
  </si>
  <si>
    <t>07.02.01.02.01.</t>
  </si>
  <si>
    <t>Veikla: Teikti humanitarinę pagalbą</t>
  </si>
  <si>
    <t>07.02.01.02.</t>
  </si>
  <si>
    <t>Priemonė. Teisinių konsultacijų teikimas diasporai.</t>
  </si>
  <si>
    <t>Suteiktų teisinių konsultacijų diasporai skaičius</t>
  </si>
  <si>
    <t>07.02.01.02.02.</t>
  </si>
  <si>
    <t>Veikla: Teikti teisines konsultacijas diasporai</t>
  </si>
  <si>
    <t>12</t>
  </si>
  <si>
    <t>Ūkio plėtros programa</t>
  </si>
  <si>
    <t>Aušra Slidziauskienė; Kristina Juodvalkienė</t>
  </si>
  <si>
    <t>12.01</t>
  </si>
  <si>
    <t>Tikslas.  Darnaus išteklių naudojimo skatinimas.</t>
  </si>
  <si>
    <t>12.01.01</t>
  </si>
  <si>
    <t>Uždavinys. Vykdyti visuomenės aplinkosauginį švietimą bei aplinkos stebėseną</t>
  </si>
  <si>
    <t>Įgyvendintų aplinkosauginių priemonių skaičius</t>
  </si>
  <si>
    <t>19,00</t>
  </si>
  <si>
    <t>12.01.01.01.</t>
  </si>
  <si>
    <t>Priemonė. Medžiojamųjų gyvūnų daromos žalos miškui prevencijos priemonių kompensavimas</t>
  </si>
  <si>
    <t>Kristina Juodvalkienė</t>
  </si>
  <si>
    <t>Įvertintų VĮ VMU Šakių regioninio padalinio pateiktų paraiškų kompensacijai gauti skaičius</t>
  </si>
  <si>
    <t>12.01.01.01.05.</t>
  </si>
  <si>
    <t>Veikla: Kompensuoti medžiojamų gyvūnų daromos žalos miškui prevencijos priemones</t>
  </si>
  <si>
    <t>12.01.01.02.</t>
  </si>
  <si>
    <t>Priemonė. Vilkų ūkiniams gyvūnams daromos žalos prevencijos priemonių kompensavimas</t>
  </si>
  <si>
    <t>Įvertintų paraiškų kompensacijai gauti skaičius</t>
  </si>
  <si>
    <t>12.01.01.02.01.</t>
  </si>
  <si>
    <t>Veikla: Įvertinti fizinių asmenų paraiškas kompensacijai gauti dėl vilkų ūkiniams gyvūnams daromos žalos</t>
  </si>
  <si>
    <t>12.01.01.03.</t>
  </si>
  <si>
    <t>Priemonė. Įgyvendinti savivaldybės visuomenės sveikatos rėmimo specialiąją programą</t>
  </si>
  <si>
    <t>Savivaldybės adm.vyriausioji specialistė (gydytoja)</t>
  </si>
  <si>
    <t>Edita Zubrickienė</t>
  </si>
  <si>
    <t>Įgyvendintų sveikatos programos projektų skaičius</t>
  </si>
  <si>
    <t>12.01.01.03.01.</t>
  </si>
  <si>
    <t>Veikla: Įgyvendinti sveikatos programos projektus</t>
  </si>
  <si>
    <t>12.01.01.04.</t>
  </si>
  <si>
    <t>Priemonė. Gyventojams priklausančių gaminių, turinčių neigiamą poveikį aplinkai  darančių medžiagų (asbesto), atliekų tvarkymas</t>
  </si>
  <si>
    <t>Sutvarkyta asbesto turinčių atliekų</t>
  </si>
  <si>
    <t>t</t>
  </si>
  <si>
    <t>12.01.01.04.01.</t>
  </si>
  <si>
    <t>Veikla: Pagal seniūnijų poreikį sutvarkyti asbesto turinčias atliekas</t>
  </si>
  <si>
    <t>12.01.01.05.</t>
  </si>
  <si>
    <t>Priemonė. Vandentvarkos objektų projektavimas, statyba ir remontas</t>
  </si>
  <si>
    <t>Sutvarkyta vandentvarkos objektų</t>
  </si>
  <si>
    <t>12.01.01.05.01.</t>
  </si>
  <si>
    <t>Veikla: Pagal poreikį sutvarkyti vandentvarkos objektus</t>
  </si>
  <si>
    <t>12.01.01.06.</t>
  </si>
  <si>
    <t>Priemonė. Savivaldybei priklausančių statinių tamponavimo darbai</t>
  </si>
  <si>
    <t>Užtamponuota nenaudojamų vandens gręžinių</t>
  </si>
  <si>
    <t>12.01.01.06.01.</t>
  </si>
  <si>
    <t>Veikla: Užtamponuoti nenaudojamus vandens gręžinius</t>
  </si>
  <si>
    <t>12.01.01.07.</t>
  </si>
  <si>
    <t>Priemonė. Teršalų, išmetamų į gilesnius žemės sluoksnius savivaldybės teritorijoje, mažinimas</t>
  </si>
  <si>
    <t>Kompensuotų paraiškų skaičius už individualių nuotekų valymo įrenginių įrengimą</t>
  </si>
  <si>
    <t>12.01.01.07.01.</t>
  </si>
  <si>
    <t>Veikla: Pagal fizinių asmenų pateiktus prašymus kompensuoti individualių nuotekų valymo įrenginių įrengimą</t>
  </si>
  <si>
    <t>12.01.01.08.</t>
  </si>
  <si>
    <t>Priemonė. Invazinių Lietuvoje rūšių sąraše esančių rūšių gausos reguliavimas ir naikinimas</t>
  </si>
  <si>
    <t>Seniūnijų, kuriuose buvo reguliuojams invazinių šliužų gausos reguliavimas, skaičius</t>
  </si>
  <si>
    <t>12.01.01.08.01.</t>
  </si>
  <si>
    <t>Veikla: Pagal seniūnijų pateiktus prašymus įsigyti cheminių priemonių invazinių šliužų gausos reguliavimui</t>
  </si>
  <si>
    <t>12.01.01.10.</t>
  </si>
  <si>
    <t>Priemonė. Bešeimininkių ar pavojingų atliekų surinkimas, nelegalių sąvartynų likvidavimas</t>
  </si>
  <si>
    <t>Sutvarkytų teritorijų skaičius</t>
  </si>
  <si>
    <t>12.01.01.10.01.</t>
  </si>
  <si>
    <t>Veikla:  Pagal poreikį surinkti ir sutvarkyti bešeimininkes ar pavojingas atliekas</t>
  </si>
  <si>
    <t>12.01.01.11</t>
  </si>
  <si>
    <t>Priemonė. Savivaldybės aplinkos monitoringo programos įgyvendinimas</t>
  </si>
  <si>
    <t>Įgyvendintų aplinkos monitoringo programos priemonių skaičius</t>
  </si>
  <si>
    <t>12.01.01.11.01</t>
  </si>
  <si>
    <t>Veikla: Įgyvendinti savivaldybės aplinkos monitoringo programoje numatytas priemones</t>
  </si>
  <si>
    <t>12.01.01.12.</t>
  </si>
  <si>
    <t>Priemonė. Seminarams, komandiruotėms, fotografijos prekėms, knygoms, bukletams pirkti, laikraščiams ar kt. leidiniams užsakyti, ekologiškiems suvenyrams įsigyti</t>
  </si>
  <si>
    <t>12.01.01.12.01.</t>
  </si>
  <si>
    <t>Veikla: Vykdyti aplinkosaugos viešinimo veiklą</t>
  </si>
  <si>
    <t>12.01.01.13.</t>
  </si>
  <si>
    <t>Priemonė. Želdinių įsigijimas</t>
  </si>
  <si>
    <t>Apželdintų visuomeninių teritorijų skaičius</t>
  </si>
  <si>
    <t>14,00</t>
  </si>
  <si>
    <t>12.01.01.13.01.</t>
  </si>
  <si>
    <t>Veikla: Pagal seniūnijų poreikį įsigyti želdinius visuomeninių teritorijų apželdinimui</t>
  </si>
  <si>
    <t>12.01.01.14.</t>
  </si>
  <si>
    <t>Priemonė. Pavojų keliančių ir sergančių medžių genėjimas bei šalinimas</t>
  </si>
  <si>
    <t>Sutvarkytų seniūnijų teritorijų skaičius</t>
  </si>
  <si>
    <t>12.01.01.14.01.</t>
  </si>
  <si>
    <t>Veikla: Įsigyti arboristų paslaugą pavojų keliančių ir sergančių medžių genėjimui bei šalinimui</t>
  </si>
  <si>
    <t>12.01.01.15.</t>
  </si>
  <si>
    <t>Priemonė. Šakių rajono želdynų ir želdinių inventorizavimas ir apskaita</t>
  </si>
  <si>
    <t>Nupirktų paslaugų kiekis</t>
  </si>
  <si>
    <t>12.01.01.15.01.</t>
  </si>
  <si>
    <t>Veikla: Nupirkti želdynų ir želdinių inventorizavimo paslaugą</t>
  </si>
  <si>
    <t>12.01.01.16.</t>
  </si>
  <si>
    <t>Priemonė. Viešųjų želdynų ir želdinių priežiūrai reikalingų ekspertų konsultacinių paslaugų pirkimas</t>
  </si>
  <si>
    <t>Nupirktų paslaugų skaičius</t>
  </si>
  <si>
    <t>12.01.01.16.01.</t>
  </si>
  <si>
    <t>Veikla: Esant poreikiui nupirkti želdynų ir želdinių priežiūrai reikalingų ekspertų konsultacines paslaugas</t>
  </si>
  <si>
    <t>12.01.02.</t>
  </si>
  <si>
    <t>Uždavinys. Kompleksiškai plėtoti ir puoselėti  rekreacines teritorijas, želdynus, tvenkinius bei kitas viešąsias erdves, pritaikant jas gyventojų bei verslo poreikiams</t>
  </si>
  <si>
    <t>12.01.02.02.</t>
  </si>
  <si>
    <t>Priemonė: Bešeimininkių gyvūnų gaudymo, karantinavimo, globos ir eutanazijos paslaugos</t>
  </si>
  <si>
    <t>Bešeimininkių šunų ir kačių, kuriais pasirūpinta, skaičius</t>
  </si>
  <si>
    <t>12.01.02.02.01</t>
  </si>
  <si>
    <t>Veikla: Pagal gautą informaciją iš seniūnijų ir suinteresuotų institucijų organizuoti bešeimininkių gyvūnų gaudymo, karantinavimo, globos ir eutanazijos paslaugas</t>
  </si>
  <si>
    <t>12.01.02.03.</t>
  </si>
  <si>
    <t>Priemonė: Bešeimininkių kačių kastravimo programa "Pagauk-sterilizuok-paleisk" (PSP)</t>
  </si>
  <si>
    <t>12.01.02.03.01.</t>
  </si>
  <si>
    <t>Veikla: Įgyvendinti bešeimininkių kačių kastravimo programą "Pagauk - sterilizuok-paleisk" (PSP)</t>
  </si>
  <si>
    <t>12.01.02.04.</t>
  </si>
  <si>
    <t>Priemonė. Aplinkotvarkos darbai Barzdų seniūnijoje</t>
  </si>
  <si>
    <t>Prižiūrėta viešojo naudojimo teritorija</t>
  </si>
  <si>
    <t>ha</t>
  </si>
  <si>
    <t>12.01.02.04.01.</t>
  </si>
  <si>
    <t>Veikla: Prižiūrėti Barzdų seniūnijoje viešojo naudojimo teritorijas</t>
  </si>
  <si>
    <t>12.01.02.05</t>
  </si>
  <si>
    <t>Priemonė. Aplinkotvarkos darbai Gelgaudiškio seniūnijoje</t>
  </si>
  <si>
    <t>12.01.02.05.01.</t>
  </si>
  <si>
    <t>Veikla: Prižiūrėti Gelgaudiškio seniūnijoje viešojo naudojimo teritorijas</t>
  </si>
  <si>
    <t>12.01.02.06</t>
  </si>
  <si>
    <t>Priemonė. Aplinkotvarkos darbai Griškabūdžio seniūnijoje</t>
  </si>
  <si>
    <t>12.01.02.06.01.</t>
  </si>
  <si>
    <t>Veikla: Prižiūrėti Griškabūdžio seniūnijoje viešojo naudojimo teritorijas</t>
  </si>
  <si>
    <t>12.01.02.07</t>
  </si>
  <si>
    <t>Priemonė. Aplinkotvarkos darbai Kidulių seniūnijoje</t>
  </si>
  <si>
    <t>32,00</t>
  </si>
  <si>
    <t>12.01.02.07.01.</t>
  </si>
  <si>
    <t>Veikla: Prižiūrėti Kidulių seniūnijoje viešojo naudojimo teritorijas</t>
  </si>
  <si>
    <t>12.01.02.08</t>
  </si>
  <si>
    <t>Priemonė. Aplinkotvarkos darbai Kriūkų seniūnijoje</t>
  </si>
  <si>
    <t>38,00</t>
  </si>
  <si>
    <t>12.01.02.08.01.</t>
  </si>
  <si>
    <t>Veikla: Prižiūrėti Kriūkų seniūnijoje viešojo naudojimo teritorijas</t>
  </si>
  <si>
    <t>12.01.02.09</t>
  </si>
  <si>
    <t>Priemonė. Aplinkotvarkos darbai Kudirkos Naumiesčio seniūnijoje</t>
  </si>
  <si>
    <t>12.01.02.09.01.</t>
  </si>
  <si>
    <t>Veikla: Prižiūrėti Kudirkos Naumiesčio seniūnijoje viešojo naudojimo teritorijas</t>
  </si>
  <si>
    <t>12.01.02.10</t>
  </si>
  <si>
    <t>Priemonė. Aplinkotvarkos darbai Lekėčių seniūnijoje</t>
  </si>
  <si>
    <t>13,50</t>
  </si>
  <si>
    <t>12.01.02.10.01.</t>
  </si>
  <si>
    <t>Veikla: Prižiūrėti Lekėčių seniūnijoje viešojo naudojimo teritorijas</t>
  </si>
  <si>
    <t>12.01.02.11</t>
  </si>
  <si>
    <t>Priemonė. Aplinkotvarkos darbai Lukšių seniūnijoje</t>
  </si>
  <si>
    <t>75,00</t>
  </si>
  <si>
    <t>12.01.02.11.01.</t>
  </si>
  <si>
    <t>Veikla: Prižiūrėti Lukšių seniūnijoje viešojo naudojimo teritorijas</t>
  </si>
  <si>
    <t>12.01.02.12</t>
  </si>
  <si>
    <t>Priemonė. Aplinkotvarkos darbai Plokščių seniūnijoje</t>
  </si>
  <si>
    <t>39,80</t>
  </si>
  <si>
    <t>12.01.02.12.01.</t>
  </si>
  <si>
    <t>Veikla: Prižiūrėti Plokščių seniūnijoje viešojo naudojimo teritorijas</t>
  </si>
  <si>
    <t>12.01.02.13</t>
  </si>
  <si>
    <t>Priemonė. Aplinkotvarkos darbai Sintautų seniūnijoje</t>
  </si>
  <si>
    <t>12.01.02.13.01.</t>
  </si>
  <si>
    <t>Veikla: Prižiūrėti Sintautų seniūnijoje viešojo naudojimo teritorijas</t>
  </si>
  <si>
    <t>12.01.02.14</t>
  </si>
  <si>
    <t>Priemonė. Aplinkotvarkos darbai Slavikų  seniūnijoje</t>
  </si>
  <si>
    <t>12,50</t>
  </si>
  <si>
    <t>12.01.02.14.01.</t>
  </si>
  <si>
    <t>Veikla: Prižiūrėti Slavikų seniūnijoje viešojo naudojimo teritorijas</t>
  </si>
  <si>
    <t>12.01.02.15</t>
  </si>
  <si>
    <t>Priemonė. Aplinkotvarkos darbai Sudargo seniūnijoje</t>
  </si>
  <si>
    <t>12.01.02.15.01.</t>
  </si>
  <si>
    <t>Veikla: Prižiūrėti Sudargo seniūnijoje viešojo naudojimo teritorijas</t>
  </si>
  <si>
    <t>12.01.02.16</t>
  </si>
  <si>
    <t>Priemonė. Aplinkotvarkos darbai Šakių seniūnijoje</t>
  </si>
  <si>
    <t>39,00</t>
  </si>
  <si>
    <t>12.01.02.16.01.</t>
  </si>
  <si>
    <t>Veikla: Prižiūrėti Šakių seniūnijoje viešojo naudojimo teritorijas</t>
  </si>
  <si>
    <t>12.01.02.17</t>
  </si>
  <si>
    <t>Priemonė. Aplinkotvarkos darbai Žvirgždaičių seniūnijoje</t>
  </si>
  <si>
    <t>12.01.02.17.01.</t>
  </si>
  <si>
    <t>Veikla: Prižiūrėti Žvirgždaičių seniūnijoje viešojo naudojimo teritorijas</t>
  </si>
  <si>
    <t>12.01.02.18</t>
  </si>
  <si>
    <t>Priemonė: Šakių rajono savivaldybei priklausančių valstybinių miškų priežiūra</t>
  </si>
  <si>
    <t>Kristina Juodvalkienė; Valdas Dumčius</t>
  </si>
  <si>
    <t>Tvarkomų miškų kiekis</t>
  </si>
  <si>
    <t>12.01.03.</t>
  </si>
  <si>
    <t>Uždavinys. Plėtoti ir tobulinti komunalinių atliekų surinkimo, tvarkymo ir pirminio rūšiavimo infrastruktūrą</t>
  </si>
  <si>
    <t>Sąvartynuose šalinamų komunalinių atliekų dalis</t>
  </si>
  <si>
    <t>%</t>
  </si>
  <si>
    <t>12.01.03.02.</t>
  </si>
  <si>
    <t>Priemonė: Šakių seniūnijos pajamos</t>
  </si>
  <si>
    <t>Seniūnijų, kurios teikia mokamas viešąsias paslaugas skaičius</t>
  </si>
  <si>
    <t>12.01.03.02.01.</t>
  </si>
  <si>
    <t>Veikla: Surinkti lėšas už teikiamas paslaugas Šakių seniūnijoje</t>
  </si>
  <si>
    <t>12.01.03.03</t>
  </si>
  <si>
    <t>Priemonė: Gyventojams priklausančių gaminių, kurių sudėtyje yra neigiamą poveikį aplinkai turinčių medžiagų, atliekų tvarkymas</t>
  </si>
  <si>
    <t>Numatomas sutvarkyti asbesto kiekis, tonomis</t>
  </si>
  <si>
    <t>12.01.03.03.01</t>
  </si>
  <si>
    <t>Veikla: Pagal pateiktą sąrašą surinkti sukauptą asbestą ir jį pristatyti saugiam šalinimui</t>
  </si>
  <si>
    <t>12.01.03.06.</t>
  </si>
  <si>
    <t>Priemonė: Įgyvendinti projektą  „Bešeimininkių padangų atliekų sutvarkymas Šakių rajono savivaldybėje" 2023 m.</t>
  </si>
  <si>
    <t>Įgyvendinamų projektų skaičius</t>
  </si>
  <si>
    <t>12.01.03.06.01.</t>
  </si>
  <si>
    <t>Veikla: Organizuoti bešeimininkių padangų atliekų sutvarkymą Šakių rajono savivaldybėje</t>
  </si>
  <si>
    <t>12.01.05.</t>
  </si>
  <si>
    <t>Uždavinys. Renovuoti  šilumos gamybos  ir tiekimo sistemas</t>
  </si>
  <si>
    <t>Renovuota šilumos gamybos ir tiekimo sistemų</t>
  </si>
  <si>
    <t>12.01.05.02.</t>
  </si>
  <si>
    <t>Priemonė: Griškabūdžio gimnazijos šildymo katilų keitimas</t>
  </si>
  <si>
    <t>Nupirktų šildymo katilų skaičius</t>
  </si>
  <si>
    <t>12.01.05.02.01.</t>
  </si>
  <si>
    <t>Veikla: Pakeisti šildymo katilus Griškabūdžio gimnazijoje</t>
  </si>
  <si>
    <t>12.01.07.</t>
  </si>
  <si>
    <t>Uždavinys. Vykdyti daugiabučių gyvenamųjų namų administravimą bei daugiabučių gyvenamųjų namų valdytojų priežiūrą ir kontrolę</t>
  </si>
  <si>
    <t>Administruojamų namų skaičius</t>
  </si>
  <si>
    <t>105,00</t>
  </si>
  <si>
    <t>Daugiabučių namų skaičius</t>
  </si>
  <si>
    <t>202,00</t>
  </si>
  <si>
    <t>12.01.07.01</t>
  </si>
  <si>
    <t>Priemonė: Dalyvauti daugiabučių gyvenamųjų namų modernizavimo programoje (investicinių planų bei energinio naudingumo sertifikatų rengimas)</t>
  </si>
  <si>
    <t>Parengtų investicijų planų skaičius</t>
  </si>
  <si>
    <t>12.01.07.01.01</t>
  </si>
  <si>
    <t>Veikla: Pagal gyventojų prašymus parengti daugiabučių namų investicinių planus bei energinio naudingumo sertifikatus</t>
  </si>
  <si>
    <t>12.01.10.</t>
  </si>
  <si>
    <t>Uždavinys. Didinti viešųjų centrinės valdžios, individualių gyvenamųjų pastatų ir įmonių energijos vartojimo efektyvumą ir energijos iš atsinaujinančių išteklių juose naudojimą.</t>
  </si>
  <si>
    <t>Sutaupytas viešųjų centrinės valdžios, individualių gyvenamųjų pastatų ir įmonių ūkyje energijos suminis kiekis GWh</t>
  </si>
  <si>
    <t>12.01.10.01.</t>
  </si>
  <si>
    <t>Priemonė. Visuomeninių pastatų modernizavimas</t>
  </si>
  <si>
    <t>Modernizuotų pastatų skaičius</t>
  </si>
  <si>
    <t>12.01.10.01.01.</t>
  </si>
  <si>
    <t>Veikla: Modernizuoti visuomeninius pastatus</t>
  </si>
  <si>
    <t>12.02.</t>
  </si>
  <si>
    <t>Tikslas. Inžinerinės infrastruktūros modernizavimas</t>
  </si>
  <si>
    <t>Centralizuotai tiekiamo geriamojo vandens prieinamumas</t>
  </si>
  <si>
    <t>78,00</t>
  </si>
  <si>
    <t>12.02.01</t>
  </si>
  <si>
    <t xml:space="preserve">Uždavinys. Plėtoti ir renovuoti  viešąsias geriamojo vandens tiekimo ir nuotekų šalinimo sistemas </t>
  </si>
  <si>
    <t>Įgyvendintų vandentvarkos projektų skaičius</t>
  </si>
  <si>
    <t>12.02.01.01</t>
  </si>
  <si>
    <t>Priemonė: Įrengti naujus artezinius gręžinius su vandens gerinimo įranga</t>
  </si>
  <si>
    <t>Naujai įrengtų artezinių gręžinių skaičius</t>
  </si>
  <si>
    <t>12.02.01.01.01.</t>
  </si>
  <si>
    <t>Veikla: Įrengti naujus gręžinius su vandens gerinimo įranga</t>
  </si>
  <si>
    <t>12.02.01.02.</t>
  </si>
  <si>
    <t>Priemonė: Vandens gerinimo įrenginių statyba</t>
  </si>
  <si>
    <t>Pastatytų vandens  gerinimo įrenginių skaičius</t>
  </si>
  <si>
    <t>12.02.01.02.01</t>
  </si>
  <si>
    <t>Veikla: Pastatyti vandens gerinimo įrenginius</t>
  </si>
  <si>
    <t>12.02.01.05</t>
  </si>
  <si>
    <t>Priemonė:Nenaudojamų vandens gręžinių tamponavimas</t>
  </si>
  <si>
    <t>Užtamponuotų gręžinių skaičius</t>
  </si>
  <si>
    <t>12.02.01.05.01.</t>
  </si>
  <si>
    <t>Veikla: Užtamponuoti nenaudojamus gręžinius</t>
  </si>
  <si>
    <t>12.02.01.06</t>
  </si>
  <si>
    <t>Priemonė: Vandentvarkos objektų remonto ir statybos darbai</t>
  </si>
  <si>
    <t>Sutvarkytų vandentvarkos objektų skaičius</t>
  </si>
  <si>
    <t>12.02.01.06.01</t>
  </si>
  <si>
    <t>Veikla: Sutvarkyti vandentvarkos objektus</t>
  </si>
  <si>
    <t>12.02.02.</t>
  </si>
  <si>
    <t>Uždavinys. Modernizuoti ir plėtoti paviršinių nuotekų sistemas</t>
  </si>
  <si>
    <t>Modernizuota ir įrengta paviršinio vandens nuvedimo sistemų</t>
  </si>
  <si>
    <t>12.02.02.01.</t>
  </si>
  <si>
    <t>Priemonė: Paviršinių nuotekų tvarkymo  paslauga (biudžetinės įstaigos, bendro naudojimo teritorijos)</t>
  </si>
  <si>
    <t>Juridinių asmenų, kuriems teikiama paslauga skaičius</t>
  </si>
  <si>
    <t>12.02.02.01.01</t>
  </si>
  <si>
    <t>Veikla: Teikti paviršinių nuotekų surinkimo ir tvarkymo paslaugą</t>
  </si>
  <si>
    <t>12.02.03.</t>
  </si>
  <si>
    <t>Uždavinys. Inventorizuoti geriamojo vandens tiekimo ir nuotekų šalinimo sistemas</t>
  </si>
  <si>
    <t>Inventorizuotų vietovių skaičius</t>
  </si>
  <si>
    <t>12.02.03.01</t>
  </si>
  <si>
    <t>Priemonė: Inventorizuota vandentiekio ir nuotekų tinklų</t>
  </si>
  <si>
    <t>Inventorizuotų vandentiekio ir nuotekų tinklų ilgis, kilometrais</t>
  </si>
  <si>
    <t>12.02.03.01.01.</t>
  </si>
  <si>
    <t>Veikla: Inventorizuoti vandentiekio ir nuotekų tinklus</t>
  </si>
  <si>
    <t>12.03.</t>
  </si>
  <si>
    <t>Tikslas. Šiuolaikiškos susisiekimo sistemos plėtra</t>
  </si>
  <si>
    <t>12.03.01</t>
  </si>
  <si>
    <t>Uždavinys. Modernizuoti ir plėtoti savivaldybės vietinės reikšmės kelius, gatves ir kitas susisiekimo komunikacijas</t>
  </si>
  <si>
    <t>12.03.01.01.</t>
  </si>
  <si>
    <t>Priemonė: Kelių, gatvių, automobilių stovėjimo aikštelių, pėsčiųjų takų ir kitų infrastruktūros elementų remonto ir statybos darbai</t>
  </si>
  <si>
    <t>Rekonstruotų, naujai įrengtų gatvių ir kelių ilgis</t>
  </si>
  <si>
    <t>0,20</t>
  </si>
  <si>
    <t>Atnaujintų automobilių stovėjimo aikštelių skaičius</t>
  </si>
  <si>
    <t>12.03.01.01.01.</t>
  </si>
  <si>
    <t>Veikla: Atlikti rajono savivaldybės Kelių priežiūros ir plėtros programos lėšų naudojimo vietinės reikšmės keliams ir gatvėms tiesti, rekonstruoti, taisyti, prižiūrėti ir saugaus eismo sąlygoms užtikrinti einamaisiais metais objektų sąraše patvirtintų objektų statybos ir remonto darbus.</t>
  </si>
  <si>
    <t>12.03.01.02</t>
  </si>
  <si>
    <t>Priemonė. Vietinės reikšmės kelių priežiūra, žiemos tarnyba Barzdų seniūnijoje</t>
  </si>
  <si>
    <t>Prižiūrėtų kelių ir gatvių ilgis</t>
  </si>
  <si>
    <t>64,00</t>
  </si>
  <si>
    <t>12.03.01.02.01</t>
  </si>
  <si>
    <t>Veikla: Prižiūrėti vietinės reikšmės kelius seniūnijoje.</t>
  </si>
  <si>
    <t>12.03.01.03</t>
  </si>
  <si>
    <t>Priemonė. Vietinės reikšmės kelių priežiūra, žiemos tarnyba Gelgaudiškio seniūnijoje</t>
  </si>
  <si>
    <t>63,00</t>
  </si>
  <si>
    <t>12.03.01.03.01</t>
  </si>
  <si>
    <t>12.03.01.04</t>
  </si>
  <si>
    <t>Priemonė. Vietinės reikšmės kelių priežiūra, žiemos tarnyba Griškabūdžio  seniūnijoje</t>
  </si>
  <si>
    <t>12.03.01.04.01</t>
  </si>
  <si>
    <t>12.03.01.05</t>
  </si>
  <si>
    <t>Priemonė. Vietinės reikšmės kelių priežiūra, žiemos tarnyba Kidulių seniūnijoje</t>
  </si>
  <si>
    <t>94,00</t>
  </si>
  <si>
    <t>12.03.01.05.01.</t>
  </si>
  <si>
    <t>12.03.01.06</t>
  </si>
  <si>
    <t>Priemonė. Vietinės reikšmės kelių priežiūra, žiemos tarnyba Kriūkų seniūnijoje</t>
  </si>
  <si>
    <t>90,00</t>
  </si>
  <si>
    <t>12.03.01.06.01.</t>
  </si>
  <si>
    <t>12.03.01.07</t>
  </si>
  <si>
    <t>Priemonė. Vietinės reikšmės kelių priežiūra, žiemos tarnyba Kudirkos Naumiesčio seniūnijoje</t>
  </si>
  <si>
    <t>12.03.01.07.01.</t>
  </si>
  <si>
    <t>12.03.01.08</t>
  </si>
  <si>
    <t>Priemonė. Vietinės reikšmės kelių priežiūra, žiemos tarnyba Lekėčių seniūnijoje</t>
  </si>
  <si>
    <t>12.03.01.08.01.</t>
  </si>
  <si>
    <t>12.03.01.09</t>
  </si>
  <si>
    <t>Priemonė. Vietinės reikšmės kelių priežiūra, žiemos tarnyba Lukšių seniūnijoje</t>
  </si>
  <si>
    <t>109,00</t>
  </si>
  <si>
    <t>12.03.01.09.01.</t>
  </si>
  <si>
    <t>12.03.01.10</t>
  </si>
  <si>
    <t>Priemonė. Vietinės reikšmės kelių priežiūra, žiemos tarnyba Plokščių seniūnijoje</t>
  </si>
  <si>
    <t>12.03.01.10.01.</t>
  </si>
  <si>
    <t>12.03.01.11</t>
  </si>
  <si>
    <t>Priemonė. Vietinės reikšmės kelių priežiūra, žiemos tarnyba Sintautų seniūnijoje</t>
  </si>
  <si>
    <t>69,00</t>
  </si>
  <si>
    <t>12.03.01.11.01.</t>
  </si>
  <si>
    <t>12.03.01.12</t>
  </si>
  <si>
    <t>Priemonė. Vietinės reikšmės kelių priežiūra, žiemos tarnyba Slavikų seniūnijoje</t>
  </si>
  <si>
    <t>36,00</t>
  </si>
  <si>
    <t>12.03.01.12.01.</t>
  </si>
  <si>
    <t>12.03.01.13</t>
  </si>
  <si>
    <t>Priemonė. Vietinės reikšmės kelių priežiūra, žiemos tarnyba Sudargo seniūnijoje</t>
  </si>
  <si>
    <t>52,00</t>
  </si>
  <si>
    <t>12.03.01.13.01.</t>
  </si>
  <si>
    <t>12.03.01.14</t>
  </si>
  <si>
    <t>Priemonė. Vietinės reikšmės kelių priežiūra, žiemos tarnyba Šakių seniūnijoje</t>
  </si>
  <si>
    <t>154,00</t>
  </si>
  <si>
    <t>12.03.01.14.01.</t>
  </si>
  <si>
    <t>12.03.01.15</t>
  </si>
  <si>
    <t>Priemonė. Vietinės reikšmės kelių priežiūra, žiemos tarnyba Žvirgždaičių seniūnijoje</t>
  </si>
  <si>
    <t>12.03.01.15.01.</t>
  </si>
  <si>
    <t>12.03.02.</t>
  </si>
  <si>
    <t>Uždavinys. Modernizuoti esamus, įrengti naujus pėsčiųjų ir dviračių takus</t>
  </si>
  <si>
    <t>Modernizuotų ir įrengtų takų ilgis</t>
  </si>
  <si>
    <t>12.03.02.01</t>
  </si>
  <si>
    <t>Priemonė: Pėsčiųjų ir dviračių takų rekonstravimo ir įrengimo darbai Šakių m.</t>
  </si>
  <si>
    <t>Modernizuotų pėsčiųjų ir dviračių takų ilgis, kilometrais</t>
  </si>
  <si>
    <t>0,90</t>
  </si>
  <si>
    <t>12.03.02.01.01</t>
  </si>
  <si>
    <t>Veikla: Atlikti numatytus pėsčiųjų ir dviračių takų  rekonstravimo ir įrengimo darbus</t>
  </si>
  <si>
    <t>12.03.03.</t>
  </si>
  <si>
    <t>Uždavinys. Renovuoti ir plėtoti savivaldybės vietinės reikšmės kelių ir gatvių, pėsčiųjų ir dviračių takų, gyvenamųjų kvartalų  apšvietimo tinklus, diegti energiją taupančias sistemas</t>
  </si>
  <si>
    <t>Renovuotų ir įrengtų apšvietimo tinklų ilgis</t>
  </si>
  <si>
    <t>12.03.03.01</t>
  </si>
  <si>
    <t>Priemonė: Įrengti, remontuoti gatvių apšvietimo tinklus miestuose ir miesteliuose.</t>
  </si>
  <si>
    <t>Naujų suremontuotų apšvietimo tinklų ilgis kilometrais</t>
  </si>
  <si>
    <t>12.03.03.01.01</t>
  </si>
  <si>
    <t>Veikla: Renovuoti gatvių apšvietimo tinklus miestuose ir miesteliuose gatvėse, kur keičiamos orinės elektros energijos tiekimo linijos</t>
  </si>
  <si>
    <t>12.03.04.</t>
  </si>
  <si>
    <t>Uždavinys. Rekonstruoti ir įrengti naujas automobilių stovėjimo, vaikų žaidimo, poilsio aikšteles savivaldybės bendro naudojimo teritorijose</t>
  </si>
  <si>
    <t>Įrengta automobilių stovėjimo aikštelių</t>
  </si>
  <si>
    <t>12.03.04.01</t>
  </si>
  <si>
    <t>Priemonė: Renovuotų daugiabučių namų  teritorijų sutvarkymas</t>
  </si>
  <si>
    <t>Sutvarkytų renovuotų daugiabučių namų teritorijų skaičius</t>
  </si>
  <si>
    <t>12.03.04.01.01</t>
  </si>
  <si>
    <t>Veikla: Sutvarkyti renovuotų daugiabučių namų teritorijas</t>
  </si>
  <si>
    <t>12.03.04.02.</t>
  </si>
  <si>
    <t>Priemonė. Statinių ir kitų infrastruktūros objektų viešose ervėse remonto ir įrengimo darbai.</t>
  </si>
  <si>
    <t>Sutvarkytų objektų skaičius</t>
  </si>
  <si>
    <t>12.03.04.02.01.</t>
  </si>
  <si>
    <t>Veikla: Renovuoti/įrengti infrastruktūros objektus viešose erdvėse</t>
  </si>
  <si>
    <t>12.03.05.</t>
  </si>
  <si>
    <t>Uždavinys.  Diegti ir plėtoti modernias eismo saugumo, informavimo, aplinkosaugos ir reguliavimo priemones</t>
  </si>
  <si>
    <t>Įdiegta eismo saugumo priemonių</t>
  </si>
  <si>
    <t>12.03.05.01.</t>
  </si>
  <si>
    <t>Priemonė: Gatvių pavadinimų, adresų objektų numerių, informacinių rodyklių pirkimas ir pastatymas</t>
  </si>
  <si>
    <t>Seniūnijų, kurioms skiriamos lėšos skaičius</t>
  </si>
  <si>
    <t>12.03.05.01.01</t>
  </si>
  <si>
    <t>Veikla: Pagal seniūnų pateiktas paraiškas nupirkti gatvių pavadinimus, adresų objektų numerius, informacines rodykles</t>
  </si>
  <si>
    <t>12.03.05.02.</t>
  </si>
  <si>
    <t>Priemonė: Investicinių projektų ir konsultacijų pirkimas</t>
  </si>
  <si>
    <t>Įsigytų investicinių projektų ir konsultacijų teikimo paslaugų skaičius</t>
  </si>
  <si>
    <t>12.03.05.02.01.</t>
  </si>
  <si>
    <t>Veikla: Nupirkti investicinių projektų ir konsultacijų paslaugas bei parengti reikiamus dokumentus</t>
  </si>
  <si>
    <t>12.05.</t>
  </si>
  <si>
    <t>12.05.01.</t>
  </si>
  <si>
    <t>Uždavinys. Atlikti melioracijos statinių remonto rekonstrukcijos ir priežiūros darbus</t>
  </si>
  <si>
    <t>Irena  Žemaitienė</t>
  </si>
  <si>
    <t>Pagerintos žemės plotas</t>
  </si>
  <si>
    <t>2 300,00</t>
  </si>
  <si>
    <t>12.05.01.01</t>
  </si>
  <si>
    <t>Priemonė: Melioracijos statinių remonto priežiūros darbai</t>
  </si>
  <si>
    <t>Suremontuotų griovių ilgis kilometrais</t>
  </si>
  <si>
    <t>12.05.01.01.01</t>
  </si>
  <si>
    <t>Veikla: Atlikti sausinimo sistemų rinktuvų, melioracijos griovių bei juose esančių hidrotechninių statinių remonto ir priežiūros darbus.</t>
  </si>
  <si>
    <t>12.05.01.02.</t>
  </si>
  <si>
    <t>Priemonė: Apsemtų teritorijų melioracijos remonto darbai</t>
  </si>
  <si>
    <t>Sutvarkytų gyvenviečių skaičius</t>
  </si>
  <si>
    <t>Sutvarkytų apsemtų teritorijų skaičius</t>
  </si>
  <si>
    <t>12.05.01.02.05</t>
  </si>
  <si>
    <t>Veikla: atlikti Šakių rajone esančių Barzdų, Baltrušių ir Lekėčių gyvenviečių drenažo remonto darbus (pagal gyventojų prašymus)</t>
  </si>
  <si>
    <t>12.06.</t>
  </si>
  <si>
    <t>Tikslas: Inovatyvi, pažangi žemės ūkio veikla, tausojanti aplinką bei sveikatą</t>
  </si>
  <si>
    <t>Irena  Žemaitienė; Lina Štrimaitytė</t>
  </si>
  <si>
    <t>Ūkių, taikančių tiksliojo ūkininkavimo sistemas,  dalis nuo visų užsiimančių aktyvia žemės ūkio veikla</t>
  </si>
  <si>
    <t>12.06.01.</t>
  </si>
  <si>
    <t>Uždavinys. Organizuoti renginius ir priemones, kurie skatintų žemės ūkio subjektų bendradarbiavimą, trumpų maisto tiekimo grandinių kūrimą</t>
  </si>
  <si>
    <t>Seminarų, mokymų, priemonių skaičius</t>
  </si>
  <si>
    <t>12.06.01.01</t>
  </si>
  <si>
    <t>Priemonė: Įgyvendinti rajono žemės ūkio produkcijos perdirbimo ir rinkodaros strategiją</t>
  </si>
  <si>
    <t>Suorganizuotų seminarų - lauko dienų skaičius</t>
  </si>
  <si>
    <t>12.06.01.01.01</t>
  </si>
  <si>
    <t>Veikla: Įgyvendinant rajono žemės ūkio produkcijos perdirbimo ir rinkodaros strategiją suorganizuoti seminarus/lauko dienas</t>
  </si>
  <si>
    <t>12.06.02.</t>
  </si>
  <si>
    <t>Uždavinys: Teikti paslaugas, konsultuoti žemės ūkio subjektus ES ir nacionalinės paramos investicijų bei kitais žemės ūkio veiklos klausimais</t>
  </si>
  <si>
    <t>Suteiktų paslaugų  skaičius</t>
  </si>
  <si>
    <t>5 000,00</t>
  </si>
  <si>
    <t>12.06.02.01.</t>
  </si>
  <si>
    <t>Priemonė: Žemės ūkio technikos  įregistravimas, išregistravimas, duomenų keitimas, techninių  apžiūrų rengimas</t>
  </si>
  <si>
    <t>Suteiktų paslaugų žemės ūkio technikos įregistravimo, išregistravimo, duomenų keitimo, techninių apžiūrų skaičius</t>
  </si>
  <si>
    <t>5 800,00</t>
  </si>
  <si>
    <t>12.06.02.01.01</t>
  </si>
  <si>
    <t>Veikla: Suteikti paslaugas žemės ūkio technikos įregistravimui, išregistravimui, duomenų keitimui, techninių apžiūrų  vykdymui</t>
  </si>
  <si>
    <t>12.07.</t>
  </si>
  <si>
    <t>Tikslas: Rajono investicinio patrauklumo didinimas</t>
  </si>
  <si>
    <t>Tiesioginių užsienio investicijų augimas (2017 m. – 17,06 mln. Eur)</t>
  </si>
  <si>
    <t>Verslo materialinių  investicijų augimas (2017 m. – 31,176 mln. .Eur)</t>
  </si>
  <si>
    <t>12.07.01</t>
  </si>
  <si>
    <t>Uždavinys: Parengti ir nuolat atnaujinti potencialiems investuotojams aktualią informaciją</t>
  </si>
  <si>
    <t>Informacijos vienetų skaičius</t>
  </si>
  <si>
    <t>12.07.01.01</t>
  </si>
  <si>
    <t>Priemonė: Parengti, paskelbti ir kartą per ketvirtį atnaujinti laisvų teritorijų ir pastatų registrą.</t>
  </si>
  <si>
    <t>Laisvų teritorijų ir pastatų atnaujintų registrų skaičius</t>
  </si>
  <si>
    <t>12.07.01.01.01</t>
  </si>
  <si>
    <t>Veikla: Rengti ir atnaujinti laisvų teritorijų ir pastatų registrus, skelbiant juos atnaujintoje svetainėje</t>
  </si>
  <si>
    <t>12.07.01.02.</t>
  </si>
  <si>
    <t>Priemonė: Parengti ir nuolat atnaujinti verslo finansavimo, paramos galimybių, mokestinių lengvatų aprašą.</t>
  </si>
  <si>
    <t>Mokestinių lengvatų ir paramos galimybių aprašų skaičius</t>
  </si>
  <si>
    <t>12.07.01.02.01</t>
  </si>
  <si>
    <t>Veikla: Rengti ir atnaujinti verslo finansavimo ir lengvatų aprašus, skelbiant juos atnaujintoje svetainėje</t>
  </si>
  <si>
    <t>12.07.02.</t>
  </si>
  <si>
    <t xml:space="preserve">Uždavinys: Užtikrinti operatyvų aktualios informacijos apie verslo galimybes Šakių rajone pateikimą suinteresuotoms pusėms        </t>
  </si>
  <si>
    <t>Analizių skaičius</t>
  </si>
  <si>
    <t>12.07.02.01.</t>
  </si>
  <si>
    <t>Priemonė: Kiekvieną savaitę atnaujinti verslui aktualią informaciją internete (taip pat ir anglų kalba)</t>
  </si>
  <si>
    <t>Atnaujintos verslui aktualios informacijos interneto kanaluose skaičius</t>
  </si>
  <si>
    <t>12.07.02.01.01</t>
  </si>
  <si>
    <t>Veikla: Nuolat atnaujinti verslui aktualią informaciją įstaigos feisbuko paskyroje, svetainėje</t>
  </si>
  <si>
    <t>12.08.</t>
  </si>
  <si>
    <t>Tikslas: Vietos valdžios ir verslo subjektų bendradarbiavimo efektyvinimas.</t>
  </si>
  <si>
    <t>Verslo pasitenkinimo (rekomendavimo kurti verslą Šakiuose) indekso (maksimali reikšmė-  10) augimas</t>
  </si>
  <si>
    <t>ind</t>
  </si>
  <si>
    <t>7,30</t>
  </si>
  <si>
    <t>12.08.01</t>
  </si>
  <si>
    <t>Uždavinys:Sistemingai analizuoti verslo ketinimus ir poreikius, investicinius planus, žmogiškųjų išteklių paklausą/pasiūlą, verslo būklę ir tendencijas</t>
  </si>
  <si>
    <t>12.08.01.01.</t>
  </si>
  <si>
    <t>Priemonė: Rengti susitarimus, organizuoti susitikimus dėl verslo sąlygų gerinimo, ruošti jiems informaciją</t>
  </si>
  <si>
    <t>KT, TP</t>
  </si>
  <si>
    <t>Susitikimų, diskusijų, forumų skaičius</t>
  </si>
  <si>
    <t>Tyrimų, analizių skaičius</t>
  </si>
  <si>
    <t>12.08.01.01.01</t>
  </si>
  <si>
    <t>Veikla: Rengti informaciją verslui aktualiais klausimais ir pateikti ją svarstymui Verslo tarybai, verslo ir valdžios atstovams</t>
  </si>
  <si>
    <t>12.08.01.01.02</t>
  </si>
  <si>
    <t>Veikla: Organizuoti verslo pusryčius, forumus, diskusijas aptarti aktualius verslui klausimus</t>
  </si>
  <si>
    <t>12.08.02.</t>
  </si>
  <si>
    <t>Uždavinys: Skatinant verslo ir savivaldos bendradarbiavimą formuoti palankią visuomenės  nuomonę apie verslą ir verslumą.</t>
  </si>
  <si>
    <t>Bendrų renginių skaičius</t>
  </si>
  <si>
    <t>12.08.02.01</t>
  </si>
  <si>
    <t>Priemonė: Organizuoti reprezentacinius verslą pristatančius renginius, ugdyti jaunimo verslumą</t>
  </si>
  <si>
    <t>Verslą pristatančių renginių skaičius</t>
  </si>
  <si>
    <t>Verslumo renginių jaunimui skaičius</t>
  </si>
  <si>
    <t>12.08.02.01.01</t>
  </si>
  <si>
    <t>Veikla: Organizuoti jaunimo verslumą ugdančius renginius</t>
  </si>
  <si>
    <t>12.08.02.01.02</t>
  </si>
  <si>
    <t>Veikla: Organizuoti konkursą „Sukurta Šakių krašte“ ir Verslo dieną</t>
  </si>
  <si>
    <t>12.08.02.01.03</t>
  </si>
  <si>
    <t>Veikla: Organizuoti prekybines muges</t>
  </si>
  <si>
    <t>12.09.</t>
  </si>
  <si>
    <t>Tikslas: Rajono verslo subjektų konkurencingumo augimas.</t>
  </si>
  <si>
    <t>Pridėtinės vertės gamybos kainomis pagal veiklos vykdymo vietą augimas (2017 m. – 53,134 mln. Eur)</t>
  </si>
  <si>
    <t>27,00</t>
  </si>
  <si>
    <t>12.09.01</t>
  </si>
  <si>
    <t>Uždavinys:Aktualizuoti  paramos verslui sistemą siekiant tvaraus teigiamo poveikio verslo konkurencingumo augimui.</t>
  </si>
  <si>
    <t>Suteiktų mokestinių lengvatų, SVVPF paramos projektų poveikis tolesniam verslo subjekto augimui.</t>
  </si>
  <si>
    <t>12.09.01.01.</t>
  </si>
  <si>
    <t>Priemonė. Skatinti verslo plėtrą per smulkaus ir vidutinio verslo plėtros fondą.</t>
  </si>
  <si>
    <t>Suteiktų grąžintinų paramų (paskolų) skaičius</t>
  </si>
  <si>
    <t>Suteiktų negrąžintinų paramų  skaičius</t>
  </si>
  <si>
    <t>12.09.01.01.01</t>
  </si>
  <si>
    <t>Veikla: Skelbi 4 kvietimus beprocentėms verslo paskoloms gauti</t>
  </si>
  <si>
    <t>12.09.01.01.02</t>
  </si>
  <si>
    <t>Veikla: Konsultuoti pareiškėjus, administruoti fondą</t>
  </si>
  <si>
    <t>12.09.01.01.03</t>
  </si>
  <si>
    <t>Veikla: Skelbti kvietimus paraiškų rinkimui, konsultuoti pareiškėjus, rinkti paraiškas, kviesti VPT posėdžius</t>
  </si>
  <si>
    <t>12.09.01.01.04</t>
  </si>
  <si>
    <t>Veikla: Tikrinti paraiškų atitiktį, rengti tarybos sprendimų projektus,  paramos sutartis, lėšų panaudojimo ataskaitas.</t>
  </si>
  <si>
    <t>12.09.02.</t>
  </si>
  <si>
    <t>Uždavinys:Skatinti viešųjų paslaugų prieinamumą verslo pradžiai</t>
  </si>
  <si>
    <t>Konsultuojamų  jaunų verslo subjektų skaičius</t>
  </si>
  <si>
    <t>Naujai įregistruotų įmonių skaičius</t>
  </si>
  <si>
    <t>37,00</t>
  </si>
  <si>
    <t>12.09.02.01.</t>
  </si>
  <si>
    <t>Priemonė: Sukurti viešųjų paslaugų teikimo verslui modelį, užtikrinantį visokeriopą informacinę, konsultacinę pagalbą verslo subjektams.</t>
  </si>
  <si>
    <t>Mokymų, informacinių renginių skaičius</t>
  </si>
  <si>
    <t>Asmenų, gavusių verslo konsultacijas, skaičius</t>
  </si>
  <si>
    <t>asm</t>
  </si>
  <si>
    <t>Parengtų paraiškų skaičius</t>
  </si>
  <si>
    <t>Administruojamų SVV plėtros fondo kvietimų skaičius</t>
  </si>
  <si>
    <t>12.09.02.01.01</t>
  </si>
  <si>
    <t>Veikla: Konsultuoti verslo subjektus verslo pradžios ir plėtros klausimais</t>
  </si>
  <si>
    <t>12.09.02.01.02</t>
  </si>
  <si>
    <t>Veikla: Konsultuoti ir teikti metodinę pagalbą finansavimo gavimo, paraiškų rengimo  klausimais</t>
  </si>
  <si>
    <t>12.09.02.01.04</t>
  </si>
  <si>
    <t>Veikla: Organizuoti mokymus, seminarus, informacinius renginius verslui aktualiomis temomis</t>
  </si>
  <si>
    <t>12.09.02.02</t>
  </si>
  <si>
    <t>Priemonė. Paremti jauno verslus subjektus konsultacine, mokymų pagalba bei įranga, vykdant projektą „Verslumo ir jauno verslo skatinimas Šakių mieste“</t>
  </si>
  <si>
    <t>Verslo subjektų, paremtų suteikiant naudotis įrangą, skaičius</t>
  </si>
  <si>
    <t>13,00</t>
  </si>
  <si>
    <t>12.09.02.02.01.</t>
  </si>
  <si>
    <t>Veikla: Pateikti galutinę projekto ataskaitą, tęsti įrangos suteikimą naudotis jauno verslo subjektams</t>
  </si>
  <si>
    <t>13.</t>
  </si>
  <si>
    <t>Socialinės ir sveikatos apsaugos programa</t>
  </si>
  <si>
    <t>Socialinės paramos skyrius</t>
  </si>
  <si>
    <t>Aistė Būdvytienė; Daiva  Pilypaitytė</t>
  </si>
  <si>
    <t>13.01.</t>
  </si>
  <si>
    <t>Daiva  Pilypaitytė</t>
  </si>
  <si>
    <t>13.01.01.</t>
  </si>
  <si>
    <t>Uždavinys.Teikti socialinės globos paslaugas</t>
  </si>
  <si>
    <t>330,00</t>
  </si>
  <si>
    <t>13.01.01.02.</t>
  </si>
  <si>
    <t>Priemonė:Teikti dienos socialinės globos  paslaugas institucijoje. D. C.</t>
  </si>
  <si>
    <t>Edita Macevičiūtė-Orentienė</t>
  </si>
  <si>
    <t>Asmenų, gavusių darbinio užimtumo iš Vaikų globos namų dienos užimtumo centro, skaičius</t>
  </si>
  <si>
    <t>Asmenų, gavusių darbinio užimtumo paslaugas  iš  Gelgaudiškio "Šaltinio specialiojo ugdymo centro" dienos centro, skaičius</t>
  </si>
  <si>
    <t>13.01.01.02.01</t>
  </si>
  <si>
    <t>Veikla: Teikti socialinės globos paslaugas. Paslaugų tiekėjas- dienos užimtumo centras prie Paluobių daugiafunkcio centro</t>
  </si>
  <si>
    <t>13.01.01.02.02</t>
  </si>
  <si>
    <t>Veikla: Teikti socialinės globos paslaugas. Paslaugų teikėjas - Vaikų globos namų dienos užimtumo centras.</t>
  </si>
  <si>
    <t>13.01.01.02.03</t>
  </si>
  <si>
    <t>Veikla: Teikti socialinės globos paslaugas. Paslaugų teikėjas - Gelgaudiškio "Šaltinio specialiojo ugdymo centro" dienos centras</t>
  </si>
  <si>
    <t>13.01.01.04.</t>
  </si>
  <si>
    <t>Priemonė.Teikti trumpalaikės globos paslaugas vaikams, likusiems be tėvų globos.</t>
  </si>
  <si>
    <t>Asta Jankauskienė</t>
  </si>
  <si>
    <t>Vaikų, likusių be tėvų globos, gavusių trumpalaikės globos paslaugas, skaičius</t>
  </si>
  <si>
    <t>80,00</t>
  </si>
  <si>
    <t>13.01.01.04.01</t>
  </si>
  <si>
    <t>Veikla: Trumpalaikės globos paslaugų teikimas vaikams, likusiems be tėvų globos.</t>
  </si>
  <si>
    <t>13.01.01.05.</t>
  </si>
  <si>
    <t xml:space="preserve">Priemonė. Teikti ilgalaikės ir trumpalaikės globos paslaugas socialinės rizikos šeimų  vaikams </t>
  </si>
  <si>
    <t>Asta Jankauskienė; Ugnė Mikštienė</t>
  </si>
  <si>
    <t>Socialinės rizikos vaikų, likusių be tėvų globos, gavusių trumpalaikės ir ilgalaikės globos paslaugas, skaičius</t>
  </si>
  <si>
    <t>13.01.01.05.01</t>
  </si>
  <si>
    <t>Veikla: Ilgalaikės ir trumpalaikės globos paslaugų teikimas socialinės rizikos šeimų  vaikams - Paslaugų teikėjas - VšĮ Šakių vaikų globos namai.</t>
  </si>
  <si>
    <t>13.01.01.06.</t>
  </si>
  <si>
    <t>Priemonė. Teikti ilgalaikės ir trumpalaikės globos paslaugas socialinės rizikos šeimų vaikams šeimynose</t>
  </si>
  <si>
    <t>Vaikų, gavusių ilgalaikės ir trumpalaikės socialinės globos paslaugas  šeimynose, skaičius</t>
  </si>
  <si>
    <t>13.01.01.06.01</t>
  </si>
  <si>
    <t>Veikla: Finansuoti šeimynos dalyvių išlaikymą</t>
  </si>
  <si>
    <t>13.01.01.06.02</t>
  </si>
  <si>
    <t>Veikla: Finansuoti ilgalaikės ir trumpalaikės globos paslaugas socialinės rizikos šeimų vaikams</t>
  </si>
  <si>
    <t>13.01.01.06.03</t>
  </si>
  <si>
    <t>Veikla: Skirti pagalbos pinigus šeimoms ir šeimynoms,globojantiems vaikus</t>
  </si>
  <si>
    <t>13.01.01.07</t>
  </si>
  <si>
    <t>Priemonė: Finansuoti socialinės globos paslaugas globos įstaigose, socialinės priežiūros paslaugas teikiančiose socialinę priežiūrą įstaigose, savivaldybės biudžeto lėšomis</t>
  </si>
  <si>
    <t>Socialinės globos ir socialinės priežiūros paslaugas savivaldybės biudžeto lėšomis gavusių asmenų skaičius</t>
  </si>
  <si>
    <t>13.01.01.07.01</t>
  </si>
  <si>
    <t>Veikla: Ilgalaikės globos bei socialinės priežiūros paslaugų finansavimas rajono gyventojams, gyvenantiems valstybinėse ir kitose socialinų paslaugų įstaigose.</t>
  </si>
  <si>
    <t>13.01.01.10.</t>
  </si>
  <si>
    <t>Priemonė: Finansuoti socialinės globos paslaugas  globos įstaigose valstybės biudžeto lėšomis</t>
  </si>
  <si>
    <t>Socialinės globos paslaugas globos įstaigose, valstybės biudžeto lėšomis, gavusių asmenų skaičius</t>
  </si>
  <si>
    <t>13.01.01.10.01.</t>
  </si>
  <si>
    <t>Veikla:  Socialinės globos paslaugų finansavimas  globos įstaigose valstybės biudžeto lėšomis</t>
  </si>
  <si>
    <t>13.01.02.</t>
  </si>
  <si>
    <t>Uždavinys.Teikti socialinės priežiūros paslaugas</t>
  </si>
  <si>
    <t>Asmenų, gavusių socialinės priežiūros  paslaugas skaičius</t>
  </si>
  <si>
    <t>380,00</t>
  </si>
  <si>
    <t>13.01.02.02</t>
  </si>
  <si>
    <t>Priemonė: Administruoti  vaikų dienos centrų tinklo veiklą</t>
  </si>
  <si>
    <t>Vaikų dienos centrų tinklo veiklą administruojančių asmenų skaičius</t>
  </si>
  <si>
    <t>13.01.02.02.01.</t>
  </si>
  <si>
    <t>Veikla: Vaikų dienos centrų veiklos administravimas.</t>
  </si>
  <si>
    <t>13.01.02.03.</t>
  </si>
  <si>
    <t>Priemonė: Plėtoti vaikų dienos centrų tinklo veiklą</t>
  </si>
  <si>
    <t>Vaikų, gavusių  paslaugas dienos centruose, skaičius</t>
  </si>
  <si>
    <t>260,00</t>
  </si>
  <si>
    <t>13.01.02.03.01.</t>
  </si>
  <si>
    <t>Veikla: Teikti socialines priežiūros paslaugas vaikų dienos centruose</t>
  </si>
  <si>
    <t>13.01.02.04</t>
  </si>
  <si>
    <t>Priemonė. Organizuoti socialinę rebilitaciją neįgaliesiems bendruomenėje.</t>
  </si>
  <si>
    <t>Sonata Černauskienė</t>
  </si>
  <si>
    <t>Asmenų, gavusių paslaugą, skaičius</t>
  </si>
  <si>
    <t>281,00</t>
  </si>
  <si>
    <t>13.01.02.04.01</t>
  </si>
  <si>
    <t>Veikla: Teikti socialinę reabilitaciją neįgaliesiems bendruomenėje</t>
  </si>
  <si>
    <t>13.01.02.05</t>
  </si>
  <si>
    <t>Priemonė. Administruoti socialinės reabilitacijos neįgaliesiems bendruomenėje teikimą.</t>
  </si>
  <si>
    <t>Paslaugą administruojančių asmenų skaičius</t>
  </si>
  <si>
    <t>13.01.02.05.01.</t>
  </si>
  <si>
    <t>Veikla: Socialinės reabilitacijos neįgaliesiems bendruomenėje teikimo administravimas</t>
  </si>
  <si>
    <t>13.01.03.</t>
  </si>
  <si>
    <t>Uždavinys. Vykdyti  neįgaliųjų integracijos programą.</t>
  </si>
  <si>
    <t>13.01.03.01.</t>
  </si>
  <si>
    <t>Priemonė. Teikti specialaus transporto paslaugas neįgaliesiems</t>
  </si>
  <si>
    <t>Specialaus transporto paslaugas gavusių neįgaliųjų skaičius</t>
  </si>
  <si>
    <t>1 500,00</t>
  </si>
  <si>
    <t>13.01.03.01.01</t>
  </si>
  <si>
    <t>Veikla: Teikti spec. transporto paslaugas neįgaliems asmenims. Paslaugų teikėjas - Šakių r. neįgaliųjų draugija</t>
  </si>
  <si>
    <t>13.01.03.01.02</t>
  </si>
  <si>
    <t>Veikla: Teikti spec. transporto paslaugas neįgaliems asmenims. Paslaugų teikėjas - Šakių r. žmonių su negalia sąjunga</t>
  </si>
  <si>
    <t>13.01.03.02.</t>
  </si>
  <si>
    <t>Priemonė. Pritaikyti  būsto aplinką neįgaliesiems.</t>
  </si>
  <si>
    <t>Pritaikytų  būstų   neįgaliesiems skaičius</t>
  </si>
  <si>
    <t>13.01.03.02.01</t>
  </si>
  <si>
    <t>Veikla: Pritaikyti  būsto aplinką neįgaliesiems jų namuose.</t>
  </si>
  <si>
    <t>13.01.03.02</t>
  </si>
  <si>
    <t>Priemonė: Administruoti būsto aplinkos pritaikymą neįgaliesiems</t>
  </si>
  <si>
    <t>Būsto aplinkos pritaikymą neįgaliesiems administruojančių asmenų skaičius</t>
  </si>
  <si>
    <t>13.01.03.02.01.</t>
  </si>
  <si>
    <t>Veikla: Administruoti priemonę "Būsto aplinkos pritaikymas neįgaliesiems"</t>
  </si>
  <si>
    <t>13.01.03.03.</t>
  </si>
  <si>
    <t>Priemonė.Remti tikslines socialinių paslaugų  teikimo žmonėms su negalia programas</t>
  </si>
  <si>
    <t>Tikslinių socialinių paslaugų  teikimo žmonėms su negalia programų skaičius</t>
  </si>
  <si>
    <t>13.01.03.03.01</t>
  </si>
  <si>
    <t>Veikla: Remti NVO organizacijų programas</t>
  </si>
  <si>
    <t>13.01.03.05.</t>
  </si>
  <si>
    <t>Priemonė. Organizuoti asmeninės pagalbos teikimą.</t>
  </si>
  <si>
    <t>Asmeninę pagalbą gavusių asmenų skaičius</t>
  </si>
  <si>
    <t>13.01.03.05.01</t>
  </si>
  <si>
    <t>Veikla: Organizuoti asmeninės pagalbos teikimą pasirašant sutartis (tarp paslaugų teikėjų ir gavėjų).</t>
  </si>
  <si>
    <t>13.01.03.05</t>
  </si>
  <si>
    <t>Priemonė: Administruoti asmeninės pagalbos teikimą.</t>
  </si>
  <si>
    <t>Asmeninę pagalbą administruojančių asmenų skaičius</t>
  </si>
  <si>
    <t>13.01.03.05.02</t>
  </si>
  <si>
    <t>Veikla: Administruoti priemonę "Organizuoti asmeninės pagalbos teikimą"</t>
  </si>
  <si>
    <t>13.01.03.06.</t>
  </si>
  <si>
    <t>Priemonė: Vykdyti neveiksnių asmenų būklės peržiūrėjimą</t>
  </si>
  <si>
    <t>Justė Grumulaitienė</t>
  </si>
  <si>
    <t>Suorganizuotų neveiksnių asmenų būklės peržiūrėjimo komisijos posėdžių skaičius</t>
  </si>
  <si>
    <t>13.01.03.06.01.</t>
  </si>
  <si>
    <t>Veikla: Organizuoti neveiksnių asmenų būklės peržiūrėjimo komisijos posėdžius.</t>
  </si>
  <si>
    <t>13.01.04.</t>
  </si>
  <si>
    <t>Uždavinys. Teikti bendrąsias paslaugas</t>
  </si>
  <si>
    <t>Asmenų, gavusių bendrąsias  paslaugas skaičius</t>
  </si>
  <si>
    <t>2 400,00</t>
  </si>
  <si>
    <t>13.01.04.02.</t>
  </si>
  <si>
    <t>Priemonė: Žmogaus palaikų patologinės anatomijos tyrimams ar teismo ekspertizei vežimo, saugojimo ir laidojimo paslaugos teikimas</t>
  </si>
  <si>
    <t>Jolita Žemaitienė</t>
  </si>
  <si>
    <t>Gavusių paslaugas asmenų skaičius</t>
  </si>
  <si>
    <t>45,00</t>
  </si>
  <si>
    <t>13.01.04.02.01.</t>
  </si>
  <si>
    <t>Veikla: Pervežti ekspertizei atlikti žuvusius ar mirusius asmenis</t>
  </si>
  <si>
    <t>13.02.</t>
  </si>
  <si>
    <t>Tikslas: Socialinių paslaugų aprėpties didinimas.</t>
  </si>
  <si>
    <t>13.02.01.</t>
  </si>
  <si>
    <t>Uždavinys. Socialinių paslaugų rizikos asmenims plėtra</t>
  </si>
  <si>
    <t>Asmenų, gavusių paslaugas, skaičius</t>
  </si>
  <si>
    <t>13.02.01.02.</t>
  </si>
  <si>
    <t>Priemonė. Įgyvendinti projektą ,,Parama maisto produktais ir higienos prekėmis"</t>
  </si>
  <si>
    <t>Rima Valaitienė</t>
  </si>
  <si>
    <t>Asmenų gavusių paramą skaičius</t>
  </si>
  <si>
    <t>3 200,00</t>
  </si>
  <si>
    <t>13.02.01.02.01.</t>
  </si>
  <si>
    <t>Veikla: Teikti paramą maisto produktais ir higienos prekėmis</t>
  </si>
  <si>
    <t>13.02.02.</t>
  </si>
  <si>
    <t>Uždavinys. Socialinės globos ir priežiūros paslaugų plėtra</t>
  </si>
  <si>
    <t>Ūkio ir investicijų skyrius; Socialinės paramos skyrius</t>
  </si>
  <si>
    <t>Asta Jankauskienė; Miglė Kriaučiūnienė</t>
  </si>
  <si>
    <t>Įsteigtų ir veikiančių grupinio gyvenimo namų asmenims su daline protine negalia skaičius</t>
  </si>
  <si>
    <t>Įsteigtų ir veikiančių bendruomeninių vaikų globos namų (BVGN) skaičius</t>
  </si>
  <si>
    <t>13.02.02.02.</t>
  </si>
  <si>
    <t>Priemonė. Įgyvendinti projektą „Bendruomeninių vaikų globos namų ir vaikų dienos centrų tinklo plėtra Šakių rajone“</t>
  </si>
  <si>
    <t>Naujai pastatytų objektų, bendruomeninių vaikų globos namų Šakiuose, skaičius</t>
  </si>
  <si>
    <t>13.02.02.02.05</t>
  </si>
  <si>
    <t>Veikla: Vykdyti bendruomeninių vaikų globos namų statybas, Šakiuose</t>
  </si>
  <si>
    <t>13.02.02.03.</t>
  </si>
  <si>
    <t>Priemonė. Įgyvendinti projektą „Bendruomeninių apgyvendinimo bei užimtumo paslaugų asmenims su proto (arba) psichikos negalia plėtra Šakių rajone“ (V-427)</t>
  </si>
  <si>
    <t>Parengtų techninių projektų skaičius</t>
  </si>
  <si>
    <t>Įsteigtų, socialinių dirbtuvių, skaičius</t>
  </si>
  <si>
    <t>13.02.02.03.01</t>
  </si>
  <si>
    <t>Veikla: Parengti 2 techninius projektus grupinio gyvenimo namų statybai</t>
  </si>
  <si>
    <t>13.02.02.03.02</t>
  </si>
  <si>
    <t>Veikla: Vykdyti grupinio gyvenimo namų statybas,  Šakiuose, Lukšiuose ir Gelgaudiškyje</t>
  </si>
  <si>
    <t>13.02.02.03.03.</t>
  </si>
  <si>
    <t>Veikla: Įsteigti šalia grupinio gyvenimo namų 3 socialines dirbtuves.</t>
  </si>
  <si>
    <t>13.02.04.</t>
  </si>
  <si>
    <t>Uždavinys. Socialinių paslaugų poreikio nustatymo ir teikimo metodikos tobulinimas ir kokybės gerinimo priemonių diegimas.</t>
  </si>
  <si>
    <t>Socialinių paslaugų įstaigų, įdiegusių kokybės gerinimo priemones, skaičius</t>
  </si>
  <si>
    <t>13.02.04.01.</t>
  </si>
  <si>
    <t>Priemonė.Tobulinti socialinių paslaugų poreikio nustatymą.</t>
  </si>
  <si>
    <t>Parengtų priemonių skaičius</t>
  </si>
  <si>
    <t>13.02.04.01.01</t>
  </si>
  <si>
    <t>Veikla: Parengti priemones socialinių paslaugų poreikio nustatymui</t>
  </si>
  <si>
    <t>13.02.05.</t>
  </si>
  <si>
    <t>Uždavinys. Socialinio darbo seniūnijose tobulinimas, socialinio darbuotojo statuso visuomenėje gerinimas.</t>
  </si>
  <si>
    <t>13.02.05.01.</t>
  </si>
  <si>
    <t xml:space="preserve">Priemonė.Socialinių darbuotojų išlaikymas ir kvalifikacijos kėlimas. </t>
  </si>
  <si>
    <t>Daiva  Pilypaitytė; Edita Macevičiūtė-Orentienė</t>
  </si>
  <si>
    <t>Parengtų programų skaičius</t>
  </si>
  <si>
    <t>13.02.05.01.01</t>
  </si>
  <si>
    <t>Veikla: Išlaikyti socialinius darbuotojus</t>
  </si>
  <si>
    <t>13.02.06.</t>
  </si>
  <si>
    <t>Uždavinys. Finansinės pagalbos  rajono  gyventojams teikimas ir didinimas.</t>
  </si>
  <si>
    <t>13.02.06.01.</t>
  </si>
  <si>
    <t>Priemonė: Mokėti socialines pašalpas rajono gyventojams.</t>
  </si>
  <si>
    <t>Aistė Būdvytienė; Jolita Žemaitienė; Ugnė Mikštienė</t>
  </si>
  <si>
    <t>Rajono gyventojų, gavusių socialinę pašalpą, skaičius</t>
  </si>
  <si>
    <t>1 806,00</t>
  </si>
  <si>
    <t>13.02.06.01.01</t>
  </si>
  <si>
    <t>Veikla: Mokėti socialines pašalpas rajono gyventojams.</t>
  </si>
  <si>
    <t>13.02.06.02.</t>
  </si>
  <si>
    <t>Priemonė: Mokėti vienkartines pašalpas rajono gyventojams (susidarius sunkiai mat. padėčiai, ligos atveju, nukentėjus nuo gaisro ir kt.)</t>
  </si>
  <si>
    <t>Rajono gyventojų, gavusių vienkartines tikslines išmokas, skaičius</t>
  </si>
  <si>
    <t>553,00</t>
  </si>
  <si>
    <t>13.02.06.02.01</t>
  </si>
  <si>
    <t>Veikla: Mokėti vienkartines pašalpas rajono gyventojams, stichinių nelaimių, gaisro ir kt. atvejais.</t>
  </si>
  <si>
    <t>13.02.06.02</t>
  </si>
  <si>
    <t>Priemonė: Mokėti vienkartines  pašalpas rajono gyventojams (vienkartinė pašalpa vaikui gimus).</t>
  </si>
  <si>
    <t>Rajono gyventojų, gavusių vienkartinę pašalpą gimus vaikui, skaičius</t>
  </si>
  <si>
    <t>93,00</t>
  </si>
  <si>
    <t>13.02.06.02.01.</t>
  </si>
  <si>
    <t>Veikla: Mokėti vienkartinies pašalpas rajono gyventojams, šeimoje gimus vaikui</t>
  </si>
  <si>
    <t>13.02.06.03.</t>
  </si>
  <si>
    <t>Priemonė: Mokėti vienkartines  pašalpas rajono gyventojams (vienkartinės pašalpos grįžus iš įkalinimo vietų).</t>
  </si>
  <si>
    <t>Rajono gyventojų, gavusių vienkartinę pašalpą grįžus iš įkalinimo įstaigos, skaičius</t>
  </si>
  <si>
    <t>13.02.06.03.01.</t>
  </si>
  <si>
    <t>Veikla: Mokėti vienkartines pašalpas rajono gyventojams, kurie grįžo iš įkalinimo įstaigos</t>
  </si>
  <si>
    <t>13.02.06.04.</t>
  </si>
  <si>
    <t>Priemonė: Teikti transporto išlaidų 50 proc. kompensacijas.</t>
  </si>
  <si>
    <t>Kompensacijų skaičius (50 proc.)</t>
  </si>
  <si>
    <t>18 420,00</t>
  </si>
  <si>
    <t>13.02.06.04.01</t>
  </si>
  <si>
    <t>Veikla: Teikti transporto išlaidų dalies kompensavimą 50 proc. neįgaliems asmenims</t>
  </si>
  <si>
    <t>13.02.06.04</t>
  </si>
  <si>
    <t>Priemonė: Teikti transporto išlaidų 80 proc. kompensacijas.</t>
  </si>
  <si>
    <t>Kompensacijų skaičius (80 proc.)</t>
  </si>
  <si>
    <t>6 120,00</t>
  </si>
  <si>
    <t>13.02.06.04.01.</t>
  </si>
  <si>
    <t>Veikla: Teikti transporto išlaidų dalies kompensavimą 80 proc. neįgaliems asmenims</t>
  </si>
  <si>
    <t>13.02.06.05.</t>
  </si>
  <si>
    <t>Priemonė: Socialinės paramos programa mokiniams (Administracija).</t>
  </si>
  <si>
    <t>Sintautų akademija; Gelgaudiškio pagrindinė mokykla; Griškabūdžio gimnazija; Kidulių pagrindinė mokykla; Lukšių Vinco Grybo gimnazija; Gelgaudiškio ,,Šaltinio” specialiojo ugdymo centras; Šakių „Žiburio” gimnazija; Kudirkos Naumiesčio Vinco Kudirkos gimnazija; Panemunių mokykla-daugiafunkcis centras; Šakių ikimokyklinio ugdymo mokykla "Maži žingsneliai"</t>
  </si>
  <si>
    <t>Nemokamą maitinimą gavusių mokinių skaičius (Administracija)</t>
  </si>
  <si>
    <t>1 160,00</t>
  </si>
  <si>
    <t>Nemokamų mokymo reikmenų gavusių mokinių skaičius (Administracija)</t>
  </si>
  <si>
    <t>760,00</t>
  </si>
  <si>
    <t>13.02.06.05.01.</t>
  </si>
  <si>
    <t>Veikla: Suteikti nemokamą mokymo reikmenų ir nemokamą maitinimą vaikams vykdant Socialinę paramos programą mokiniams (Administracija).</t>
  </si>
  <si>
    <t>13.02.06.05</t>
  </si>
  <si>
    <t>Priemonė: Socialinės paramos programa mokiniams (Marijampolės PRC).</t>
  </si>
  <si>
    <t>Nemokamą maitinimą gavusių mokinių skaičius (Marijampolės PRC)</t>
  </si>
  <si>
    <t>Nemokamų mokymo reikmenų gavusių mokinių skaičius (Marijampolės PRC)</t>
  </si>
  <si>
    <t>13.02.06.05.01</t>
  </si>
  <si>
    <t>Veikla: Suteikti nemokamą mokymo reikmenų ir nemokamą maitinimą mokiniams vykdant Socialinę paramos programą mokiniams (Marijampolės PRC).</t>
  </si>
  <si>
    <t>13.02.06.06.</t>
  </si>
  <si>
    <t>Priemonė: Skirti paramą mirties atveju (laidojimo pašalpų mokėjimas)</t>
  </si>
  <si>
    <t>Išmokėtų laidojimo pašalpų skaičius</t>
  </si>
  <si>
    <t>478,00</t>
  </si>
  <si>
    <t>13.02.06.06.01.</t>
  </si>
  <si>
    <t>Veikla: Išmokėti laidojimo pašalpas (paramą mirties atveju)</t>
  </si>
  <si>
    <t>13.02.06.06.01</t>
  </si>
  <si>
    <t>Veikla: Išmokėti laidojimo (parama užsienyje mirusių (žuvusių) palaikams parvežti)</t>
  </si>
  <si>
    <t>13.02.06.09.</t>
  </si>
  <si>
    <t>Priemonė: Mokėti būsto išlaidų  kompensacijas  rajono gyventojams  už šildymą (UAB).</t>
  </si>
  <si>
    <t>Rajono gyventojų, gavusių kompensacijas už šildymą, skaičius</t>
  </si>
  <si>
    <t>887,00</t>
  </si>
  <si>
    <t>13.02.06.09.01.</t>
  </si>
  <si>
    <t>Veikla: Mokėti būsto išlaidų kompensacijas rajono gyventojams už šildymą</t>
  </si>
  <si>
    <t>13.02.06.10.</t>
  </si>
  <si>
    <t>Priemonė: Mokėti būsto išlaidų  kompensacijas  rajono gyventojams už geriamąjį vandenį.</t>
  </si>
  <si>
    <t>Rajono gyventojų, gavusių kompensacijas už geriamąjį vandenį, skaičius</t>
  </si>
  <si>
    <t>747,00</t>
  </si>
  <si>
    <t>13.02.06.10.01.</t>
  </si>
  <si>
    <t>Veikla:  Mokėti būsto išlaidų kompensacijas rajono gyventojams už geriamąjį vandenį</t>
  </si>
  <si>
    <t>13.02.06.11.</t>
  </si>
  <si>
    <t>Priemonė: Mokėti būsto išlaidų kompensacijas rajono gyventojams už karštą vandenį.</t>
  </si>
  <si>
    <t>Rajono gyventojų, gavusių kompensacijas už karštą vandenį, skaičius</t>
  </si>
  <si>
    <t>300,00</t>
  </si>
  <si>
    <t>13.02.06.11.01.</t>
  </si>
  <si>
    <t>Veikla: Mokėti išlaidų kompensacijas rajono gyventojams už karštą vandenį</t>
  </si>
  <si>
    <t>13.02.06.12.</t>
  </si>
  <si>
    <t>Priemonė: Mokėti būsto išlaidų kompensacijas rajono gyventojams už kreditus ir palūkanas asmenims, turintiems teisę į būsto išlaidų kompensaciją.</t>
  </si>
  <si>
    <t>Ugnė Mikštienė</t>
  </si>
  <si>
    <t>Rajono gyventojų, gavusių kompensacijas už kreditus ir palūkanas asmenims, turintiems teisę į būsto šildymo išlaidų kompensaciją, skaičius</t>
  </si>
  <si>
    <t>176,00</t>
  </si>
  <si>
    <t>13.02.06.12.01.</t>
  </si>
  <si>
    <t>Veikla: Mokėti būsto išlaidų kompensacijas rajono gyventojams už kreditus ir palūkanas asmenims, turintiems teisę į būsto išlaidų kompensaciją.</t>
  </si>
  <si>
    <t>13.02.06.13.</t>
  </si>
  <si>
    <t>Priemonė: Mokėti būsto išlaidų kompensacijas rajono gyventojams už šildymą kitu kuru.</t>
  </si>
  <si>
    <t>Rajono gyventojų, gavusių kompensacijas už šildymą kitu kuru, skaičius</t>
  </si>
  <si>
    <t>2 100,00</t>
  </si>
  <si>
    <t>13.02.06.13.01.</t>
  </si>
  <si>
    <t>Veikla: Mokėti šildymo kompensacijas (kitu kuru) rajono gyventojams.</t>
  </si>
  <si>
    <t>13.02.06.14.</t>
  </si>
  <si>
    <t>Priemonė: Mokėti vienkartines išmokas vaikui</t>
  </si>
  <si>
    <t>Rajono gyventojų, gavusių vienkartines išmokas vaikui, skaičius</t>
  </si>
  <si>
    <t>13.02.06.14.01.</t>
  </si>
  <si>
    <t>Veikla: Išmokėti rajono gyventojams skirtas vienkartines išmokas vaikams</t>
  </si>
  <si>
    <t>13.02.06.15.</t>
  </si>
  <si>
    <t>Priemonė: Skirti ir mokėti išmokas vaikui</t>
  </si>
  <si>
    <t>Rajono gyventojų, gavusių išmokas vaikui, skaičius</t>
  </si>
  <si>
    <t>4 742,00</t>
  </si>
  <si>
    <t>13.02.06.15.01.</t>
  </si>
  <si>
    <t>Veikla: Išmokėti rajono gyventojams skirtas išmokas vaikams</t>
  </si>
  <si>
    <t>13.02.06.16.</t>
  </si>
  <si>
    <t>Priemonė: Mokėti išmokas gimus vienu metu daugiau kaip vienam vaikui</t>
  </si>
  <si>
    <t>Rajono gyventojų, gavusių išmokas gimus vienu metu daugiau kaip vienam vaikui, skaičius</t>
  </si>
  <si>
    <t>13.02.06.16.01.</t>
  </si>
  <si>
    <t>Veikla: Išmokėti rajono gyventojams skirtas išmokas gimus vienu metu daugiau kaip vienam vaikui</t>
  </si>
  <si>
    <t>13.02.06.17.</t>
  </si>
  <si>
    <t>Priemonė: Mokėti išmokas privalomosios pradinės karo tarnybos kario vaikui</t>
  </si>
  <si>
    <t>Rajono gyventojų, gavusių išmokas privalomosios pradinės karo tarnybos kario vaikui, skaičius</t>
  </si>
  <si>
    <t>13.02.06.17.01.</t>
  </si>
  <si>
    <t>Veikla: Išmokėti rajono gyventojams skirtas išmokas privalomosios pradinės karo tarnybos karo vaikui</t>
  </si>
  <si>
    <t>13.02.06.18.</t>
  </si>
  <si>
    <t>Priemonė: Mokėti išmokas besimokančio ar studijuojančio asmens vaiko priežiūrai</t>
  </si>
  <si>
    <t>Rajono gyventojų, gavusių išmokas besimokančio ar studijuojančio asmens vaiko priežiūrai, skaičius</t>
  </si>
  <si>
    <t>13.02.06.18.01.</t>
  </si>
  <si>
    <t>Veikla: Išmokėti rajono gyventojams skirtas išmokas besimokančio ar studijuojančio asmens vaiko priežiūrai</t>
  </si>
  <si>
    <t>13.02.06.19.</t>
  </si>
  <si>
    <t>Priemonė: Mokėti vienkartines išmokas nėščiai moteriai</t>
  </si>
  <si>
    <t>Rajono gyventojų, gavusių vienkartines išmokas nėščiai moteriai, skaičius</t>
  </si>
  <si>
    <t>13.02.06.19.01.</t>
  </si>
  <si>
    <t>Veikla: Išmokėti rajono gyventojoms skirtas vienkartines išmokas nėščiai moteriai</t>
  </si>
  <si>
    <t>13.02.06.20.</t>
  </si>
  <si>
    <t>Priemonė: Mokėti globos (rūpybos) išmokas</t>
  </si>
  <si>
    <t>Rajono gyventojų, gavusių globos (rūpybos) išmokas, skaičius</t>
  </si>
  <si>
    <t>113,00</t>
  </si>
  <si>
    <t>13.02.06.20.01.</t>
  </si>
  <si>
    <t>Veikla: Išmokėti rajono gyventojams skirtas globos (rūpybos) išmokas</t>
  </si>
  <si>
    <t>13.02.06.21.</t>
  </si>
  <si>
    <t>Priemonė: Mokėti globos  (rūpybos) išmokos tikslinius priedus</t>
  </si>
  <si>
    <t>Rajono gyventojų, gavusių globos (rūpybos) išmokos tikslinius priedus, skaičius</t>
  </si>
  <si>
    <t>13.02.06.21.01.</t>
  </si>
  <si>
    <t>Veikla: Išmokėti rajono gyventojams skirtus globos (rūpybos) tikslinius priedus</t>
  </si>
  <si>
    <t>13.02.06.22.</t>
  </si>
  <si>
    <t>Priemonė: Mokėti vaiko laikinosios priežiūros  išmokas</t>
  </si>
  <si>
    <t>Rajono gyventojų, gavusių vaiko laikinosios priežiūros išmokas, skaičius</t>
  </si>
  <si>
    <t>26,00</t>
  </si>
  <si>
    <t>13.02.06.22.01.</t>
  </si>
  <si>
    <t>Veikla: Išmokėti rajono gyventojams skirtas vaiko laikinosios  priežiūros išmokas</t>
  </si>
  <si>
    <t>13.02.06.23.</t>
  </si>
  <si>
    <t>Priemonė: Mokėti vienkartines išmokas įsikurti</t>
  </si>
  <si>
    <t>Rajono gyventojų, gavusių vienkartines išmokas įsikurti, skaičius</t>
  </si>
  <si>
    <t>13.02.06.23.01.</t>
  </si>
  <si>
    <t>Veikla: Išmokėti rajono gyventojams skirtas vienkartines išmokas įsikurti</t>
  </si>
  <si>
    <t>13.02.06.24.</t>
  </si>
  <si>
    <t>Priemonė: Mokėti išmokas įvaikinus vaiką</t>
  </si>
  <si>
    <t>Rajono gyventojų, gavusių išmokas įvaikinus vaiką, skaičius</t>
  </si>
  <si>
    <t>13.02.06.24.01.</t>
  </si>
  <si>
    <t>Veikla: Išmokėti rajono gyventojams skirtas išmokas įvaikinus vaiką</t>
  </si>
  <si>
    <t>13.02.06.25.</t>
  </si>
  <si>
    <t>Priemonė: Skirti ir mokėti slaugos išlaidų tikslinę kompensaciją</t>
  </si>
  <si>
    <t>Rajono gyventojų, gavusių slaugos išlaidų tikslinę kompensaciją, skaičius</t>
  </si>
  <si>
    <t>618,00</t>
  </si>
  <si>
    <t>13.02.06.25.01.</t>
  </si>
  <si>
    <t>Veikla: Išmokėti rajono gyventojams tikslines kompensacijas (slaugos)</t>
  </si>
  <si>
    <t>13.02.06.26.</t>
  </si>
  <si>
    <t>Priemonė: Skirti ir mokėti  priežiūros (pagalbos) išlaidų tikslines kompensaciją</t>
  </si>
  <si>
    <t>Rajono gyventojų, gavusių priežiūros (pagalbos) išlaidų tikslinę kompensaciją, skaičius</t>
  </si>
  <si>
    <t>882,00</t>
  </si>
  <si>
    <t>13.02.06.26.01.</t>
  </si>
  <si>
    <t>Veikla: Išmokėti rajono gyventojams tikslines kompensacijas (pagalbos)</t>
  </si>
  <si>
    <t>13.02.06.27.</t>
  </si>
  <si>
    <t>Priemonė: Administruoti tikslines kompensacijas</t>
  </si>
  <si>
    <t>Išmokas administruojančių asmenų skaičius</t>
  </si>
  <si>
    <t>13.02.06.27.01.</t>
  </si>
  <si>
    <t>Veikla: Administruoti tikslines kompensacijas</t>
  </si>
  <si>
    <t>13.02.06.28.</t>
  </si>
  <si>
    <t>Priemonė: Administruoti išmokas vaikams</t>
  </si>
  <si>
    <t>13.02.06.28.01.</t>
  </si>
  <si>
    <t>Veikla: Administruoti išmokas vaikams</t>
  </si>
  <si>
    <t>13.02.06.31.</t>
  </si>
  <si>
    <t>Priemonė: Užtikrinti finansinės pagalbos teikimą Barzdų seniūnijos gyventojams (išmokos mokėjimams ir kt.)</t>
  </si>
  <si>
    <t>Išmokėtų pašalpų seniūnijos seniūno skyrimu skaičius</t>
  </si>
  <si>
    <t>13.02.06.31.01.</t>
  </si>
  <si>
    <t>Veikla: Vienkartinių pašalpų mokėjimas seniūnijos gyventojams</t>
  </si>
  <si>
    <t>13.02.06.32.</t>
  </si>
  <si>
    <t>Priemonė: Užtikrinti finansinės pagalbos teikimą Gelgaudiškio seniūnijos gyventojams (išmokos mokėjimams ir kt.)</t>
  </si>
  <si>
    <t>13.02.06.32.01.</t>
  </si>
  <si>
    <t>13.02.06.33.</t>
  </si>
  <si>
    <t>Priemonė: Užtikrinti finansinės pagalbos teikimą Griškabūdžio seniūnijos gyventojams (išmokos mokėjimams ir kt.)</t>
  </si>
  <si>
    <t>13.02.06.33.01.</t>
  </si>
  <si>
    <t>13.02.06.34.</t>
  </si>
  <si>
    <t>Priemonė: Užtikrinti finansinės pagalbos teikimą Kidulių seniūnijos gyventojams (išmokos mokėjimams ir kt.)</t>
  </si>
  <si>
    <t>13.02.06.34.01.</t>
  </si>
  <si>
    <t>13.02.06.35.</t>
  </si>
  <si>
    <t>Priemonė: Užtikrinti finansinės pagalbos teikimą Kriūkų seniūnijos gyventojams (išmokos mokėjimams ir kt.)</t>
  </si>
  <si>
    <t>13.02.06.35.01.</t>
  </si>
  <si>
    <t>13.02.06.36.</t>
  </si>
  <si>
    <t>Priemonė: Užtikrinti finansinės pagalbos teikimą  Kudirkos Naumiesčio seniūnijos gyventojams (išmokos mokėjimams ir kt.)</t>
  </si>
  <si>
    <t>13.02.06.36.01.</t>
  </si>
  <si>
    <t>13.02.06.37.</t>
  </si>
  <si>
    <t>Priemonė: Užtikrinti finansinės pagalbos teikimą Lekėčių seniūnijos gyventojams (išmokos mokėjimams ir kt.)</t>
  </si>
  <si>
    <t>13.02.06.37.01.</t>
  </si>
  <si>
    <t>13.02.06.38.</t>
  </si>
  <si>
    <t>Priemonė: Užtikrinti finansinės pagalbos teikimą Lukšių seniūnijos gyventojams (išmokos mokėjimams ir kt.)</t>
  </si>
  <si>
    <t>13.02.06.38.01.</t>
  </si>
  <si>
    <t>13.02.06.39.</t>
  </si>
  <si>
    <t>Priemonė: Užtikrinti finansinės pagalbos teikimą Plokščių seniūnijos gyventojams (išmokos mokėjimams ir kt.)</t>
  </si>
  <si>
    <t>13.02.06.39.01.</t>
  </si>
  <si>
    <t>13.02.06.40.</t>
  </si>
  <si>
    <t>Priemonė: Užtikrinti finansinės pagalbos teikimą Sintautų seniūnijos gyventojams (išmokos mokėjimams ir kt.)</t>
  </si>
  <si>
    <t>13.02.06.40.01.</t>
  </si>
  <si>
    <t>13.02.06.41.</t>
  </si>
  <si>
    <t>Priemonė: Užtikrinti finansinės pagalbos teikimą Slavikų seniūnijos gyventojams (išmokos mokėjimams ir kt.)</t>
  </si>
  <si>
    <t>13.02.06.41.01.</t>
  </si>
  <si>
    <t>13.02.06.42.</t>
  </si>
  <si>
    <t>Priemonė:  Užtikrinti finansinės pagalbos teikimą Sudargo seniūnijos gyventojams (išmokos mokėjimams ir kt.)</t>
  </si>
  <si>
    <t>13.02.06.42.01.</t>
  </si>
  <si>
    <t>13.02.06.43.</t>
  </si>
  <si>
    <t>Priemonė: Užtikrinti finansinės pagalbos teikimą Šakių seniūnijos gyventojams (išmokos mokėjimams ir kt.)</t>
  </si>
  <si>
    <t>13.02.06.43.01.</t>
  </si>
  <si>
    <t>13.02.06.44.</t>
  </si>
  <si>
    <t>Priemonė: Užtikrinti finansinės pagalbos teikimą Žvirgždaičių seniūnijos gyventojams (išmokos mokėjimams ir kt.)</t>
  </si>
  <si>
    <t>13.02.06.44.01.</t>
  </si>
  <si>
    <t>13.02.08.</t>
  </si>
  <si>
    <t>Uždavinys. Universalaus dizaino aplinkos pritaikymas</t>
  </si>
  <si>
    <t>Pritaikytų objektų skaičius</t>
  </si>
  <si>
    <t>13.02.08.01.</t>
  </si>
  <si>
    <t>Priemonė: Viešosios aplinkos pritaikymas neįgaliųjų poreikiams</t>
  </si>
  <si>
    <t>Pritaikytų visuomeninės paskirties objektų skaičius</t>
  </si>
  <si>
    <t>13.02.08.01.01</t>
  </si>
  <si>
    <t>Veikla: Sudaryti sąlygas neįgaliesiems patekti į viešąsias įstaigas.</t>
  </si>
  <si>
    <t>13.02.09.</t>
  </si>
  <si>
    <t>Uždavinys. Šakių rajono socialinio būsto fondo plėtra</t>
  </si>
  <si>
    <t>Rinkoje, išsinuomotų būstų, iš fizinių ir juridinių asmenų, skaičius</t>
  </si>
  <si>
    <t>13.02.09.01.</t>
  </si>
  <si>
    <t>Priemonė.Suteikti socialinio būsto paslaugas rajono gyventojams.</t>
  </si>
  <si>
    <t>Asmenų, gavusių socialinį būstą, skaičius</t>
  </si>
  <si>
    <t>13.02.09.01.01</t>
  </si>
  <si>
    <t>Veikla: Teikti rajono gyventojams socialinio būsto paslaugas</t>
  </si>
  <si>
    <t>13.02.09.02.</t>
  </si>
  <si>
    <t>Priemonė. Socialinio būsto remontas (Administracija).</t>
  </si>
  <si>
    <t>Suremontuotų socialinių būstų, skaičius</t>
  </si>
  <si>
    <t>13.02.09.02.01</t>
  </si>
  <si>
    <t>Veikla: Remontuoti rajono savivaldybės administracijos administruojamus socialinius būstus</t>
  </si>
  <si>
    <t>13.02.09.03.</t>
  </si>
  <si>
    <t>Priemonė: Socialinio būsto remontas Šakių seniūnijoje</t>
  </si>
  <si>
    <t>13.02.09.03.01.</t>
  </si>
  <si>
    <t>Veikla: Iš dalies suremontuoti socialinius ir savivaldybei priklausančius būstus</t>
  </si>
  <si>
    <t>13.02.09.04.</t>
  </si>
  <si>
    <t>Priemonė: Socialinio būsto remontas Gelgaudiškio seniūnijoje</t>
  </si>
  <si>
    <t>13.02.09.04.01.</t>
  </si>
  <si>
    <t>13.02.09.05.</t>
  </si>
  <si>
    <t>Priemonė: Socialinės paskirties patalpų remontas Griškabūdžio seniūnijoje</t>
  </si>
  <si>
    <t>Suremontuotų socialinės paskirties patalpų, skaičius</t>
  </si>
  <si>
    <t>13.02.09.05.01.</t>
  </si>
  <si>
    <t>13.02.09.06.</t>
  </si>
  <si>
    <t>Priemonė: Socialinio būsto remontas Kidulių seniūnijoje</t>
  </si>
  <si>
    <t>13.02.09.06.01.</t>
  </si>
  <si>
    <t>13.02.09.07.</t>
  </si>
  <si>
    <t>Priemonė: Socialinio būsto remontas Kriūkų seniūnijoje</t>
  </si>
  <si>
    <t>13.02.09.07.01.</t>
  </si>
  <si>
    <t>13.02.09.08.</t>
  </si>
  <si>
    <t>Priemonė: Socialinio būsto remontas Kudirkos Naumiesčio seniūnijoje</t>
  </si>
  <si>
    <t>13.02.09.08.01.</t>
  </si>
  <si>
    <t>13.02.09.09.</t>
  </si>
  <si>
    <t>Priemonė: Socialinio būsto remontas Lekėčių seniūnijoje</t>
  </si>
  <si>
    <t>13.02.09.09.01.</t>
  </si>
  <si>
    <t>13.02.09.10.</t>
  </si>
  <si>
    <t>Priemonė: Socialinio būsto remontas Lukšių seniūnijoje</t>
  </si>
  <si>
    <t>13.02.09.10.01.</t>
  </si>
  <si>
    <t>13.02.09.11.</t>
  </si>
  <si>
    <t>Priemonė: Socialinio būsto remontas Plokščių seniūnijoje</t>
  </si>
  <si>
    <t>13.02.09.11.01.</t>
  </si>
  <si>
    <t>13.02.09.12.</t>
  </si>
  <si>
    <t>Priemonė: Socialinio būsto remontas Sintautų seniūnijoje</t>
  </si>
  <si>
    <t>13.02.09.12.01.</t>
  </si>
  <si>
    <t>13.02.09.13</t>
  </si>
  <si>
    <t>Priemonė. Būstų nuoma iš fizinių ir juridinių asmenų.</t>
  </si>
  <si>
    <t>Rinkoje išsinuomotų būstų iš fizinių ir juridinių asmenų, skaičius</t>
  </si>
  <si>
    <t>13.02.09.13.01.</t>
  </si>
  <si>
    <t>Veikla: Išsinuomoti būstus, esančius rinkoje, iš fizinių ir juridinių asmenų</t>
  </si>
  <si>
    <t>13.03.</t>
  </si>
  <si>
    <t>Tikslas: Saugumą užtikrinančių priemonių diegimas</t>
  </si>
  <si>
    <t>Šakių rajono savivaldybės priešgaisrinė tarnyba</t>
  </si>
  <si>
    <t>Daiva  Pilypaitytė; Gintautas Vedegys</t>
  </si>
  <si>
    <t>Įdiegtų saugumo priemonių užtikrinimas</t>
  </si>
  <si>
    <t>87,00</t>
  </si>
  <si>
    <t>13.03.01.</t>
  </si>
  <si>
    <t>Uždavinys. Užtikrinti viešojo saugumo paslaugas priešgaisrinės saugos srityje</t>
  </si>
  <si>
    <t>Gintautas Vedegys</t>
  </si>
  <si>
    <t>Atnaujintų gaisrinių automobilių skaičius</t>
  </si>
  <si>
    <t>13.03.01.01.</t>
  </si>
  <si>
    <t>Priemonė.Atnaujinti gaisrinius automobilius.</t>
  </si>
  <si>
    <t>13.03.01.01.01</t>
  </si>
  <si>
    <t>Veikla: Atnaujinti gaisrinius automobilius.</t>
  </si>
  <si>
    <t>13.03.02.</t>
  </si>
  <si>
    <t>Uždavinys. Užtikrinti priešgaisrinių gelbėjimo pajėgų atliekamų gaisrų gesinimo ir kitų gelbėjimo darbų paslaugų teikimą</t>
  </si>
  <si>
    <t>Išlaikomų ugniagesių komandų skaičius</t>
  </si>
  <si>
    <t>13.03.02.02.</t>
  </si>
  <si>
    <t>Priemonė. Užtikrinti gaisrų gesinimo ir gelbėjimo darbuose teikiamas paslaugas</t>
  </si>
  <si>
    <t>13.03.02.02.01</t>
  </si>
  <si>
    <t>Veikla: Išlaikyti ugniagesių komandas rajono savivaldybėje</t>
  </si>
  <si>
    <t>13.03.03.</t>
  </si>
  <si>
    <t>Uždavinys. Įgyvendinti priemones, skirtas socialiai remtiniems asmenims</t>
  </si>
  <si>
    <t>Įvykdytų priemonių, prižiūrint dūmtraukius  ir aprūpinant dūmų detektoriais, skaičius</t>
  </si>
  <si>
    <t>125,00</t>
  </si>
  <si>
    <t>13.03.03.01.</t>
  </si>
  <si>
    <t>Priemonė.Aprūpinti socialiai remtinus asmenis dūmų detektoriais.</t>
  </si>
  <si>
    <t>Aprūpinti socialiai remtinus asmenis dūmų detektoriais</t>
  </si>
  <si>
    <t>13.03.03.01.01</t>
  </si>
  <si>
    <t>Veikla: Sumontuoti dūmų detektorius socialiai remtiniems asmenmis.</t>
  </si>
  <si>
    <t>13.03.04.</t>
  </si>
  <si>
    <t>Uždavinys. Įgyvendinti prevencines programas</t>
  </si>
  <si>
    <t>Įgyvendinti prevencinių programų skaičius</t>
  </si>
  <si>
    <t>13.03.04.01.</t>
  </si>
  <si>
    <t>Priemonė: Plėtoti psichikos sveikatos stiprinimo, psichosocialinės pagalbos ir savižudybių prevencijos intervencijas</t>
  </si>
  <si>
    <t>Šakių rajono savivaldybės visuomenės sveikatos biuras</t>
  </si>
  <si>
    <t>Įgyvendinamų savižudybių prevencijos programų skaičius</t>
  </si>
  <si>
    <t>13.03.04.01.01</t>
  </si>
  <si>
    <t>Veikla: Įgyvendinti savižudybių prevencijos programą</t>
  </si>
  <si>
    <t>13.03.04.02.</t>
  </si>
  <si>
    <t>Priemonė. Vykdyti kovos su prekyba žmonėmis programą</t>
  </si>
  <si>
    <t>Įgyvendinamų kovos su prekyba žmonėmis programų skaičius</t>
  </si>
  <si>
    <t>13.03.04.02.01</t>
  </si>
  <si>
    <t>Veikla: Įgyvendinti kovos su prekyba žmonėmis programą</t>
  </si>
  <si>
    <t>13.03.04.05.</t>
  </si>
  <si>
    <t>Priemonė: „Smurto artimoje aplinkoje prevencija“</t>
  </si>
  <si>
    <t>Įgyvendinamų kovos su smurtu programų skaičius</t>
  </si>
  <si>
    <t>13.03.04.05.01.</t>
  </si>
  <si>
    <t>Veikla: Vykdyti kovos su prekyba žmonėmis programą</t>
  </si>
  <si>
    <t>13.03.04.06.</t>
  </si>
  <si>
    <t>Priemonė. Finansuoti policijos rėmėjų priemonių įsigijimą vykdant prevencines programas</t>
  </si>
  <si>
    <t>Įsigytų aprangos kompektų policijos rėmėjams skaičius</t>
  </si>
  <si>
    <t>13.03.04.06.01</t>
  </si>
  <si>
    <t>Veikla: Įsigyti aprangos kompektus policijos rėmėjams</t>
  </si>
  <si>
    <t>13.04.</t>
  </si>
  <si>
    <t>13.04.01.</t>
  </si>
  <si>
    <t>Uždavinys. Skatinti sveiką gyvenseną ir vykdyti ligų prevenciją</t>
  </si>
  <si>
    <t>Sveikatinimo renginių skaičius</t>
  </si>
  <si>
    <t>13.04.01.01.</t>
  </si>
  <si>
    <t>Priemonė: Vykdyti ligų prevenciją per visuomenės sveikatos aplinkos monitoringą</t>
  </si>
  <si>
    <t>Monitoringų skaičius</t>
  </si>
  <si>
    <t>13.04.01.01.01</t>
  </si>
  <si>
    <t>Veikla: Atlikti maudyklų vandens kokybės stebėseną: rajono maudyklų vandens kokybės ir paplūdimių dirvožemio tyrimai</t>
  </si>
  <si>
    <t>13.05.</t>
  </si>
  <si>
    <t>Tikslas: Kokybiškas sveikatos priežiūros prieinamumas ir užtikrinimas.</t>
  </si>
  <si>
    <t>Visuomenės pasitenkinimas sveikatos apsaugos sistemos teikiamomis paslaugomis</t>
  </si>
  <si>
    <t>13.05.01.</t>
  </si>
  <si>
    <t>Uždavinys. Atnaujinti sveikatos priežiūros paslaugas teikiančių savivaldybės įstaigų infrastruktūrą</t>
  </si>
  <si>
    <t>Rekonstruotų ar suremontuotų pastatų/ patalpų plotas (m2)</t>
  </si>
  <si>
    <t>808,00</t>
  </si>
  <si>
    <t>13.05.01.01.</t>
  </si>
  <si>
    <t>Priemonė: Užtikrinti kokybišką sveikatos priežiūros paslaugų prieinamumą</t>
  </si>
  <si>
    <t>Šakių pirminės asmens sveikatos priežiūros centras; Šakių ligoninė; Kudirkos Naumiesčio pirminės sveikatos priežiūros centras; Lekėčių ambulatorija; Kidulių ambulatorija</t>
  </si>
  <si>
    <t>Rekonstruotų ar suremontuotų pastatų/ patalpų sveikatos priežiūros įstaigų plotas (m2)</t>
  </si>
  <si>
    <t>m2</t>
  </si>
  <si>
    <t>Sutvarkytų sveikatos įstaigų teritorijų plotas (m2)</t>
  </si>
  <si>
    <t>Įdiegtų elektroninių paslaugų apimtis įstaigose</t>
  </si>
  <si>
    <t>Įsidiegusių sveikatos priežiūros įstaigų kokybės gerinimo priemonių, skaičius</t>
  </si>
  <si>
    <t>Mokymuose dalyvavusių gydytojų ir slaugytojų skaičius</t>
  </si>
  <si>
    <t>Parengtų ir pritrauktų finansuojamų specialistų skaičius</t>
  </si>
  <si>
    <t>13.05.01.01.01</t>
  </si>
  <si>
    <t>Veikla: Užtikrinti prieinamumą sveikatos priežiūros paslaugų</t>
  </si>
  <si>
    <t>13.06.</t>
  </si>
  <si>
    <t>Tikslas: Gyventojų užimtumo didinimas.</t>
  </si>
  <si>
    <t>Užimtumo programoje įdarbintų asmenų skaičius</t>
  </si>
  <si>
    <t>13.06.01.</t>
  </si>
  <si>
    <t>Uždavinys. Organizuoti užimtumo didinimo programą</t>
  </si>
  <si>
    <t>Įdarbintų asmenų skaičius</t>
  </si>
  <si>
    <t>13.06.01.01.</t>
  </si>
  <si>
    <t>Priemonė. Įgyvendinti užimtumo didinimo programą.</t>
  </si>
  <si>
    <t>13.06.01.01.01.</t>
  </si>
  <si>
    <t>Veikla: Įgyvendinti užimtumo programą</t>
  </si>
  <si>
    <t>13.06.01.02.</t>
  </si>
  <si>
    <t>Priemonė. Įgyvendinti užimtumo skatinimo ir motyvavimo paslaugų modelį</t>
  </si>
  <si>
    <t>Paslaugas gaunančių, per diegiamą modelį nedirbančių ir socialinių paramą gaunančių, asmenų skaičius</t>
  </si>
  <si>
    <t>13.06.01.02.01</t>
  </si>
  <si>
    <t>Veikla: Įgyvendinti užimtumo skatinimo ir motyvavimo paslaugų modelį įtraukiant ilgalaikius bedarbius į darbo rinką.</t>
  </si>
  <si>
    <t>13.06.01.03.</t>
  </si>
  <si>
    <t>Priemonė:  Įgyvendinti užimtumo didinimo programą Barzdų seniūnijoje</t>
  </si>
  <si>
    <t>13.06.01.03.01.</t>
  </si>
  <si>
    <t>Veikla: Įdarbinti seniūnijos gyventojus per užimtumo didinimo programą</t>
  </si>
  <si>
    <t>13.06.01.04.</t>
  </si>
  <si>
    <t>Priemonė: Įgyvendinti užimtumo didinimo programą Gelgaudiškio seniūnijoje</t>
  </si>
  <si>
    <t>13.06.01.04.01.</t>
  </si>
  <si>
    <t>13.06.01.05.</t>
  </si>
  <si>
    <t>Priemonė: Įgyvendinti užimtumo didinimo programą Griškabūdžio seniūnijoje</t>
  </si>
  <si>
    <t>13.06.01.05.01.</t>
  </si>
  <si>
    <t>13.06.01.06.</t>
  </si>
  <si>
    <t>Priemonė: Įgyvendinti užimtumo didinimo programą Kidulių seniūnijoje</t>
  </si>
  <si>
    <t>13.06.01.06.01.</t>
  </si>
  <si>
    <t>13.06.01.07.</t>
  </si>
  <si>
    <t>Priemonė: Įgyvendinti užimtumo didinimo programą Kriūkų seniūnijoje</t>
  </si>
  <si>
    <t>13.06.01.07.01.</t>
  </si>
  <si>
    <t>13.06.01.08.</t>
  </si>
  <si>
    <t>Priemonė: Įgyvendinti užimtumo didinimo programą Kudirkos Naumiesčio seniūnijoje</t>
  </si>
  <si>
    <t>13.06.01.08.01.</t>
  </si>
  <si>
    <t>13.06.01.09.</t>
  </si>
  <si>
    <t>Priemonė: Įgyvendinti užimtumo didinimo programą Lekėčių seniūnijoje</t>
  </si>
  <si>
    <t>13.06.01.09.01.</t>
  </si>
  <si>
    <t>13.06.01.10.</t>
  </si>
  <si>
    <t>Priemonė: Įgyvendinti užimtumo didinimo programą Lukšių seniūnijoje</t>
  </si>
  <si>
    <t>13.06.01.10.01.</t>
  </si>
  <si>
    <t>13.06.01.11.</t>
  </si>
  <si>
    <t>Priemonė: Įgyvendinti užimtumo didinimo programą Plokščių seniūnijoje</t>
  </si>
  <si>
    <t>13.06.01.11.01.</t>
  </si>
  <si>
    <t>13.06.01.12.</t>
  </si>
  <si>
    <t>Priemonė: Įgyvendinti užimtumo didinimo programą Sintautų seniūnijoje</t>
  </si>
  <si>
    <t>13.06.01.12.01.</t>
  </si>
  <si>
    <t>13.06.01.13.</t>
  </si>
  <si>
    <t>Priemonė: Įgyvendinti užimtumo didinimo programą Slavikų seniūnijoje</t>
  </si>
  <si>
    <t>13.06.01.13.01.</t>
  </si>
  <si>
    <t>13.06.01.14.</t>
  </si>
  <si>
    <t>Priemonė: Įgyvendinti užimtumo didinimo programą Sudargo seniūnijoje</t>
  </si>
  <si>
    <t>13.06.01.14.01.</t>
  </si>
  <si>
    <t>13.06.01.15.</t>
  </si>
  <si>
    <t>Priemonė: Įgyvendinti užimtumo didinimo programą Šakių seniūnijoje</t>
  </si>
  <si>
    <t>13.06.01.15.01.</t>
  </si>
  <si>
    <t>13.06.01.16.</t>
  </si>
  <si>
    <t>Priemonė: Įgyvendinti užimtumo didinimo programą Žvirgždaičių seniūnijoje</t>
  </si>
  <si>
    <t>13.06.01.16.01.</t>
  </si>
  <si>
    <t>13.07.</t>
  </si>
  <si>
    <t>Tikslas. Didinti gyventojų socialinę gerovę ir įtrauktį, stiprinti sveikatą ir gerinti Lietuvos demografinę padėtį.</t>
  </si>
  <si>
    <t>Asmenys, patiriantys skurdo riziką ar socialinę atskirtį, procentais</t>
  </si>
  <si>
    <t>24,40</t>
  </si>
  <si>
    <t>13.07.01.</t>
  </si>
  <si>
    <t>Uždavinys.Gerinti aplinką šeimai, siekiant didinti gimstamumą ir gyvenimo kokybę bei sudaryti sąlygas derinti darbo ir šeiminius įsipareigojimus.</t>
  </si>
  <si>
    <t>Namų ūkių su vaikais skurdo rizikos lygis</t>
  </si>
  <si>
    <t>13.07.01.01.</t>
  </si>
  <si>
    <t>Priemonė. Padidinti globojamiems (rūpinamiems) vaikams teikiamą paramą būtiniausiems poreikiams (mitybos, sveikatos priežiūros, ugdymo) užtikrinti</t>
  </si>
  <si>
    <t>Globos (rūpybos) išmokos dydis, palyginti su minimalių vartojimo poreikių dydžiu ne mažiau kaip 80 proc.</t>
  </si>
  <si>
    <t>13.07.01.01.01</t>
  </si>
  <si>
    <t>Veikla: Teikti padidintą paramą globojamiems (rūpinamiems) vaikams būtiniausiems poreikiams (mitybos, sveikatos priežiūros, ugdymo) užtikrinti.</t>
  </si>
  <si>
    <t>13.07.02.</t>
  </si>
  <si>
    <t>Uždavinys. Didinti neįgaliųjų ir jų šeimų, senyvo amžiaus žmonių bei kitų pažeidžiamų ir socialinėje atskirtyje esančių grupių gerovę</t>
  </si>
  <si>
    <t>Socialines paslaugas gaunančių tikslinės grupės asmenų dalis nuo bendro su skurdo rizika ar socialine atskirtimi susiduriančių gyventojų skaičiaus, procentais</t>
  </si>
  <si>
    <t>16,00</t>
  </si>
  <si>
    <t>13.07.02.01.</t>
  </si>
  <si>
    <t>Priemonė. Užtikrinti kompensacijų fiziniams ir juridiniams asmenims, perdavusiems savo būstą ar patalpas neatlygintinai naudotis panaudos pagrindais dėl karinių veiksmų iš Ukrainos pasitraukusiems gyventojams, mokėjimą.</t>
  </si>
  <si>
    <t>Išmokėtų kompensacijų skaičius (pagal panaudos sutartis)</t>
  </si>
  <si>
    <t>13.07.02.01.01.</t>
  </si>
  <si>
    <t>Veikla: Išmokėti kompensacijas pagal panaudos sutartis</t>
  </si>
  <si>
    <t>13.07.02.02.</t>
  </si>
  <si>
    <t>Priemonė. Teikti prieglobstį gavusiems užsieniečiams paramą integracijai</t>
  </si>
  <si>
    <t>Asmenų gavusių išmokas skaičius</t>
  </si>
  <si>
    <t>13.07.02.02.01.</t>
  </si>
  <si>
    <t>Veikla: Išmokėti paramą integracijai prieglobstį gavusiems užsieniečiams</t>
  </si>
  <si>
    <t>13.08.</t>
  </si>
  <si>
    <t>13.08.01.</t>
  </si>
  <si>
    <t>13.08.01.01.</t>
  </si>
  <si>
    <t>Priemonė. Sąlygų sudarymas diasporai būstų nuomai.</t>
  </si>
  <si>
    <t>Išnuomotų būstų, iš užsienio grįžusių diasporos atstovams, skaičius</t>
  </si>
  <si>
    <t>13.08.01.01.01</t>
  </si>
  <si>
    <t>Veikla: Išnuomoti būstus iš užsienio grįžusiems diasporos atstovams.</t>
  </si>
  <si>
    <t>13.08.01.02.</t>
  </si>
  <si>
    <t>Priemonė. Diasporos dalies, dalyvaujančios labdaros, paramos ir savanorystės veiklose (labdaros valgykla).</t>
  </si>
  <si>
    <t>Nemokamą maitinimą gaunančių asmenų skaičius</t>
  </si>
  <si>
    <t>400,00</t>
  </si>
  <si>
    <t>13.08.01.02.01.</t>
  </si>
  <si>
    <t>Veikla: Integruoti diasporos savanorius labdaros, paramos ir savanorystės veiklose</t>
  </si>
  <si>
    <t>1. savivaldybės biudžetas</t>
  </si>
  <si>
    <t>1.1. SB</t>
  </si>
  <si>
    <t>savivaldybės biudžeto lėšos</t>
  </si>
  <si>
    <t>1.10. VB ir kt.</t>
  </si>
  <si>
    <t>VB ir kitos tarptautinės finansinės paramos bei bendrojo finansavimo lėšos (į rajono savivaldybės biudžetą įeinančios ir apskaitomos atskirose sąskaitose)</t>
  </si>
  <si>
    <t>1.2. SB (PĮ; KTP)</t>
  </si>
  <si>
    <t>biudžetinių įstaigų pajamos/įmokos</t>
  </si>
  <si>
    <t>1.3. SB (VB D)</t>
  </si>
  <si>
    <t>valstybės tikslinė dotacija</t>
  </si>
  <si>
    <t>1.4.  SB (KPP)</t>
  </si>
  <si>
    <t>Kelių priežiūros lėšos</t>
  </si>
  <si>
    <t>1.5. SB (SP)</t>
  </si>
  <si>
    <t>savivaldybės banko paskola</t>
  </si>
  <si>
    <t>1.6. SB (AA)</t>
  </si>
  <si>
    <t>Savivaldybės biudžeto (Gamtos lėšos)</t>
  </si>
  <si>
    <t>1.7. SB (ES)</t>
  </si>
  <si>
    <t>į rajono savivaldybės biudžetą įeinančios ES paramos lėšos.</t>
  </si>
  <si>
    <t>1.8. SB (VB)</t>
  </si>
  <si>
    <t>į rajono savivaldybės biudžetą įeinančios nacionalinio biudžeto (bendrojo finansavimo, valstybės investicijų programos (VIP) ir  kt.) lėšos.</t>
  </si>
  <si>
    <t>1.9. ES ir kt.</t>
  </si>
  <si>
    <t>ES ir kitos tarptautinės finansinės paramos bei bendrojo finansavimo lėšos (į rajono savivaldybės biudžetą įeinančios ir apskaitomos atskirose sąskaitose)</t>
  </si>
  <si>
    <t>ES ir kitos tarptautinės finansinės paramos lėšos</t>
  </si>
  <si>
    <t>Nacionalinio biudžeto (bendrojo finansavimo, valstybės investicijų programos (VIP) ir  kt.) lėšos;</t>
  </si>
  <si>
    <t>Kiti šaltiniai</t>
  </si>
  <si>
    <t>Nuosavos  lėšos</t>
  </si>
  <si>
    <t>IŠ VISO:</t>
  </si>
  <si>
    <t xml:space="preserve"> </t>
  </si>
  <si>
    <t>PATVIRTINTA           
Šakių rajono savivaldybės administracijos direktoriaus
2023 m. kovo 3 d. įsakymu Nr. AT-214
(Šakių rajono savivaldybės administracijos direktoriaus
2023 m. rugsėjo   d. įsakymo Nr. AT-    redakcija)</t>
  </si>
  <si>
    <t>Veikla: Sudaryti sutartį priešprojektinių pasiūlymų paslaugų pirkimui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</si>
</sst>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10427]#,##0.00;\-#,##0.00;&quot;&quot;"/>
  </numFmts>
  <fonts count="3" x14ac:knownFonts="1">
    <font>
      <sz val="11"/>
      <color rgb="FF000000"/>
      <name val="Calibri"/>
      <family val="2"/>
    </font>
    <font>
      <b/>
      <sz val="18"/>
      <color rgb="FF000000"/>
      <name val="Times New Roman"/>
      <family val="1"/>
    </font>
    <font>
      <sz val="18"/>
      <color rgb="FF000000"/>
      <name val="Times New Roman"/>
      <family val="1"/>
    </font>
  </fonts>
  <fills count="7">
    <fill>
      <patternFill patternType="none"/>
    </fill>
    <fill>
      <patternFill patternType="gray125"/>
    </fill>
    <fill>
      <patternFill patternType="none">
        <fgColor rgb="FF000000"/>
        <bgColor rgb="FF000000"/>
      </patternFill>
    </fill>
    <fill>
      <patternFill patternType="solid">
        <fgColor rgb="FFD2F3C3"/>
        <bgColor rgb="FFD2F3C3"/>
      </patternFill>
    </fill>
    <fill>
      <patternFill patternType="solid">
        <fgColor rgb="FFF9F6C1"/>
        <bgColor rgb="FFF9F6C1"/>
      </patternFill>
    </fill>
    <fill>
      <patternFill patternType="solid">
        <fgColor rgb="FFFEDFDF"/>
        <bgColor rgb="FFFEDFDF"/>
      </patternFill>
    </fill>
    <fill>
      <patternFill patternType="solid">
        <fgColor rgb="FFEBEBEB"/>
        <bgColor rgb="FFEBEBEB"/>
      </patternFill>
    </fill>
  </fills>
  <borders count="14">
    <border>
      <left/>
      <right/>
      <top/>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s>
  <cellStyleXfs count="1">
    <xf numFmtId="0" fontId="0" fillId="0" borderId="0" applyBorder="0"/>
  </cellStyleXfs>
  <cellXfs count="68">
    <xf numFmtId="0" fontId="0" fillId="0" borderId="0" xfId="0"/>
    <xf numFmtId="0" fontId="1" fillId="2" borderId="0" xfId="0" applyFont="1" applyFill="1" applyAlignment="1">
      <alignment horizontal="center" vertical="center" wrapText="1"/>
    </xf>
    <xf numFmtId="0" fontId="2" fillId="2" borderId="0" xfId="0" applyFont="1" applyFill="1" applyAlignment="1">
      <alignment horizontal="center" vertical="center" wrapText="1"/>
    </xf>
    <xf numFmtId="0" fontId="2" fillId="0" borderId="0" xfId="0" applyFont="1" applyAlignment="1">
      <alignment vertical="center" wrapText="1"/>
    </xf>
    <xf numFmtId="0" fontId="1" fillId="0" borderId="1" xfId="0" applyFont="1" applyBorder="1" applyAlignment="1">
      <alignment horizontal="center" vertical="center" wrapText="1" readingOrder="1"/>
    </xf>
    <xf numFmtId="0" fontId="1" fillId="0" borderId="9" xfId="0" applyFont="1" applyBorder="1" applyAlignment="1">
      <alignment horizontal="center" vertical="center" wrapText="1" readingOrder="1"/>
    </xf>
    <xf numFmtId="0" fontId="1" fillId="0" borderId="12" xfId="0" applyFont="1" applyBorder="1" applyAlignment="1">
      <alignment horizontal="center" vertical="center" wrapText="1" readingOrder="1"/>
    </xf>
    <xf numFmtId="0" fontId="1" fillId="5" borderId="5" xfId="0" applyFont="1" applyFill="1" applyBorder="1" applyAlignment="1" applyProtection="1">
      <alignment vertical="center" wrapText="1" readingOrder="1"/>
      <protection locked="0"/>
    </xf>
    <xf numFmtId="0" fontId="1" fillId="5" borderId="6" xfId="0" applyFont="1" applyFill="1" applyBorder="1" applyAlignment="1" applyProtection="1">
      <alignment vertical="center" wrapText="1" readingOrder="1"/>
      <protection locked="0"/>
    </xf>
    <xf numFmtId="0" fontId="1" fillId="5" borderId="6" xfId="0" applyFont="1" applyFill="1" applyBorder="1" applyAlignment="1" applyProtection="1">
      <alignment horizontal="left" vertical="center" wrapText="1" readingOrder="1"/>
      <protection locked="0"/>
    </xf>
    <xf numFmtId="164" fontId="1" fillId="5" borderId="6" xfId="0" applyNumberFormat="1" applyFont="1" applyFill="1" applyBorder="1" applyAlignment="1">
      <alignment horizontal="right" vertical="center" wrapText="1" readingOrder="1"/>
    </xf>
    <xf numFmtId="0" fontId="1" fillId="5" borderId="6" xfId="0" applyFont="1" applyFill="1" applyBorder="1" applyAlignment="1" applyProtection="1">
      <alignment horizontal="center" vertical="center" wrapText="1" readingOrder="1"/>
      <protection locked="0"/>
    </xf>
    <xf numFmtId="0" fontId="1" fillId="5" borderId="7" xfId="0" applyFont="1" applyFill="1" applyBorder="1" applyAlignment="1" applyProtection="1">
      <alignment horizontal="right" vertical="center" wrapText="1" readingOrder="1"/>
      <protection locked="0"/>
    </xf>
    <xf numFmtId="0" fontId="1" fillId="4" borderId="5" xfId="0" applyFont="1" applyFill="1" applyBorder="1" applyAlignment="1" applyProtection="1">
      <alignment vertical="center" wrapText="1" readingOrder="1"/>
      <protection locked="0"/>
    </xf>
    <xf numFmtId="0" fontId="1" fillId="4" borderId="6" xfId="0" applyFont="1" applyFill="1" applyBorder="1" applyAlignment="1" applyProtection="1">
      <alignment vertical="center" wrapText="1" readingOrder="1"/>
      <protection locked="0"/>
    </xf>
    <xf numFmtId="0" fontId="1" fillId="4" borderId="6" xfId="0" applyFont="1" applyFill="1" applyBorder="1" applyAlignment="1" applyProtection="1">
      <alignment horizontal="left" vertical="center" wrapText="1" readingOrder="1"/>
      <protection locked="0"/>
    </xf>
    <xf numFmtId="164" fontId="1" fillId="4" borderId="6" xfId="0" applyNumberFormat="1" applyFont="1" applyFill="1" applyBorder="1" applyAlignment="1">
      <alignment horizontal="right" vertical="center" wrapText="1" readingOrder="1"/>
    </xf>
    <xf numFmtId="0" fontId="1" fillId="4" borderId="6" xfId="0" applyFont="1" applyFill="1" applyBorder="1" applyAlignment="1" applyProtection="1">
      <alignment horizontal="center" vertical="center" wrapText="1" readingOrder="1"/>
      <protection locked="0"/>
    </xf>
    <xf numFmtId="0" fontId="1" fillId="4" borderId="7" xfId="0" applyFont="1" applyFill="1" applyBorder="1" applyAlignment="1" applyProtection="1">
      <alignment horizontal="right" vertical="center" wrapText="1" readingOrder="1"/>
      <protection locked="0"/>
    </xf>
    <xf numFmtId="0" fontId="1" fillId="3" borderId="5" xfId="0" applyFont="1" applyFill="1" applyBorder="1" applyAlignment="1" applyProtection="1">
      <alignment vertical="center" wrapText="1" readingOrder="1"/>
      <protection locked="0"/>
    </xf>
    <xf numFmtId="0" fontId="1" fillId="3" borderId="6" xfId="0" applyFont="1" applyFill="1" applyBorder="1" applyAlignment="1" applyProtection="1">
      <alignment vertical="center" wrapText="1" readingOrder="1"/>
      <protection locked="0"/>
    </xf>
    <xf numFmtId="0" fontId="1" fillId="3" borderId="6" xfId="0" applyFont="1" applyFill="1" applyBorder="1" applyAlignment="1" applyProtection="1">
      <alignment horizontal="left" vertical="center" wrapText="1" readingOrder="1"/>
      <protection locked="0"/>
    </xf>
    <xf numFmtId="164" fontId="1" fillId="3" borderId="6" xfId="0" applyNumberFormat="1" applyFont="1" applyFill="1" applyBorder="1" applyAlignment="1">
      <alignment horizontal="right" vertical="center" wrapText="1" readingOrder="1"/>
    </xf>
    <xf numFmtId="0" fontId="1" fillId="3" borderId="6" xfId="0" applyFont="1" applyFill="1" applyBorder="1" applyAlignment="1" applyProtection="1">
      <alignment horizontal="center" vertical="center" wrapText="1" readingOrder="1"/>
      <protection locked="0"/>
    </xf>
    <xf numFmtId="0" fontId="1" fillId="3" borderId="7" xfId="0" applyFont="1" applyFill="1" applyBorder="1" applyAlignment="1" applyProtection="1">
      <alignment horizontal="right" vertical="center" wrapText="1" readingOrder="1"/>
      <protection locked="0"/>
    </xf>
    <xf numFmtId="0" fontId="2" fillId="0" borderId="5" xfId="0" applyFont="1" applyBorder="1" applyAlignment="1" applyProtection="1">
      <alignment vertical="center" wrapText="1" readingOrder="1"/>
      <protection locked="0"/>
    </xf>
    <xf numFmtId="0" fontId="2" fillId="0" borderId="6" xfId="0" applyFont="1" applyBorder="1" applyAlignment="1" applyProtection="1">
      <alignment vertical="center" wrapText="1" readingOrder="1"/>
      <protection locked="0"/>
    </xf>
    <xf numFmtId="0" fontId="2" fillId="0" borderId="6" xfId="0" applyFont="1" applyBorder="1" applyAlignment="1" applyProtection="1">
      <alignment horizontal="left" vertical="center" wrapText="1" readingOrder="1"/>
      <protection locked="0"/>
    </xf>
    <xf numFmtId="164" fontId="2" fillId="0" borderId="6" xfId="0" applyNumberFormat="1" applyFont="1" applyBorder="1" applyAlignment="1">
      <alignment horizontal="right" vertical="center" wrapText="1" readingOrder="1"/>
    </xf>
    <xf numFmtId="0" fontId="2" fillId="0" borderId="6" xfId="0" applyFont="1" applyBorder="1" applyAlignment="1" applyProtection="1">
      <alignment horizontal="center" vertical="center" wrapText="1" readingOrder="1"/>
      <protection locked="0"/>
    </xf>
    <xf numFmtId="0" fontId="2" fillId="0" borderId="7" xfId="0" applyFont="1" applyBorder="1" applyAlignment="1" applyProtection="1">
      <alignment horizontal="right" vertical="center" wrapText="1" readingOrder="1"/>
      <protection locked="0"/>
    </xf>
    <xf numFmtId="164" fontId="2" fillId="0" borderId="6" xfId="0" applyNumberFormat="1" applyFont="1" applyBorder="1" applyAlignment="1" applyProtection="1">
      <alignment horizontal="right" vertical="center" wrapText="1" readingOrder="1"/>
      <protection locked="0"/>
    </xf>
    <xf numFmtId="0" fontId="2" fillId="0" borderId="8" xfId="0" applyFont="1" applyBorder="1" applyAlignment="1" applyProtection="1">
      <alignment vertical="center" wrapText="1" readingOrder="1"/>
      <protection locked="0"/>
    </xf>
    <xf numFmtId="0" fontId="2" fillId="0" borderId="1" xfId="0" applyFont="1" applyBorder="1" applyAlignment="1" applyProtection="1">
      <alignment vertical="center" wrapText="1" readingOrder="1"/>
      <protection locked="0"/>
    </xf>
    <xf numFmtId="0" fontId="2" fillId="0" borderId="1" xfId="0" applyFont="1" applyBorder="1" applyAlignment="1" applyProtection="1">
      <alignment horizontal="left" vertical="center" wrapText="1" readingOrder="1"/>
      <protection locked="0"/>
    </xf>
    <xf numFmtId="164" fontId="2" fillId="0" borderId="1" xfId="0" applyNumberFormat="1" applyFont="1" applyBorder="1" applyAlignment="1" applyProtection="1">
      <alignment horizontal="right" vertical="center" wrapText="1" readingOrder="1"/>
      <protection locked="0"/>
    </xf>
    <xf numFmtId="0" fontId="2" fillId="0" borderId="1" xfId="0" applyFont="1" applyBorder="1" applyAlignment="1" applyProtection="1">
      <alignment horizontal="center" vertical="center" wrapText="1" readingOrder="1"/>
      <protection locked="0"/>
    </xf>
    <xf numFmtId="0" fontId="2" fillId="0" borderId="9" xfId="0" applyFont="1" applyBorder="1" applyAlignment="1" applyProtection="1">
      <alignment horizontal="right" vertical="center" wrapText="1" readingOrder="1"/>
      <protection locked="0"/>
    </xf>
    <xf numFmtId="0" fontId="2" fillId="0" borderId="2" xfId="0" applyFont="1" applyBorder="1" applyAlignment="1" applyProtection="1">
      <alignment vertical="center" wrapText="1" readingOrder="1"/>
      <protection locked="0"/>
    </xf>
    <xf numFmtId="0" fontId="2" fillId="0" borderId="3" xfId="0" applyFont="1" applyBorder="1" applyAlignment="1" applyProtection="1">
      <alignment vertical="center" wrapText="1" readingOrder="1"/>
      <protection locked="0"/>
    </xf>
    <xf numFmtId="0" fontId="2" fillId="0" borderId="3" xfId="0" applyFont="1" applyBorder="1" applyAlignment="1" applyProtection="1">
      <alignment horizontal="left" vertical="center" wrapText="1" readingOrder="1"/>
      <protection locked="0"/>
    </xf>
    <xf numFmtId="164" fontId="2" fillId="0" borderId="3" xfId="0" applyNumberFormat="1" applyFont="1" applyBorder="1" applyAlignment="1" applyProtection="1">
      <alignment horizontal="right" vertical="center" wrapText="1" readingOrder="1"/>
      <protection locked="0"/>
    </xf>
    <xf numFmtId="0" fontId="2" fillId="0" borderId="3" xfId="0" applyFont="1" applyBorder="1" applyAlignment="1" applyProtection="1">
      <alignment horizontal="center" vertical="center" wrapText="1" readingOrder="1"/>
      <protection locked="0"/>
    </xf>
    <xf numFmtId="0" fontId="2" fillId="0" borderId="4" xfId="0" applyFont="1" applyBorder="1" applyAlignment="1" applyProtection="1">
      <alignment horizontal="right" vertical="center" wrapText="1" readingOrder="1"/>
      <protection locked="0"/>
    </xf>
    <xf numFmtId="0" fontId="2" fillId="2" borderId="0" xfId="0" applyFont="1" applyFill="1" applyAlignment="1" applyProtection="1">
      <alignment vertical="center" wrapText="1" readingOrder="1"/>
      <protection locked="0"/>
    </xf>
    <xf numFmtId="0" fontId="2" fillId="2" borderId="0" xfId="0" applyFont="1" applyFill="1" applyAlignment="1" applyProtection="1">
      <alignment horizontal="left" vertical="center" wrapText="1" readingOrder="1"/>
      <protection locked="0"/>
    </xf>
    <xf numFmtId="164" fontId="2" fillId="2" borderId="0" xfId="0" applyNumberFormat="1" applyFont="1" applyFill="1" applyAlignment="1" applyProtection="1">
      <alignment horizontal="right" vertical="center" wrapText="1" readingOrder="1"/>
      <protection locked="0"/>
    </xf>
    <xf numFmtId="0" fontId="2" fillId="2" borderId="0" xfId="0" applyFont="1" applyFill="1" applyAlignment="1" applyProtection="1">
      <alignment horizontal="center" vertical="center" wrapText="1" readingOrder="1"/>
      <protection locked="0"/>
    </xf>
    <xf numFmtId="0" fontId="2" fillId="2" borderId="0" xfId="0" applyFont="1" applyFill="1" applyAlignment="1" applyProtection="1">
      <alignment horizontal="right" vertical="center" wrapText="1" readingOrder="1"/>
      <protection locked="0"/>
    </xf>
    <xf numFmtId="0" fontId="2" fillId="2" borderId="0" xfId="0" applyFont="1" applyFill="1" applyAlignment="1">
      <alignment vertical="center" wrapText="1"/>
    </xf>
    <xf numFmtId="164" fontId="2" fillId="0" borderId="1" xfId="0" applyNumberFormat="1" applyFont="1" applyBorder="1" applyAlignment="1">
      <alignment horizontal="right" vertical="center" wrapText="1" readingOrder="1"/>
    </xf>
    <xf numFmtId="0" fontId="1" fillId="6" borderId="1" xfId="0" applyFont="1" applyFill="1" applyBorder="1" applyAlignment="1" applyProtection="1">
      <alignment vertical="center" wrapText="1" readingOrder="1"/>
      <protection locked="0"/>
    </xf>
    <xf numFmtId="0" fontId="1" fillId="6" borderId="1" xfId="0" applyFont="1" applyFill="1" applyBorder="1" applyAlignment="1" applyProtection="1">
      <alignment horizontal="right" vertical="center" wrapText="1" readingOrder="1"/>
      <protection locked="0"/>
    </xf>
    <xf numFmtId="164" fontId="1" fillId="6" borderId="1" xfId="0" applyNumberFormat="1" applyFont="1" applyFill="1" applyBorder="1" applyAlignment="1">
      <alignment horizontal="right" vertical="center" wrapText="1" readingOrder="1"/>
    </xf>
    <xf numFmtId="0" fontId="1" fillId="2" borderId="0" xfId="0" applyFont="1" applyFill="1" applyAlignment="1">
      <alignment vertical="center" wrapText="1"/>
    </xf>
    <xf numFmtId="0" fontId="2" fillId="2" borderId="0" xfId="0" applyFont="1" applyFill="1" applyBorder="1" applyAlignment="1">
      <alignment vertical="center" wrapText="1"/>
    </xf>
    <xf numFmtId="0" fontId="2" fillId="2" borderId="0" xfId="0" applyFont="1" applyFill="1" applyAlignment="1">
      <alignment horizontal="left" vertical="center" wrapText="1"/>
    </xf>
    <xf numFmtId="0" fontId="2" fillId="2" borderId="13" xfId="0" applyFont="1" applyFill="1" applyBorder="1" applyAlignment="1">
      <alignment horizontal="left" vertical="center" wrapText="1"/>
    </xf>
    <xf numFmtId="0" fontId="1" fillId="0" borderId="0" xfId="0" applyFont="1" applyAlignment="1">
      <alignment horizontal="center" vertical="center" wrapText="1"/>
    </xf>
    <xf numFmtId="0" fontId="1" fillId="0" borderId="1" xfId="0" applyFont="1" applyBorder="1" applyAlignment="1">
      <alignment horizontal="center" vertical="center" wrapText="1" readingOrder="1"/>
    </xf>
    <xf numFmtId="0" fontId="1" fillId="0" borderId="11" xfId="0" applyFont="1" applyBorder="1" applyAlignment="1">
      <alignment horizontal="center" vertical="center" wrapText="1" readingOrder="1"/>
    </xf>
    <xf numFmtId="0" fontId="1" fillId="0" borderId="6" xfId="0" applyFont="1" applyBorder="1" applyAlignment="1">
      <alignment horizontal="center" vertical="center" wrapText="1" readingOrder="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 xfId="0" applyFont="1" applyBorder="1" applyAlignment="1">
      <alignment horizontal="center" vertical="center" wrapText="1"/>
    </xf>
    <xf numFmtId="0" fontId="1" fillId="0" borderId="5" xfId="0" applyFont="1" applyBorder="1" applyAlignment="1">
      <alignment horizontal="center" vertical="center" wrapText="1" readingOrder="1"/>
    </xf>
    <xf numFmtId="0" fontId="1" fillId="0" borderId="8" xfId="0" applyFont="1" applyBorder="1" applyAlignment="1">
      <alignment horizontal="center" vertical="center" wrapText="1" readingOrder="1"/>
    </xf>
    <xf numFmtId="0" fontId="1" fillId="0" borderId="10" xfId="0" applyFont="1" applyBorder="1" applyAlignment="1">
      <alignment horizontal="center" vertical="center" wrapText="1" readingOrder="1"/>
    </xf>
  </cellXfs>
  <cellStyles count="1">
    <cellStyle name="Įprasta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T842"/>
  <sheetViews>
    <sheetView tabSelected="1" zoomScale="50" zoomScaleNormal="50" workbookViewId="0"/>
  </sheetViews>
  <sheetFormatPr defaultRowHeight="23.25" x14ac:dyDescent="0.25"/>
  <cols>
    <col min="1" max="1" width="23.5703125" style="3" customWidth="1"/>
    <col min="2" max="2" width="50.7109375" style="3" customWidth="1"/>
    <col min="3" max="3" width="45.85546875" style="3" customWidth="1"/>
    <col min="4" max="4" width="40.42578125" style="3" customWidth="1"/>
    <col min="5" max="5" width="23.5703125" style="3" customWidth="1"/>
    <col min="6" max="15" width="22.140625" style="3" customWidth="1"/>
    <col min="16" max="16" width="50.7109375" style="3" customWidth="1"/>
    <col min="17" max="18" width="18.28515625" style="3" customWidth="1"/>
    <col min="19" max="16384" width="9.140625" style="3"/>
  </cols>
  <sheetData>
    <row r="1" spans="1:20" s="1" customFormat="1" ht="22.5" customHeight="1" x14ac:dyDescent="0.25">
      <c r="A1" s="54"/>
      <c r="B1" s="54"/>
      <c r="C1" s="54"/>
      <c r="D1" s="54"/>
      <c r="E1" s="54"/>
      <c r="F1" s="54"/>
      <c r="G1" s="54"/>
      <c r="H1" s="54"/>
      <c r="I1" s="54"/>
      <c r="J1" s="54"/>
      <c r="K1" s="54"/>
      <c r="L1" s="54"/>
      <c r="M1" s="54"/>
      <c r="N1" s="54"/>
      <c r="O1" s="56" t="s">
        <v>2080</v>
      </c>
      <c r="P1" s="56"/>
      <c r="Q1" s="56"/>
      <c r="R1" s="56"/>
      <c r="S1" s="49"/>
    </row>
    <row r="2" spans="1:20" s="2" customFormat="1" x14ac:dyDescent="0.25">
      <c r="A2" s="49"/>
      <c r="B2" s="49"/>
      <c r="C2" s="49"/>
      <c r="D2" s="49"/>
      <c r="E2" s="49"/>
      <c r="F2" s="49"/>
      <c r="G2" s="49"/>
      <c r="H2" s="49"/>
      <c r="I2" s="49"/>
      <c r="J2" s="49"/>
      <c r="K2" s="49"/>
      <c r="L2" s="49"/>
      <c r="M2" s="49"/>
      <c r="N2" s="49"/>
      <c r="O2" s="56"/>
      <c r="P2" s="56"/>
      <c r="Q2" s="56"/>
      <c r="R2" s="56"/>
      <c r="S2" s="49"/>
    </row>
    <row r="3" spans="1:20" x14ac:dyDescent="0.25">
      <c r="D3" s="58" t="s">
        <v>1</v>
      </c>
      <c r="E3" s="58"/>
      <c r="F3" s="58"/>
      <c r="G3" s="58"/>
      <c r="H3" s="58"/>
      <c r="I3" s="58"/>
      <c r="J3" s="58"/>
      <c r="K3" s="58"/>
      <c r="L3" s="58"/>
      <c r="O3" s="56"/>
      <c r="P3" s="56"/>
      <c r="Q3" s="56"/>
      <c r="R3" s="56"/>
      <c r="S3" s="49"/>
      <c r="T3" s="3" t="s">
        <v>2079</v>
      </c>
    </row>
    <row r="4" spans="1:20" x14ac:dyDescent="0.25">
      <c r="O4" s="56"/>
      <c r="P4" s="56"/>
      <c r="Q4" s="56"/>
      <c r="R4" s="56"/>
      <c r="S4" s="49"/>
    </row>
    <row r="5" spans="1:20" ht="24" thickBot="1" x14ac:dyDescent="0.3">
      <c r="O5" s="57"/>
      <c r="P5" s="57"/>
      <c r="Q5" s="57"/>
      <c r="R5" s="57"/>
      <c r="S5" s="55"/>
    </row>
    <row r="6" spans="1:20" x14ac:dyDescent="0.25">
      <c r="A6" s="65" t="s">
        <v>0</v>
      </c>
      <c r="B6" s="61" t="s">
        <v>1</v>
      </c>
      <c r="C6" s="61" t="s">
        <v>2</v>
      </c>
      <c r="D6" s="61" t="s">
        <v>3</v>
      </c>
      <c r="E6" s="61" t="s">
        <v>4</v>
      </c>
      <c r="F6" s="61" t="s">
        <v>5</v>
      </c>
      <c r="G6" s="61" t="s">
        <v>6</v>
      </c>
      <c r="H6" s="62"/>
      <c r="I6" s="62"/>
      <c r="J6" s="62"/>
      <c r="K6" s="62"/>
      <c r="L6" s="62"/>
      <c r="M6" s="62"/>
      <c r="N6" s="62"/>
      <c r="O6" s="62"/>
      <c r="P6" s="61" t="s">
        <v>7</v>
      </c>
      <c r="Q6" s="62"/>
      <c r="R6" s="63"/>
    </row>
    <row r="7" spans="1:20" x14ac:dyDescent="0.25">
      <c r="A7" s="66"/>
      <c r="B7" s="59"/>
      <c r="C7" s="59"/>
      <c r="D7" s="59"/>
      <c r="E7" s="59"/>
      <c r="F7" s="59"/>
      <c r="G7" s="59" t="s">
        <v>8</v>
      </c>
      <c r="H7" s="59" t="s">
        <v>9</v>
      </c>
      <c r="I7" s="59" t="s">
        <v>10</v>
      </c>
      <c r="J7" s="59" t="s">
        <v>11</v>
      </c>
      <c r="K7" s="59" t="s">
        <v>12</v>
      </c>
      <c r="L7" s="59" t="s">
        <v>13</v>
      </c>
      <c r="M7" s="59" t="s">
        <v>14</v>
      </c>
      <c r="N7" s="59" t="s">
        <v>15</v>
      </c>
      <c r="O7" s="59" t="s">
        <v>16</v>
      </c>
      <c r="P7" s="59" t="s">
        <v>17</v>
      </c>
      <c r="Q7" s="59" t="s">
        <v>18</v>
      </c>
      <c r="R7" s="5" t="s">
        <v>19</v>
      </c>
    </row>
    <row r="8" spans="1:20" x14ac:dyDescent="0.25">
      <c r="A8" s="67"/>
      <c r="B8" s="60"/>
      <c r="C8" s="60"/>
      <c r="D8" s="60"/>
      <c r="E8" s="60"/>
      <c r="F8" s="60"/>
      <c r="G8" s="60"/>
      <c r="H8" s="60"/>
      <c r="I8" s="60"/>
      <c r="J8" s="60"/>
      <c r="K8" s="60"/>
      <c r="L8" s="60"/>
      <c r="M8" s="60"/>
      <c r="N8" s="60"/>
      <c r="O8" s="60"/>
      <c r="P8" s="60"/>
      <c r="Q8" s="60"/>
      <c r="R8" s="6" t="s">
        <v>20</v>
      </c>
    </row>
    <row r="9" spans="1:20" ht="45" x14ac:dyDescent="0.25">
      <c r="A9" s="7" t="s">
        <v>21</v>
      </c>
      <c r="B9" s="8" t="s">
        <v>22</v>
      </c>
      <c r="C9" s="9" t="s">
        <v>23</v>
      </c>
      <c r="D9" s="9" t="s">
        <v>24</v>
      </c>
      <c r="E9" s="9"/>
      <c r="F9" s="10">
        <f t="shared" ref="F9:O9" si="0">F10+F53+F57+F63+F74+F80+F84+F88</f>
        <v>776341.37</v>
      </c>
      <c r="G9" s="10">
        <f t="shared" si="0"/>
        <v>448471.45999999996</v>
      </c>
      <c r="H9" s="10">
        <f t="shared" si="0"/>
        <v>0</v>
      </c>
      <c r="I9" s="10">
        <f t="shared" si="0"/>
        <v>0</v>
      </c>
      <c r="J9" s="10">
        <f t="shared" si="0"/>
        <v>110427</v>
      </c>
      <c r="K9" s="10">
        <f t="shared" si="0"/>
        <v>0</v>
      </c>
      <c r="L9" s="10">
        <f t="shared" si="0"/>
        <v>83642.91</v>
      </c>
      <c r="M9" s="10">
        <f t="shared" si="0"/>
        <v>133800</v>
      </c>
      <c r="N9" s="10">
        <f t="shared" si="0"/>
        <v>0</v>
      </c>
      <c r="O9" s="10">
        <f t="shared" si="0"/>
        <v>0</v>
      </c>
      <c r="P9" s="9"/>
      <c r="Q9" s="11"/>
      <c r="R9" s="12"/>
    </row>
    <row r="10" spans="1:20" ht="67.5" x14ac:dyDescent="0.25">
      <c r="A10" s="13" t="s">
        <v>25</v>
      </c>
      <c r="B10" s="14" t="s">
        <v>26</v>
      </c>
      <c r="C10" s="15" t="s">
        <v>23</v>
      </c>
      <c r="D10" s="15" t="s">
        <v>27</v>
      </c>
      <c r="E10" s="15"/>
      <c r="F10" s="16">
        <f t="shared" ref="F10:O10" si="1">F11+F48</f>
        <v>610500.36</v>
      </c>
      <c r="G10" s="16">
        <f t="shared" si="1"/>
        <v>319981.45999999996</v>
      </c>
      <c r="H10" s="16">
        <f t="shared" si="1"/>
        <v>0</v>
      </c>
      <c r="I10" s="16">
        <f t="shared" si="1"/>
        <v>0</v>
      </c>
      <c r="J10" s="16">
        <f t="shared" si="1"/>
        <v>110427</v>
      </c>
      <c r="K10" s="16">
        <f t="shared" si="1"/>
        <v>0</v>
      </c>
      <c r="L10" s="16">
        <f t="shared" si="1"/>
        <v>46291.9</v>
      </c>
      <c r="M10" s="16">
        <f t="shared" si="1"/>
        <v>133800</v>
      </c>
      <c r="N10" s="16">
        <f t="shared" si="1"/>
        <v>0</v>
      </c>
      <c r="O10" s="16">
        <f t="shared" si="1"/>
        <v>0</v>
      </c>
      <c r="P10" s="15" t="s">
        <v>28</v>
      </c>
      <c r="Q10" s="17" t="s">
        <v>29</v>
      </c>
      <c r="R10" s="18" t="s">
        <v>30</v>
      </c>
    </row>
    <row r="11" spans="1:20" ht="157.5" x14ac:dyDescent="0.25">
      <c r="A11" s="19" t="s">
        <v>31</v>
      </c>
      <c r="B11" s="20" t="s">
        <v>32</v>
      </c>
      <c r="C11" s="21" t="s">
        <v>23</v>
      </c>
      <c r="D11" s="21" t="s">
        <v>27</v>
      </c>
      <c r="E11" s="21" t="s">
        <v>33</v>
      </c>
      <c r="F11" s="22">
        <f t="shared" ref="F11:O11" si="2">F12+F14+F16+F18+F20+F24+F27+F31+F34+F36+F38+F40+F42+F44+F46</f>
        <v>602500.36</v>
      </c>
      <c r="G11" s="22">
        <f t="shared" si="2"/>
        <v>311981.45999999996</v>
      </c>
      <c r="H11" s="22">
        <f t="shared" si="2"/>
        <v>0</v>
      </c>
      <c r="I11" s="22">
        <f t="shared" si="2"/>
        <v>0</v>
      </c>
      <c r="J11" s="22">
        <f t="shared" si="2"/>
        <v>110427</v>
      </c>
      <c r="K11" s="22">
        <f t="shared" si="2"/>
        <v>0</v>
      </c>
      <c r="L11" s="22">
        <f t="shared" si="2"/>
        <v>46291.9</v>
      </c>
      <c r="M11" s="22">
        <f t="shared" si="2"/>
        <v>133800</v>
      </c>
      <c r="N11" s="22">
        <f t="shared" si="2"/>
        <v>0</v>
      </c>
      <c r="O11" s="22">
        <f t="shared" si="2"/>
        <v>0</v>
      </c>
      <c r="P11" s="21" t="s">
        <v>34</v>
      </c>
      <c r="Q11" s="23" t="s">
        <v>35</v>
      </c>
      <c r="R11" s="24" t="s">
        <v>36</v>
      </c>
    </row>
    <row r="12" spans="1:20" ht="46.5" x14ac:dyDescent="0.25">
      <c r="A12" s="25" t="s">
        <v>37</v>
      </c>
      <c r="B12" s="26" t="s">
        <v>38</v>
      </c>
      <c r="C12" s="27" t="s">
        <v>23</v>
      </c>
      <c r="D12" s="27" t="s">
        <v>39</v>
      </c>
      <c r="E12" s="27" t="s">
        <v>40</v>
      </c>
      <c r="F12" s="28">
        <f t="shared" ref="F12:O12" si="3">SUM(F13:F13)</f>
        <v>0</v>
      </c>
      <c r="G12" s="28">
        <f t="shared" si="3"/>
        <v>0</v>
      </c>
      <c r="H12" s="28">
        <f t="shared" si="3"/>
        <v>0</v>
      </c>
      <c r="I12" s="28">
        <f t="shared" si="3"/>
        <v>0</v>
      </c>
      <c r="J12" s="28">
        <f t="shared" si="3"/>
        <v>0</v>
      </c>
      <c r="K12" s="28">
        <f t="shared" si="3"/>
        <v>0</v>
      </c>
      <c r="L12" s="28">
        <f t="shared" si="3"/>
        <v>0</v>
      </c>
      <c r="M12" s="28">
        <f t="shared" si="3"/>
        <v>0</v>
      </c>
      <c r="N12" s="28">
        <f t="shared" si="3"/>
        <v>0</v>
      </c>
      <c r="O12" s="28">
        <f t="shared" si="3"/>
        <v>0</v>
      </c>
      <c r="P12" s="27" t="s">
        <v>41</v>
      </c>
      <c r="Q12" s="29" t="s">
        <v>35</v>
      </c>
      <c r="R12" s="30" t="s">
        <v>42</v>
      </c>
    </row>
    <row r="13" spans="1:20" ht="93" x14ac:dyDescent="0.25">
      <c r="A13" s="25" t="s">
        <v>43</v>
      </c>
      <c r="B13" s="26" t="s">
        <v>44</v>
      </c>
      <c r="C13" s="27"/>
      <c r="D13" s="27"/>
      <c r="E13" s="27"/>
      <c r="F13" s="31">
        <v>0</v>
      </c>
      <c r="G13" s="31">
        <v>0</v>
      </c>
      <c r="H13" s="31">
        <v>0</v>
      </c>
      <c r="I13" s="31">
        <v>0</v>
      </c>
      <c r="J13" s="31">
        <v>0</v>
      </c>
      <c r="K13" s="31">
        <v>0</v>
      </c>
      <c r="L13" s="31">
        <v>0</v>
      </c>
      <c r="M13" s="31">
        <v>0</v>
      </c>
      <c r="N13" s="31">
        <v>0</v>
      </c>
      <c r="O13" s="31">
        <v>0</v>
      </c>
      <c r="P13" s="27"/>
      <c r="Q13" s="29"/>
      <c r="R13" s="30"/>
    </row>
    <row r="14" spans="1:20" ht="46.5" x14ac:dyDescent="0.25">
      <c r="A14" s="25" t="s">
        <v>45</v>
      </c>
      <c r="B14" s="26" t="s">
        <v>46</v>
      </c>
      <c r="C14" s="27" t="s">
        <v>23</v>
      </c>
      <c r="D14" s="27" t="s">
        <v>27</v>
      </c>
      <c r="E14" s="27" t="s">
        <v>40</v>
      </c>
      <c r="F14" s="28">
        <f t="shared" ref="F14:O14" si="4">SUM(F15:F15)</f>
        <v>0</v>
      </c>
      <c r="G14" s="28">
        <f t="shared" si="4"/>
        <v>0</v>
      </c>
      <c r="H14" s="28">
        <f t="shared" si="4"/>
        <v>0</v>
      </c>
      <c r="I14" s="28">
        <f t="shared" si="4"/>
        <v>0</v>
      </c>
      <c r="J14" s="28">
        <f t="shared" si="4"/>
        <v>0</v>
      </c>
      <c r="K14" s="28">
        <f t="shared" si="4"/>
        <v>0</v>
      </c>
      <c r="L14" s="28">
        <f t="shared" si="4"/>
        <v>0</v>
      </c>
      <c r="M14" s="28">
        <f t="shared" si="4"/>
        <v>0</v>
      </c>
      <c r="N14" s="28">
        <f t="shared" si="4"/>
        <v>0</v>
      </c>
      <c r="O14" s="28">
        <f t="shared" si="4"/>
        <v>0</v>
      </c>
      <c r="P14" s="27" t="s">
        <v>47</v>
      </c>
      <c r="Q14" s="29" t="s">
        <v>35</v>
      </c>
      <c r="R14" s="30" t="s">
        <v>48</v>
      </c>
    </row>
    <row r="15" spans="1:20" ht="46.5" x14ac:dyDescent="0.25">
      <c r="A15" s="25" t="s">
        <v>49</v>
      </c>
      <c r="B15" s="26" t="s">
        <v>50</v>
      </c>
      <c r="C15" s="27"/>
      <c r="D15" s="27"/>
      <c r="E15" s="27"/>
      <c r="F15" s="31">
        <v>0</v>
      </c>
      <c r="G15" s="31">
        <v>0</v>
      </c>
      <c r="H15" s="31">
        <v>0</v>
      </c>
      <c r="I15" s="31">
        <v>0</v>
      </c>
      <c r="J15" s="31">
        <v>0</v>
      </c>
      <c r="K15" s="31">
        <v>0</v>
      </c>
      <c r="L15" s="31">
        <v>0</v>
      </c>
      <c r="M15" s="31">
        <v>0</v>
      </c>
      <c r="N15" s="31">
        <v>0</v>
      </c>
      <c r="O15" s="31">
        <v>0</v>
      </c>
      <c r="P15" s="27"/>
      <c r="Q15" s="29"/>
      <c r="R15" s="30"/>
    </row>
    <row r="16" spans="1:20" ht="69.75" x14ac:dyDescent="0.25">
      <c r="A16" s="25" t="s">
        <v>51</v>
      </c>
      <c r="B16" s="26" t="s">
        <v>52</v>
      </c>
      <c r="C16" s="27" t="s">
        <v>23</v>
      </c>
      <c r="D16" s="27" t="s">
        <v>27</v>
      </c>
      <c r="E16" s="27" t="s">
        <v>40</v>
      </c>
      <c r="F16" s="28">
        <f>SUM(F17:F17)+110427</f>
        <v>110427</v>
      </c>
      <c r="G16" s="28">
        <f>SUM(G17:G17)</f>
        <v>0</v>
      </c>
      <c r="H16" s="28">
        <f>SUM(H17:H17)</f>
        <v>0</v>
      </c>
      <c r="I16" s="28">
        <f>SUM(I17:I17)</f>
        <v>0</v>
      </c>
      <c r="J16" s="28">
        <f>SUM(J17:J17)+110427</f>
        <v>110427</v>
      </c>
      <c r="K16" s="28">
        <f>SUM(K17:K17)</f>
        <v>0</v>
      </c>
      <c r="L16" s="28">
        <f>SUM(L17:L17)</f>
        <v>0</v>
      </c>
      <c r="M16" s="28">
        <f>SUM(M17:M17)</f>
        <v>0</v>
      </c>
      <c r="N16" s="28">
        <f>SUM(N17:N17)</f>
        <v>0</v>
      </c>
      <c r="O16" s="28">
        <f>SUM(O17:O17)</f>
        <v>0</v>
      </c>
      <c r="P16" s="27" t="s">
        <v>53</v>
      </c>
      <c r="Q16" s="29" t="s">
        <v>35</v>
      </c>
      <c r="R16" s="30" t="s">
        <v>54</v>
      </c>
    </row>
    <row r="17" spans="1:18" ht="116.25" x14ac:dyDescent="0.25">
      <c r="A17" s="25" t="s">
        <v>55</v>
      </c>
      <c r="B17" s="26" t="s">
        <v>56</v>
      </c>
      <c r="C17" s="27"/>
      <c r="D17" s="27"/>
      <c r="E17" s="27"/>
      <c r="F17" s="31">
        <v>0</v>
      </c>
      <c r="G17" s="31">
        <v>0</v>
      </c>
      <c r="H17" s="31">
        <v>0</v>
      </c>
      <c r="I17" s="31">
        <v>0</v>
      </c>
      <c r="J17" s="31">
        <v>0</v>
      </c>
      <c r="K17" s="31">
        <v>0</v>
      </c>
      <c r="L17" s="31">
        <v>0</v>
      </c>
      <c r="M17" s="31">
        <v>0</v>
      </c>
      <c r="N17" s="31">
        <v>0</v>
      </c>
      <c r="O17" s="31">
        <v>0</v>
      </c>
      <c r="P17" s="27"/>
      <c r="Q17" s="29"/>
      <c r="R17" s="30"/>
    </row>
    <row r="18" spans="1:18" ht="46.5" x14ac:dyDescent="0.25">
      <c r="A18" s="25" t="s">
        <v>57</v>
      </c>
      <c r="B18" s="26" t="s">
        <v>58</v>
      </c>
      <c r="C18" s="27" t="s">
        <v>23</v>
      </c>
      <c r="D18" s="27" t="s">
        <v>39</v>
      </c>
      <c r="E18" s="27" t="s">
        <v>40</v>
      </c>
      <c r="F18" s="28">
        <f>SUM(F19:F19)+231969.46</f>
        <v>231969.46</v>
      </c>
      <c r="G18" s="28">
        <f>SUM(G19:G19)+231969.46</f>
        <v>231969.46</v>
      </c>
      <c r="H18" s="28">
        <f t="shared" ref="H18:O18" si="5">SUM(H19:H19)</f>
        <v>0</v>
      </c>
      <c r="I18" s="28">
        <f t="shared" si="5"/>
        <v>0</v>
      </c>
      <c r="J18" s="28">
        <f t="shared" si="5"/>
        <v>0</v>
      </c>
      <c r="K18" s="28">
        <f t="shared" si="5"/>
        <v>0</v>
      </c>
      <c r="L18" s="28">
        <f t="shared" si="5"/>
        <v>0</v>
      </c>
      <c r="M18" s="28">
        <f t="shared" si="5"/>
        <v>0</v>
      </c>
      <c r="N18" s="28">
        <f t="shared" si="5"/>
        <v>0</v>
      </c>
      <c r="O18" s="28">
        <f t="shared" si="5"/>
        <v>0</v>
      </c>
      <c r="P18" s="27" t="s">
        <v>59</v>
      </c>
      <c r="Q18" s="29" t="s">
        <v>35</v>
      </c>
      <c r="R18" s="30" t="s">
        <v>60</v>
      </c>
    </row>
    <row r="19" spans="1:18" ht="46.5" x14ac:dyDescent="0.25">
      <c r="A19" s="25" t="s">
        <v>61</v>
      </c>
      <c r="B19" s="26" t="s">
        <v>62</v>
      </c>
      <c r="C19" s="27"/>
      <c r="D19" s="27"/>
      <c r="E19" s="27"/>
      <c r="F19" s="31">
        <v>0</v>
      </c>
      <c r="G19" s="31">
        <v>0</v>
      </c>
      <c r="H19" s="31">
        <v>0</v>
      </c>
      <c r="I19" s="31">
        <v>0</v>
      </c>
      <c r="J19" s="31">
        <v>0</v>
      </c>
      <c r="K19" s="31">
        <v>0</v>
      </c>
      <c r="L19" s="31">
        <v>0</v>
      </c>
      <c r="M19" s="31">
        <v>0</v>
      </c>
      <c r="N19" s="31">
        <v>0</v>
      </c>
      <c r="O19" s="31">
        <v>0</v>
      </c>
      <c r="P19" s="27"/>
      <c r="Q19" s="29"/>
      <c r="R19" s="30"/>
    </row>
    <row r="20" spans="1:18" ht="116.25" x14ac:dyDescent="0.25">
      <c r="A20" s="25" t="s">
        <v>63</v>
      </c>
      <c r="B20" s="26" t="s">
        <v>64</v>
      </c>
      <c r="C20" s="27" t="s">
        <v>23</v>
      </c>
      <c r="D20" s="27" t="s">
        <v>27</v>
      </c>
      <c r="E20" s="27" t="s">
        <v>40</v>
      </c>
      <c r="F20" s="28">
        <f>SUM(F21:F23)+14753</f>
        <v>14753</v>
      </c>
      <c r="G20" s="28">
        <f>SUM(G21:G23)+14753</f>
        <v>14753</v>
      </c>
      <c r="H20" s="28">
        <f t="shared" ref="H20:O20" si="6">SUM(H21:H23)</f>
        <v>0</v>
      </c>
      <c r="I20" s="28">
        <f t="shared" si="6"/>
        <v>0</v>
      </c>
      <c r="J20" s="28">
        <f t="shared" si="6"/>
        <v>0</v>
      </c>
      <c r="K20" s="28">
        <f t="shared" si="6"/>
        <v>0</v>
      </c>
      <c r="L20" s="28">
        <f t="shared" si="6"/>
        <v>0</v>
      </c>
      <c r="M20" s="28">
        <f t="shared" si="6"/>
        <v>0</v>
      </c>
      <c r="N20" s="28">
        <f t="shared" si="6"/>
        <v>0</v>
      </c>
      <c r="O20" s="28">
        <f t="shared" si="6"/>
        <v>0</v>
      </c>
      <c r="P20" s="27" t="s">
        <v>65</v>
      </c>
      <c r="Q20" s="29" t="s">
        <v>35</v>
      </c>
      <c r="R20" s="30" t="s">
        <v>66</v>
      </c>
    </row>
    <row r="21" spans="1:18" ht="46.5" x14ac:dyDescent="0.25">
      <c r="A21" s="32"/>
      <c r="B21" s="33"/>
      <c r="C21" s="34"/>
      <c r="D21" s="34"/>
      <c r="E21" s="34"/>
      <c r="F21" s="35">
        <v>0</v>
      </c>
      <c r="G21" s="35">
        <v>0</v>
      </c>
      <c r="H21" s="35">
        <v>0</v>
      </c>
      <c r="I21" s="35">
        <v>0</v>
      </c>
      <c r="J21" s="35">
        <v>0</v>
      </c>
      <c r="K21" s="35">
        <v>0</v>
      </c>
      <c r="L21" s="35">
        <v>0</v>
      </c>
      <c r="M21" s="35">
        <v>0</v>
      </c>
      <c r="N21" s="35">
        <v>0</v>
      </c>
      <c r="O21" s="35">
        <v>0</v>
      </c>
      <c r="P21" s="34" t="s">
        <v>67</v>
      </c>
      <c r="Q21" s="36" t="s">
        <v>35</v>
      </c>
      <c r="R21" s="37" t="s">
        <v>68</v>
      </c>
    </row>
    <row r="22" spans="1:18" ht="46.5" x14ac:dyDescent="0.25">
      <c r="A22" s="32"/>
      <c r="B22" s="33"/>
      <c r="C22" s="34"/>
      <c r="D22" s="34"/>
      <c r="E22" s="34"/>
      <c r="F22" s="35">
        <v>0</v>
      </c>
      <c r="G22" s="35">
        <v>0</v>
      </c>
      <c r="H22" s="35">
        <v>0</v>
      </c>
      <c r="I22" s="35">
        <v>0</v>
      </c>
      <c r="J22" s="35">
        <v>0</v>
      </c>
      <c r="K22" s="35">
        <v>0</v>
      </c>
      <c r="L22" s="35">
        <v>0</v>
      </c>
      <c r="M22" s="35">
        <v>0</v>
      </c>
      <c r="N22" s="35">
        <v>0</v>
      </c>
      <c r="O22" s="35">
        <v>0</v>
      </c>
      <c r="P22" s="34" t="s">
        <v>69</v>
      </c>
      <c r="Q22" s="36" t="s">
        <v>35</v>
      </c>
      <c r="R22" s="37" t="s">
        <v>70</v>
      </c>
    </row>
    <row r="23" spans="1:18" ht="139.5" x14ac:dyDescent="0.25">
      <c r="A23" s="25" t="s">
        <v>71</v>
      </c>
      <c r="B23" s="26" t="s">
        <v>72</v>
      </c>
      <c r="C23" s="27"/>
      <c r="D23" s="27"/>
      <c r="E23" s="27"/>
      <c r="F23" s="31">
        <v>0</v>
      </c>
      <c r="G23" s="31">
        <v>0</v>
      </c>
      <c r="H23" s="31">
        <v>0</v>
      </c>
      <c r="I23" s="31">
        <v>0</v>
      </c>
      <c r="J23" s="31">
        <v>0</v>
      </c>
      <c r="K23" s="31">
        <v>0</v>
      </c>
      <c r="L23" s="31">
        <v>0</v>
      </c>
      <c r="M23" s="31">
        <v>0</v>
      </c>
      <c r="N23" s="31">
        <v>0</v>
      </c>
      <c r="O23" s="31">
        <v>0</v>
      </c>
      <c r="P23" s="27"/>
      <c r="Q23" s="29"/>
      <c r="R23" s="30"/>
    </row>
    <row r="24" spans="1:18" ht="69.75" x14ac:dyDescent="0.25">
      <c r="A24" s="25" t="s">
        <v>73</v>
      </c>
      <c r="B24" s="26" t="s">
        <v>74</v>
      </c>
      <c r="C24" s="27" t="s">
        <v>23</v>
      </c>
      <c r="D24" s="27" t="s">
        <v>75</v>
      </c>
      <c r="E24" s="27" t="s">
        <v>40</v>
      </c>
      <c r="F24" s="28">
        <f>SUM(F25:F26)+305</f>
        <v>305</v>
      </c>
      <c r="G24" s="28">
        <f>SUM(G25:G26)+305</f>
        <v>305</v>
      </c>
      <c r="H24" s="28">
        <f t="shared" ref="H24:O24" si="7">SUM(H25:H26)</f>
        <v>0</v>
      </c>
      <c r="I24" s="28">
        <f t="shared" si="7"/>
        <v>0</v>
      </c>
      <c r="J24" s="28">
        <f t="shared" si="7"/>
        <v>0</v>
      </c>
      <c r="K24" s="28">
        <f t="shared" si="7"/>
        <v>0</v>
      </c>
      <c r="L24" s="28">
        <f t="shared" si="7"/>
        <v>0</v>
      </c>
      <c r="M24" s="28">
        <f t="shared" si="7"/>
        <v>0</v>
      </c>
      <c r="N24" s="28">
        <f t="shared" si="7"/>
        <v>0</v>
      </c>
      <c r="O24" s="28">
        <f t="shared" si="7"/>
        <v>0</v>
      </c>
      <c r="P24" s="27" t="s">
        <v>76</v>
      </c>
      <c r="Q24" s="29" t="s">
        <v>35</v>
      </c>
      <c r="R24" s="30" t="s">
        <v>77</v>
      </c>
    </row>
    <row r="25" spans="1:18" ht="46.5" x14ac:dyDescent="0.25">
      <c r="A25" s="25" t="s">
        <v>78</v>
      </c>
      <c r="B25" s="26" t="s">
        <v>79</v>
      </c>
      <c r="C25" s="27"/>
      <c r="D25" s="27"/>
      <c r="E25" s="27"/>
      <c r="F25" s="31">
        <v>0</v>
      </c>
      <c r="G25" s="31">
        <v>0</v>
      </c>
      <c r="H25" s="31">
        <v>0</v>
      </c>
      <c r="I25" s="31">
        <v>0</v>
      </c>
      <c r="J25" s="31">
        <v>0</v>
      </c>
      <c r="K25" s="31">
        <v>0</v>
      </c>
      <c r="L25" s="31">
        <v>0</v>
      </c>
      <c r="M25" s="31">
        <v>0</v>
      </c>
      <c r="N25" s="31">
        <v>0</v>
      </c>
      <c r="O25" s="31">
        <v>0</v>
      </c>
      <c r="P25" s="27"/>
      <c r="Q25" s="29"/>
      <c r="R25" s="30"/>
    </row>
    <row r="26" spans="1:18" ht="69.75" x14ac:dyDescent="0.25">
      <c r="A26" s="25" t="s">
        <v>80</v>
      </c>
      <c r="B26" s="26" t="s">
        <v>81</v>
      </c>
      <c r="C26" s="27"/>
      <c r="D26" s="27"/>
      <c r="E26" s="27"/>
      <c r="F26" s="31">
        <v>0</v>
      </c>
      <c r="G26" s="31">
        <v>0</v>
      </c>
      <c r="H26" s="31">
        <v>0</v>
      </c>
      <c r="I26" s="31">
        <v>0</v>
      </c>
      <c r="J26" s="31">
        <v>0</v>
      </c>
      <c r="K26" s="31">
        <v>0</v>
      </c>
      <c r="L26" s="31">
        <v>0</v>
      </c>
      <c r="M26" s="31">
        <v>0</v>
      </c>
      <c r="N26" s="31">
        <v>0</v>
      </c>
      <c r="O26" s="31">
        <v>0</v>
      </c>
      <c r="P26" s="27"/>
      <c r="Q26" s="29"/>
      <c r="R26" s="30"/>
    </row>
    <row r="27" spans="1:18" ht="69.75" x14ac:dyDescent="0.25">
      <c r="A27" s="25" t="s">
        <v>82</v>
      </c>
      <c r="B27" s="26" t="s">
        <v>83</v>
      </c>
      <c r="C27" s="27" t="s">
        <v>84</v>
      </c>
      <c r="D27" s="27" t="s">
        <v>39</v>
      </c>
      <c r="E27" s="27" t="s">
        <v>40</v>
      </c>
      <c r="F27" s="28">
        <f>SUM(F28:F30)+162848.66</f>
        <v>162848.66</v>
      </c>
      <c r="G27" s="28">
        <f>SUM(G28:G30)+29000</f>
        <v>29000</v>
      </c>
      <c r="H27" s="28">
        <f>SUM(H28:H30)</f>
        <v>0</v>
      </c>
      <c r="I27" s="28">
        <f>SUM(I28:I30)</f>
        <v>0</v>
      </c>
      <c r="J27" s="28">
        <f>SUM(J28:J30)</f>
        <v>0</v>
      </c>
      <c r="K27" s="28">
        <f>SUM(K28:K30)</f>
        <v>0</v>
      </c>
      <c r="L27" s="28">
        <f>SUM(L28:L30)+48.66</f>
        <v>48.66</v>
      </c>
      <c r="M27" s="28">
        <f>SUM(M28:M30)+133800</f>
        <v>133800</v>
      </c>
      <c r="N27" s="28">
        <f>SUM(N28:N30)</f>
        <v>0</v>
      </c>
      <c r="O27" s="28">
        <f>SUM(O28:O30)</f>
        <v>0</v>
      </c>
      <c r="P27" s="27" t="s">
        <v>85</v>
      </c>
      <c r="Q27" s="29" t="s">
        <v>35</v>
      </c>
      <c r="R27" s="30" t="s">
        <v>86</v>
      </c>
    </row>
    <row r="28" spans="1:18" ht="46.5" x14ac:dyDescent="0.25">
      <c r="A28" s="32"/>
      <c r="B28" s="33"/>
      <c r="C28" s="34"/>
      <c r="D28" s="34"/>
      <c r="E28" s="34"/>
      <c r="F28" s="35">
        <v>0</v>
      </c>
      <c r="G28" s="35">
        <v>0</v>
      </c>
      <c r="H28" s="35">
        <v>0</v>
      </c>
      <c r="I28" s="35">
        <v>0</v>
      </c>
      <c r="J28" s="35">
        <v>0</v>
      </c>
      <c r="K28" s="35">
        <v>0</v>
      </c>
      <c r="L28" s="35">
        <v>0</v>
      </c>
      <c r="M28" s="35">
        <v>0</v>
      </c>
      <c r="N28" s="35">
        <v>0</v>
      </c>
      <c r="O28" s="35">
        <v>0</v>
      </c>
      <c r="P28" s="34" t="s">
        <v>87</v>
      </c>
      <c r="Q28" s="36" t="s">
        <v>35</v>
      </c>
      <c r="R28" s="37" t="s">
        <v>88</v>
      </c>
    </row>
    <row r="29" spans="1:18" ht="46.5" x14ac:dyDescent="0.25">
      <c r="A29" s="25" t="s">
        <v>89</v>
      </c>
      <c r="B29" s="26" t="s">
        <v>90</v>
      </c>
      <c r="C29" s="27"/>
      <c r="D29" s="27"/>
      <c r="E29" s="27"/>
      <c r="F29" s="31">
        <v>0</v>
      </c>
      <c r="G29" s="31">
        <v>0</v>
      </c>
      <c r="H29" s="31">
        <v>0</v>
      </c>
      <c r="I29" s="31">
        <v>0</v>
      </c>
      <c r="J29" s="31">
        <v>0</v>
      </c>
      <c r="K29" s="31">
        <v>0</v>
      </c>
      <c r="L29" s="31">
        <v>0</v>
      </c>
      <c r="M29" s="31">
        <v>0</v>
      </c>
      <c r="N29" s="31">
        <v>0</v>
      </c>
      <c r="O29" s="31">
        <v>0</v>
      </c>
      <c r="P29" s="27"/>
      <c r="Q29" s="29"/>
      <c r="R29" s="30"/>
    </row>
    <row r="30" spans="1:18" ht="46.5" x14ac:dyDescent="0.25">
      <c r="A30" s="25" t="s">
        <v>91</v>
      </c>
      <c r="B30" s="26" t="s">
        <v>92</v>
      </c>
      <c r="C30" s="27"/>
      <c r="D30" s="27"/>
      <c r="E30" s="27"/>
      <c r="F30" s="31">
        <v>0</v>
      </c>
      <c r="G30" s="31">
        <v>0</v>
      </c>
      <c r="H30" s="31">
        <v>0</v>
      </c>
      <c r="I30" s="31">
        <v>0</v>
      </c>
      <c r="J30" s="31">
        <v>0</v>
      </c>
      <c r="K30" s="31">
        <v>0</v>
      </c>
      <c r="L30" s="31">
        <v>0</v>
      </c>
      <c r="M30" s="31">
        <v>0</v>
      </c>
      <c r="N30" s="31">
        <v>0</v>
      </c>
      <c r="O30" s="31">
        <v>0</v>
      </c>
      <c r="P30" s="27"/>
      <c r="Q30" s="29"/>
      <c r="R30" s="30"/>
    </row>
    <row r="31" spans="1:18" ht="46.5" x14ac:dyDescent="0.25">
      <c r="A31" s="25" t="s">
        <v>93</v>
      </c>
      <c r="B31" s="26" t="s">
        <v>94</v>
      </c>
      <c r="C31" s="27" t="s">
        <v>23</v>
      </c>
      <c r="D31" s="27" t="s">
        <v>39</v>
      </c>
      <c r="E31" s="27" t="s">
        <v>40</v>
      </c>
      <c r="F31" s="28">
        <f>SUM(F32:F33)+46243.24</f>
        <v>46243.24</v>
      </c>
      <c r="G31" s="28">
        <f>SUM(G32:G33)</f>
        <v>0</v>
      </c>
      <c r="H31" s="28">
        <f>SUM(H32:H33)</f>
        <v>0</v>
      </c>
      <c r="I31" s="28">
        <f>SUM(I32:I33)</f>
        <v>0</v>
      </c>
      <c r="J31" s="28">
        <f>SUM(J32:J33)</f>
        <v>0</v>
      </c>
      <c r="K31" s="28">
        <f>SUM(K32:K33)</f>
        <v>0</v>
      </c>
      <c r="L31" s="28">
        <f>SUM(L32:L33)+46243.24</f>
        <v>46243.24</v>
      </c>
      <c r="M31" s="28">
        <f>SUM(M32:M33)</f>
        <v>0</v>
      </c>
      <c r="N31" s="28">
        <f>SUM(N32:N33)</f>
        <v>0</v>
      </c>
      <c r="O31" s="28">
        <f>SUM(O32:O33)</f>
        <v>0</v>
      </c>
      <c r="P31" s="27" t="s">
        <v>95</v>
      </c>
      <c r="Q31" s="29" t="s">
        <v>35</v>
      </c>
      <c r="R31" s="30" t="s">
        <v>48</v>
      </c>
    </row>
    <row r="32" spans="1:18" ht="46.5" x14ac:dyDescent="0.25">
      <c r="A32" s="25" t="s">
        <v>96</v>
      </c>
      <c r="B32" s="26" t="s">
        <v>97</v>
      </c>
      <c r="C32" s="27"/>
      <c r="D32" s="27"/>
      <c r="E32" s="27"/>
      <c r="F32" s="31">
        <v>0</v>
      </c>
      <c r="G32" s="31">
        <v>0</v>
      </c>
      <c r="H32" s="31">
        <v>0</v>
      </c>
      <c r="I32" s="31">
        <v>0</v>
      </c>
      <c r="J32" s="31">
        <v>0</v>
      </c>
      <c r="K32" s="31">
        <v>0</v>
      </c>
      <c r="L32" s="31">
        <v>0</v>
      </c>
      <c r="M32" s="31">
        <v>0</v>
      </c>
      <c r="N32" s="31">
        <v>0</v>
      </c>
      <c r="O32" s="31">
        <v>0</v>
      </c>
      <c r="P32" s="27"/>
      <c r="Q32" s="29"/>
      <c r="R32" s="30"/>
    </row>
    <row r="33" spans="1:18" ht="46.5" x14ac:dyDescent="0.25">
      <c r="A33" s="25" t="s">
        <v>98</v>
      </c>
      <c r="B33" s="26" t="s">
        <v>99</v>
      </c>
      <c r="C33" s="27"/>
      <c r="D33" s="27"/>
      <c r="E33" s="27"/>
      <c r="F33" s="31">
        <v>0</v>
      </c>
      <c r="G33" s="31">
        <v>0</v>
      </c>
      <c r="H33" s="31">
        <v>0</v>
      </c>
      <c r="I33" s="31">
        <v>0</v>
      </c>
      <c r="J33" s="31">
        <v>0</v>
      </c>
      <c r="K33" s="31">
        <v>0</v>
      </c>
      <c r="L33" s="31">
        <v>0</v>
      </c>
      <c r="M33" s="31">
        <v>0</v>
      </c>
      <c r="N33" s="31">
        <v>0</v>
      </c>
      <c r="O33" s="31">
        <v>0</v>
      </c>
      <c r="P33" s="27"/>
      <c r="Q33" s="29"/>
      <c r="R33" s="30"/>
    </row>
    <row r="34" spans="1:18" ht="46.5" x14ac:dyDescent="0.25">
      <c r="A34" s="25" t="s">
        <v>100</v>
      </c>
      <c r="B34" s="26" t="s">
        <v>101</v>
      </c>
      <c r="C34" s="27" t="s">
        <v>23</v>
      </c>
      <c r="D34" s="27" t="s">
        <v>39</v>
      </c>
      <c r="E34" s="27" t="s">
        <v>40</v>
      </c>
      <c r="F34" s="28">
        <f t="shared" ref="F34:O34" si="8">SUM(F35:F35)</f>
        <v>0</v>
      </c>
      <c r="G34" s="28">
        <f t="shared" si="8"/>
        <v>0</v>
      </c>
      <c r="H34" s="28">
        <f t="shared" si="8"/>
        <v>0</v>
      </c>
      <c r="I34" s="28">
        <f t="shared" si="8"/>
        <v>0</v>
      </c>
      <c r="J34" s="28">
        <f t="shared" si="8"/>
        <v>0</v>
      </c>
      <c r="K34" s="28">
        <f t="shared" si="8"/>
        <v>0</v>
      </c>
      <c r="L34" s="28">
        <f t="shared" si="8"/>
        <v>0</v>
      </c>
      <c r="M34" s="28">
        <f t="shared" si="8"/>
        <v>0</v>
      </c>
      <c r="N34" s="28">
        <f t="shared" si="8"/>
        <v>0</v>
      </c>
      <c r="O34" s="28">
        <f t="shared" si="8"/>
        <v>0</v>
      </c>
      <c r="P34" s="27" t="s">
        <v>102</v>
      </c>
      <c r="Q34" s="29" t="s">
        <v>35</v>
      </c>
      <c r="R34" s="30" t="s">
        <v>103</v>
      </c>
    </row>
    <row r="35" spans="1:18" ht="69.75" x14ac:dyDescent="0.25">
      <c r="A35" s="25" t="s">
        <v>104</v>
      </c>
      <c r="B35" s="26" t="s">
        <v>105</v>
      </c>
      <c r="C35" s="27"/>
      <c r="D35" s="27"/>
      <c r="E35" s="27"/>
      <c r="F35" s="31">
        <v>0</v>
      </c>
      <c r="G35" s="31">
        <v>0</v>
      </c>
      <c r="H35" s="31">
        <v>0</v>
      </c>
      <c r="I35" s="31">
        <v>0</v>
      </c>
      <c r="J35" s="31">
        <v>0</v>
      </c>
      <c r="K35" s="31">
        <v>0</v>
      </c>
      <c r="L35" s="31">
        <v>0</v>
      </c>
      <c r="M35" s="31">
        <v>0</v>
      </c>
      <c r="N35" s="31">
        <v>0</v>
      </c>
      <c r="O35" s="31">
        <v>0</v>
      </c>
      <c r="P35" s="27"/>
      <c r="Q35" s="29"/>
      <c r="R35" s="30"/>
    </row>
    <row r="36" spans="1:18" ht="69.75" x14ac:dyDescent="0.25">
      <c r="A36" s="25" t="s">
        <v>106</v>
      </c>
      <c r="B36" s="26" t="s">
        <v>107</v>
      </c>
      <c r="C36" s="27" t="s">
        <v>23</v>
      </c>
      <c r="D36" s="27" t="s">
        <v>27</v>
      </c>
      <c r="E36" s="27" t="s">
        <v>40</v>
      </c>
      <c r="F36" s="28">
        <f>SUM(F37:F37)+7680</f>
        <v>7680</v>
      </c>
      <c r="G36" s="28">
        <f>SUM(G37:G37)+7680</f>
        <v>7680</v>
      </c>
      <c r="H36" s="28">
        <f t="shared" ref="H36:O36" si="9">SUM(H37:H37)</f>
        <v>0</v>
      </c>
      <c r="I36" s="28">
        <f t="shared" si="9"/>
        <v>0</v>
      </c>
      <c r="J36" s="28">
        <f t="shared" si="9"/>
        <v>0</v>
      </c>
      <c r="K36" s="28">
        <f t="shared" si="9"/>
        <v>0</v>
      </c>
      <c r="L36" s="28">
        <f t="shared" si="9"/>
        <v>0</v>
      </c>
      <c r="M36" s="28">
        <f t="shared" si="9"/>
        <v>0</v>
      </c>
      <c r="N36" s="28">
        <f t="shared" si="9"/>
        <v>0</v>
      </c>
      <c r="O36" s="28">
        <f t="shared" si="9"/>
        <v>0</v>
      </c>
      <c r="P36" s="27" t="s">
        <v>108</v>
      </c>
      <c r="Q36" s="29" t="s">
        <v>35</v>
      </c>
      <c r="R36" s="30" t="s">
        <v>48</v>
      </c>
    </row>
    <row r="37" spans="1:18" ht="69.75" x14ac:dyDescent="0.25">
      <c r="A37" s="25" t="s">
        <v>109</v>
      </c>
      <c r="B37" s="26" t="s">
        <v>110</v>
      </c>
      <c r="C37" s="27"/>
      <c r="D37" s="27"/>
      <c r="E37" s="27"/>
      <c r="F37" s="31">
        <v>0</v>
      </c>
      <c r="G37" s="31">
        <v>0</v>
      </c>
      <c r="H37" s="31">
        <v>0</v>
      </c>
      <c r="I37" s="31">
        <v>0</v>
      </c>
      <c r="J37" s="31">
        <v>0</v>
      </c>
      <c r="K37" s="31">
        <v>0</v>
      </c>
      <c r="L37" s="31">
        <v>0</v>
      </c>
      <c r="M37" s="31">
        <v>0</v>
      </c>
      <c r="N37" s="31">
        <v>0</v>
      </c>
      <c r="O37" s="31">
        <v>0</v>
      </c>
      <c r="P37" s="27"/>
      <c r="Q37" s="29"/>
      <c r="R37" s="30"/>
    </row>
    <row r="38" spans="1:18" ht="69.75" x14ac:dyDescent="0.25">
      <c r="A38" s="25" t="s">
        <v>111</v>
      </c>
      <c r="B38" s="26" t="s">
        <v>112</v>
      </c>
      <c r="C38" s="27" t="s">
        <v>113</v>
      </c>
      <c r="D38" s="27" t="s">
        <v>27</v>
      </c>
      <c r="E38" s="27" t="s">
        <v>40</v>
      </c>
      <c r="F38" s="28">
        <f>SUM(F39:F39)+6884</f>
        <v>6884</v>
      </c>
      <c r="G38" s="28">
        <f>SUM(G39:G39)+6884</f>
        <v>6884</v>
      </c>
      <c r="H38" s="28">
        <f t="shared" ref="H38:O38" si="10">SUM(H39:H39)</f>
        <v>0</v>
      </c>
      <c r="I38" s="28">
        <f t="shared" si="10"/>
        <v>0</v>
      </c>
      <c r="J38" s="28">
        <f t="shared" si="10"/>
        <v>0</v>
      </c>
      <c r="K38" s="28">
        <f t="shared" si="10"/>
        <v>0</v>
      </c>
      <c r="L38" s="28">
        <f t="shared" si="10"/>
        <v>0</v>
      </c>
      <c r="M38" s="28">
        <f t="shared" si="10"/>
        <v>0</v>
      </c>
      <c r="N38" s="28">
        <f t="shared" si="10"/>
        <v>0</v>
      </c>
      <c r="O38" s="28">
        <f t="shared" si="10"/>
        <v>0</v>
      </c>
      <c r="P38" s="27" t="s">
        <v>114</v>
      </c>
      <c r="Q38" s="29" t="s">
        <v>35</v>
      </c>
      <c r="R38" s="30" t="s">
        <v>115</v>
      </c>
    </row>
    <row r="39" spans="1:18" ht="46.5" x14ac:dyDescent="0.25">
      <c r="A39" s="25" t="s">
        <v>116</v>
      </c>
      <c r="B39" s="26" t="s">
        <v>117</v>
      </c>
      <c r="C39" s="27"/>
      <c r="D39" s="27"/>
      <c r="E39" s="27"/>
      <c r="F39" s="31">
        <v>0</v>
      </c>
      <c r="G39" s="31">
        <v>0</v>
      </c>
      <c r="H39" s="31">
        <v>0</v>
      </c>
      <c r="I39" s="31">
        <v>0</v>
      </c>
      <c r="J39" s="31">
        <v>0</v>
      </c>
      <c r="K39" s="31">
        <v>0</v>
      </c>
      <c r="L39" s="31">
        <v>0</v>
      </c>
      <c r="M39" s="31">
        <v>0</v>
      </c>
      <c r="N39" s="31">
        <v>0</v>
      </c>
      <c r="O39" s="31">
        <v>0</v>
      </c>
      <c r="P39" s="27"/>
      <c r="Q39" s="29"/>
      <c r="R39" s="30"/>
    </row>
    <row r="40" spans="1:18" ht="69.75" x14ac:dyDescent="0.25">
      <c r="A40" s="25" t="s">
        <v>118</v>
      </c>
      <c r="B40" s="26" t="s">
        <v>119</v>
      </c>
      <c r="C40" s="27" t="s">
        <v>120</v>
      </c>
      <c r="D40" s="27" t="s">
        <v>27</v>
      </c>
      <c r="E40" s="27" t="s">
        <v>40</v>
      </c>
      <c r="F40" s="28">
        <f>SUM(F41:F41)+2250</f>
        <v>2250</v>
      </c>
      <c r="G40" s="28">
        <f>SUM(G41:G41)+2250</f>
        <v>2250</v>
      </c>
      <c r="H40" s="28">
        <f t="shared" ref="H40:O40" si="11">SUM(H41:H41)</f>
        <v>0</v>
      </c>
      <c r="I40" s="28">
        <f t="shared" si="11"/>
        <v>0</v>
      </c>
      <c r="J40" s="28">
        <f t="shared" si="11"/>
        <v>0</v>
      </c>
      <c r="K40" s="28">
        <f t="shared" si="11"/>
        <v>0</v>
      </c>
      <c r="L40" s="28">
        <f t="shared" si="11"/>
        <v>0</v>
      </c>
      <c r="M40" s="28">
        <f t="shared" si="11"/>
        <v>0</v>
      </c>
      <c r="N40" s="28">
        <f t="shared" si="11"/>
        <v>0</v>
      </c>
      <c r="O40" s="28">
        <f t="shared" si="11"/>
        <v>0</v>
      </c>
      <c r="P40" s="27" t="s">
        <v>114</v>
      </c>
      <c r="Q40" s="29" t="s">
        <v>35</v>
      </c>
      <c r="R40" s="30" t="s">
        <v>54</v>
      </c>
    </row>
    <row r="41" spans="1:18" ht="46.5" x14ac:dyDescent="0.25">
      <c r="A41" s="25" t="s">
        <v>121</v>
      </c>
      <c r="B41" s="26" t="s">
        <v>117</v>
      </c>
      <c r="C41" s="27"/>
      <c r="D41" s="27"/>
      <c r="E41" s="27"/>
      <c r="F41" s="31">
        <v>0</v>
      </c>
      <c r="G41" s="31">
        <v>0</v>
      </c>
      <c r="H41" s="31">
        <v>0</v>
      </c>
      <c r="I41" s="31">
        <v>0</v>
      </c>
      <c r="J41" s="31">
        <v>0</v>
      </c>
      <c r="K41" s="31">
        <v>0</v>
      </c>
      <c r="L41" s="31">
        <v>0</v>
      </c>
      <c r="M41" s="31">
        <v>0</v>
      </c>
      <c r="N41" s="31">
        <v>0</v>
      </c>
      <c r="O41" s="31">
        <v>0</v>
      </c>
      <c r="P41" s="27"/>
      <c r="Q41" s="29"/>
      <c r="R41" s="30"/>
    </row>
    <row r="42" spans="1:18" ht="69.75" x14ac:dyDescent="0.25">
      <c r="A42" s="25" t="s">
        <v>122</v>
      </c>
      <c r="B42" s="26" t="s">
        <v>123</v>
      </c>
      <c r="C42" s="27" t="s">
        <v>124</v>
      </c>
      <c r="D42" s="27" t="s">
        <v>27</v>
      </c>
      <c r="E42" s="27" t="s">
        <v>40</v>
      </c>
      <c r="F42" s="28">
        <f>SUM(F43:F43)+10930</f>
        <v>10930</v>
      </c>
      <c r="G42" s="28">
        <f>SUM(G43:G43)+10930</f>
        <v>10930</v>
      </c>
      <c r="H42" s="28">
        <f t="shared" ref="H42:O42" si="12">SUM(H43:H43)</f>
        <v>0</v>
      </c>
      <c r="I42" s="28">
        <f t="shared" si="12"/>
        <v>0</v>
      </c>
      <c r="J42" s="28">
        <f t="shared" si="12"/>
        <v>0</v>
      </c>
      <c r="K42" s="28">
        <f t="shared" si="12"/>
        <v>0</v>
      </c>
      <c r="L42" s="28">
        <f t="shared" si="12"/>
        <v>0</v>
      </c>
      <c r="M42" s="28">
        <f t="shared" si="12"/>
        <v>0</v>
      </c>
      <c r="N42" s="28">
        <f t="shared" si="12"/>
        <v>0</v>
      </c>
      <c r="O42" s="28">
        <f t="shared" si="12"/>
        <v>0</v>
      </c>
      <c r="P42" s="27" t="s">
        <v>114</v>
      </c>
      <c r="Q42" s="29" t="s">
        <v>35</v>
      </c>
      <c r="R42" s="30" t="s">
        <v>125</v>
      </c>
    </row>
    <row r="43" spans="1:18" ht="46.5" x14ac:dyDescent="0.25">
      <c r="A43" s="25" t="s">
        <v>126</v>
      </c>
      <c r="B43" s="26" t="s">
        <v>117</v>
      </c>
      <c r="C43" s="27"/>
      <c r="D43" s="27"/>
      <c r="E43" s="27"/>
      <c r="F43" s="31">
        <v>0</v>
      </c>
      <c r="G43" s="31">
        <v>0</v>
      </c>
      <c r="H43" s="31">
        <v>0</v>
      </c>
      <c r="I43" s="31">
        <v>0</v>
      </c>
      <c r="J43" s="31">
        <v>0</v>
      </c>
      <c r="K43" s="31">
        <v>0</v>
      </c>
      <c r="L43" s="31">
        <v>0</v>
      </c>
      <c r="M43" s="31">
        <v>0</v>
      </c>
      <c r="N43" s="31">
        <v>0</v>
      </c>
      <c r="O43" s="31">
        <v>0</v>
      </c>
      <c r="P43" s="27"/>
      <c r="Q43" s="29"/>
      <c r="R43" s="30"/>
    </row>
    <row r="44" spans="1:18" ht="69.75" x14ac:dyDescent="0.25">
      <c r="A44" s="25" t="s">
        <v>127</v>
      </c>
      <c r="B44" s="26" t="s">
        <v>128</v>
      </c>
      <c r="C44" s="27" t="s">
        <v>129</v>
      </c>
      <c r="D44" s="27" t="s">
        <v>27</v>
      </c>
      <c r="E44" s="27" t="s">
        <v>40</v>
      </c>
      <c r="F44" s="28">
        <f>SUM(F45:F45)+5700</f>
        <v>5700</v>
      </c>
      <c r="G44" s="28">
        <f>SUM(G45:G45)+5700</f>
        <v>5700</v>
      </c>
      <c r="H44" s="28">
        <f t="shared" ref="H44:O44" si="13">SUM(H45:H45)</f>
        <v>0</v>
      </c>
      <c r="I44" s="28">
        <f t="shared" si="13"/>
        <v>0</v>
      </c>
      <c r="J44" s="28">
        <f t="shared" si="13"/>
        <v>0</v>
      </c>
      <c r="K44" s="28">
        <f t="shared" si="13"/>
        <v>0</v>
      </c>
      <c r="L44" s="28">
        <f t="shared" si="13"/>
        <v>0</v>
      </c>
      <c r="M44" s="28">
        <f t="shared" si="13"/>
        <v>0</v>
      </c>
      <c r="N44" s="28">
        <f t="shared" si="13"/>
        <v>0</v>
      </c>
      <c r="O44" s="28">
        <f t="shared" si="13"/>
        <v>0</v>
      </c>
      <c r="P44" s="27" t="s">
        <v>114</v>
      </c>
      <c r="Q44" s="29" t="s">
        <v>35</v>
      </c>
      <c r="R44" s="30" t="s">
        <v>130</v>
      </c>
    </row>
    <row r="45" spans="1:18" ht="46.5" x14ac:dyDescent="0.25">
      <c r="A45" s="25" t="s">
        <v>131</v>
      </c>
      <c r="B45" s="26" t="s">
        <v>117</v>
      </c>
      <c r="C45" s="27"/>
      <c r="D45" s="27"/>
      <c r="E45" s="27"/>
      <c r="F45" s="31">
        <v>0</v>
      </c>
      <c r="G45" s="31">
        <v>0</v>
      </c>
      <c r="H45" s="31">
        <v>0</v>
      </c>
      <c r="I45" s="31">
        <v>0</v>
      </c>
      <c r="J45" s="31">
        <v>0</v>
      </c>
      <c r="K45" s="31">
        <v>0</v>
      </c>
      <c r="L45" s="31">
        <v>0</v>
      </c>
      <c r="M45" s="31">
        <v>0</v>
      </c>
      <c r="N45" s="31">
        <v>0</v>
      </c>
      <c r="O45" s="31">
        <v>0</v>
      </c>
      <c r="P45" s="27"/>
      <c r="Q45" s="29"/>
      <c r="R45" s="30"/>
    </row>
    <row r="46" spans="1:18" ht="69.75" x14ac:dyDescent="0.25">
      <c r="A46" s="25" t="s">
        <v>132</v>
      </c>
      <c r="B46" s="26" t="s">
        <v>133</v>
      </c>
      <c r="C46" s="27" t="s">
        <v>134</v>
      </c>
      <c r="D46" s="27" t="s">
        <v>27</v>
      </c>
      <c r="E46" s="27" t="s">
        <v>40</v>
      </c>
      <c r="F46" s="28">
        <f>SUM(F47:F47)+2510</f>
        <v>2510</v>
      </c>
      <c r="G46" s="28">
        <f>SUM(G47:G47)+2510</f>
        <v>2510</v>
      </c>
      <c r="H46" s="28">
        <f t="shared" ref="H46:O46" si="14">SUM(H47:H47)</f>
        <v>0</v>
      </c>
      <c r="I46" s="28">
        <f t="shared" si="14"/>
        <v>0</v>
      </c>
      <c r="J46" s="28">
        <f t="shared" si="14"/>
        <v>0</v>
      </c>
      <c r="K46" s="28">
        <f t="shared" si="14"/>
        <v>0</v>
      </c>
      <c r="L46" s="28">
        <f t="shared" si="14"/>
        <v>0</v>
      </c>
      <c r="M46" s="28">
        <f t="shared" si="14"/>
        <v>0</v>
      </c>
      <c r="N46" s="28">
        <f t="shared" si="14"/>
        <v>0</v>
      </c>
      <c r="O46" s="28">
        <f t="shared" si="14"/>
        <v>0</v>
      </c>
      <c r="P46" s="27" t="s">
        <v>114</v>
      </c>
      <c r="Q46" s="29" t="s">
        <v>35</v>
      </c>
      <c r="R46" s="30" t="s">
        <v>135</v>
      </c>
    </row>
    <row r="47" spans="1:18" ht="46.5" x14ac:dyDescent="0.25">
      <c r="A47" s="25" t="s">
        <v>136</v>
      </c>
      <c r="B47" s="26" t="s">
        <v>117</v>
      </c>
      <c r="C47" s="27"/>
      <c r="D47" s="27"/>
      <c r="E47" s="27"/>
      <c r="F47" s="31">
        <v>0</v>
      </c>
      <c r="G47" s="31">
        <v>0</v>
      </c>
      <c r="H47" s="31">
        <v>0</v>
      </c>
      <c r="I47" s="31">
        <v>0</v>
      </c>
      <c r="J47" s="31">
        <v>0</v>
      </c>
      <c r="K47" s="31">
        <v>0</v>
      </c>
      <c r="L47" s="31">
        <v>0</v>
      </c>
      <c r="M47" s="31">
        <v>0</v>
      </c>
      <c r="N47" s="31">
        <v>0</v>
      </c>
      <c r="O47" s="31">
        <v>0</v>
      </c>
      <c r="P47" s="27"/>
      <c r="Q47" s="29"/>
      <c r="R47" s="30"/>
    </row>
    <row r="48" spans="1:18" ht="90" x14ac:dyDescent="0.25">
      <c r="A48" s="19" t="s">
        <v>137</v>
      </c>
      <c r="B48" s="20" t="s">
        <v>138</v>
      </c>
      <c r="C48" s="21" t="s">
        <v>23</v>
      </c>
      <c r="D48" s="21" t="s">
        <v>27</v>
      </c>
      <c r="E48" s="21" t="s">
        <v>33</v>
      </c>
      <c r="F48" s="22">
        <f t="shared" ref="F48:O48" si="15">F49+F51</f>
        <v>8000</v>
      </c>
      <c r="G48" s="22">
        <f t="shared" si="15"/>
        <v>8000</v>
      </c>
      <c r="H48" s="22">
        <f t="shared" si="15"/>
        <v>0</v>
      </c>
      <c r="I48" s="22">
        <f t="shared" si="15"/>
        <v>0</v>
      </c>
      <c r="J48" s="22">
        <f t="shared" si="15"/>
        <v>0</v>
      </c>
      <c r="K48" s="22">
        <f t="shared" si="15"/>
        <v>0</v>
      </c>
      <c r="L48" s="22">
        <f t="shared" si="15"/>
        <v>0</v>
      </c>
      <c r="M48" s="22">
        <f t="shared" si="15"/>
        <v>0</v>
      </c>
      <c r="N48" s="22">
        <f t="shared" si="15"/>
        <v>0</v>
      </c>
      <c r="O48" s="22">
        <f t="shared" si="15"/>
        <v>0</v>
      </c>
      <c r="P48" s="21" t="s">
        <v>139</v>
      </c>
      <c r="Q48" s="23" t="s">
        <v>35</v>
      </c>
      <c r="R48" s="24" t="s">
        <v>140</v>
      </c>
    </row>
    <row r="49" spans="1:18" ht="162.75" x14ac:dyDescent="0.25">
      <c r="A49" s="25" t="s">
        <v>141</v>
      </c>
      <c r="B49" s="26" t="s">
        <v>142</v>
      </c>
      <c r="C49" s="27" t="s">
        <v>23</v>
      </c>
      <c r="D49" s="27" t="s">
        <v>27</v>
      </c>
      <c r="E49" s="27" t="s">
        <v>40</v>
      </c>
      <c r="F49" s="28">
        <f>SUM(F50:F50)+3000</f>
        <v>3000</v>
      </c>
      <c r="G49" s="28">
        <f>SUM(G50:G50)+3000</f>
        <v>3000</v>
      </c>
      <c r="H49" s="28">
        <f t="shared" ref="H49:O49" si="16">SUM(H50:H50)</f>
        <v>0</v>
      </c>
      <c r="I49" s="28">
        <f t="shared" si="16"/>
        <v>0</v>
      </c>
      <c r="J49" s="28">
        <f t="shared" si="16"/>
        <v>0</v>
      </c>
      <c r="K49" s="28">
        <f t="shared" si="16"/>
        <v>0</v>
      </c>
      <c r="L49" s="28">
        <f t="shared" si="16"/>
        <v>0</v>
      </c>
      <c r="M49" s="28">
        <f t="shared" si="16"/>
        <v>0</v>
      </c>
      <c r="N49" s="28">
        <f t="shared" si="16"/>
        <v>0</v>
      </c>
      <c r="O49" s="28">
        <f t="shared" si="16"/>
        <v>0</v>
      </c>
      <c r="P49" s="27" t="s">
        <v>143</v>
      </c>
      <c r="Q49" s="29" t="s">
        <v>35</v>
      </c>
      <c r="R49" s="30" t="s">
        <v>144</v>
      </c>
    </row>
    <row r="50" spans="1:18" ht="93" x14ac:dyDescent="0.25">
      <c r="A50" s="25" t="s">
        <v>145</v>
      </c>
      <c r="B50" s="26" t="s">
        <v>146</v>
      </c>
      <c r="C50" s="27"/>
      <c r="D50" s="27"/>
      <c r="E50" s="27"/>
      <c r="F50" s="31">
        <v>0</v>
      </c>
      <c r="G50" s="31">
        <v>0</v>
      </c>
      <c r="H50" s="31">
        <v>0</v>
      </c>
      <c r="I50" s="31">
        <v>0</v>
      </c>
      <c r="J50" s="31">
        <v>0</v>
      </c>
      <c r="K50" s="31">
        <v>0</v>
      </c>
      <c r="L50" s="31">
        <v>0</v>
      </c>
      <c r="M50" s="31">
        <v>0</v>
      </c>
      <c r="N50" s="31">
        <v>0</v>
      </c>
      <c r="O50" s="31">
        <v>0</v>
      </c>
      <c r="P50" s="27"/>
      <c r="Q50" s="29"/>
      <c r="R50" s="30"/>
    </row>
    <row r="51" spans="1:18" ht="46.5" x14ac:dyDescent="0.25">
      <c r="A51" s="25" t="s">
        <v>147</v>
      </c>
      <c r="B51" s="26" t="s">
        <v>148</v>
      </c>
      <c r="C51" s="27" t="s">
        <v>23</v>
      </c>
      <c r="D51" s="27" t="s">
        <v>27</v>
      </c>
      <c r="E51" s="27" t="s">
        <v>40</v>
      </c>
      <c r="F51" s="28">
        <f>SUM(F52:F52)+5000</f>
        <v>5000</v>
      </c>
      <c r="G51" s="28">
        <f>SUM(G52:G52)+5000</f>
        <v>5000</v>
      </c>
      <c r="H51" s="28">
        <f t="shared" ref="H51:O51" si="17">SUM(H52:H52)</f>
        <v>0</v>
      </c>
      <c r="I51" s="28">
        <f t="shared" si="17"/>
        <v>0</v>
      </c>
      <c r="J51" s="28">
        <f t="shared" si="17"/>
        <v>0</v>
      </c>
      <c r="K51" s="28">
        <f t="shared" si="17"/>
        <v>0</v>
      </c>
      <c r="L51" s="28">
        <f t="shared" si="17"/>
        <v>0</v>
      </c>
      <c r="M51" s="28">
        <f t="shared" si="17"/>
        <v>0</v>
      </c>
      <c r="N51" s="28">
        <f t="shared" si="17"/>
        <v>0</v>
      </c>
      <c r="O51" s="28">
        <f t="shared" si="17"/>
        <v>0</v>
      </c>
      <c r="P51" s="27" t="s">
        <v>149</v>
      </c>
      <c r="Q51" s="29" t="s">
        <v>35</v>
      </c>
      <c r="R51" s="30" t="s">
        <v>150</v>
      </c>
    </row>
    <row r="52" spans="1:18" ht="69.75" x14ac:dyDescent="0.25">
      <c r="A52" s="25" t="s">
        <v>151</v>
      </c>
      <c r="B52" s="26" t="s">
        <v>152</v>
      </c>
      <c r="C52" s="27"/>
      <c r="D52" s="27"/>
      <c r="E52" s="27"/>
      <c r="F52" s="31">
        <v>0</v>
      </c>
      <c r="G52" s="31">
        <v>0</v>
      </c>
      <c r="H52" s="31">
        <v>0</v>
      </c>
      <c r="I52" s="31">
        <v>0</v>
      </c>
      <c r="J52" s="31">
        <v>0</v>
      </c>
      <c r="K52" s="31">
        <v>0</v>
      </c>
      <c r="L52" s="31">
        <v>0</v>
      </c>
      <c r="M52" s="31">
        <v>0</v>
      </c>
      <c r="N52" s="31">
        <v>0</v>
      </c>
      <c r="O52" s="31">
        <v>0</v>
      </c>
      <c r="P52" s="27"/>
      <c r="Q52" s="29"/>
      <c r="R52" s="30"/>
    </row>
    <row r="53" spans="1:18" ht="67.5" x14ac:dyDescent="0.25">
      <c r="A53" s="13" t="s">
        <v>153</v>
      </c>
      <c r="B53" s="14" t="s">
        <v>154</v>
      </c>
      <c r="C53" s="15" t="s">
        <v>23</v>
      </c>
      <c r="D53" s="15" t="s">
        <v>27</v>
      </c>
      <c r="E53" s="15"/>
      <c r="F53" s="16">
        <f t="shared" ref="F53:O54" si="18">SUM(F54:F54)</f>
        <v>5000</v>
      </c>
      <c r="G53" s="16">
        <f t="shared" si="18"/>
        <v>5000</v>
      </c>
      <c r="H53" s="16">
        <f t="shared" si="18"/>
        <v>0</v>
      </c>
      <c r="I53" s="16">
        <f t="shared" si="18"/>
        <v>0</v>
      </c>
      <c r="J53" s="16">
        <f t="shared" si="18"/>
        <v>0</v>
      </c>
      <c r="K53" s="16">
        <f t="shared" si="18"/>
        <v>0</v>
      </c>
      <c r="L53" s="16">
        <f t="shared" si="18"/>
        <v>0</v>
      </c>
      <c r="M53" s="16">
        <f t="shared" si="18"/>
        <v>0</v>
      </c>
      <c r="N53" s="16">
        <f t="shared" si="18"/>
        <v>0</v>
      </c>
      <c r="O53" s="16">
        <f t="shared" si="18"/>
        <v>0</v>
      </c>
      <c r="P53" s="15" t="s">
        <v>155</v>
      </c>
      <c r="Q53" s="17" t="s">
        <v>29</v>
      </c>
      <c r="R53" s="18" t="s">
        <v>156</v>
      </c>
    </row>
    <row r="54" spans="1:18" ht="67.5" x14ac:dyDescent="0.25">
      <c r="A54" s="19" t="s">
        <v>157</v>
      </c>
      <c r="B54" s="20" t="s">
        <v>158</v>
      </c>
      <c r="C54" s="21" t="s">
        <v>23</v>
      </c>
      <c r="D54" s="21" t="s">
        <v>27</v>
      </c>
      <c r="E54" s="21" t="s">
        <v>33</v>
      </c>
      <c r="F54" s="22">
        <f t="shared" si="18"/>
        <v>5000</v>
      </c>
      <c r="G54" s="22">
        <f t="shared" si="18"/>
        <v>5000</v>
      </c>
      <c r="H54" s="22">
        <f t="shared" si="18"/>
        <v>0</v>
      </c>
      <c r="I54" s="22">
        <f t="shared" si="18"/>
        <v>0</v>
      </c>
      <c r="J54" s="22">
        <f t="shared" si="18"/>
        <v>0</v>
      </c>
      <c r="K54" s="22">
        <f t="shared" si="18"/>
        <v>0</v>
      </c>
      <c r="L54" s="22">
        <f t="shared" si="18"/>
        <v>0</v>
      </c>
      <c r="M54" s="22">
        <f t="shared" si="18"/>
        <v>0</v>
      </c>
      <c r="N54" s="22">
        <f t="shared" si="18"/>
        <v>0</v>
      </c>
      <c r="O54" s="22">
        <f t="shared" si="18"/>
        <v>0</v>
      </c>
      <c r="P54" s="21" t="s">
        <v>159</v>
      </c>
      <c r="Q54" s="23" t="s">
        <v>35</v>
      </c>
      <c r="R54" s="24" t="s">
        <v>48</v>
      </c>
    </row>
    <row r="55" spans="1:18" ht="46.5" x14ac:dyDescent="0.25">
      <c r="A55" s="25" t="s">
        <v>160</v>
      </c>
      <c r="B55" s="26" t="s">
        <v>161</v>
      </c>
      <c r="C55" s="27" t="s">
        <v>23</v>
      </c>
      <c r="D55" s="27" t="s">
        <v>27</v>
      </c>
      <c r="E55" s="27" t="s">
        <v>40</v>
      </c>
      <c r="F55" s="28">
        <f>SUM(F56:F56)+5000</f>
        <v>5000</v>
      </c>
      <c r="G55" s="28">
        <f>SUM(G56:G56)+5000</f>
        <v>5000</v>
      </c>
      <c r="H55" s="28">
        <f t="shared" ref="H55:O55" si="19">SUM(H56:H56)</f>
        <v>0</v>
      </c>
      <c r="I55" s="28">
        <f t="shared" si="19"/>
        <v>0</v>
      </c>
      <c r="J55" s="28">
        <f t="shared" si="19"/>
        <v>0</v>
      </c>
      <c r="K55" s="28">
        <f t="shared" si="19"/>
        <v>0</v>
      </c>
      <c r="L55" s="28">
        <f t="shared" si="19"/>
        <v>0</v>
      </c>
      <c r="M55" s="28">
        <f t="shared" si="19"/>
        <v>0</v>
      </c>
      <c r="N55" s="28">
        <f t="shared" si="19"/>
        <v>0</v>
      </c>
      <c r="O55" s="28">
        <f t="shared" si="19"/>
        <v>0</v>
      </c>
      <c r="P55" s="27" t="s">
        <v>162</v>
      </c>
      <c r="Q55" s="29" t="s">
        <v>35</v>
      </c>
      <c r="R55" s="30" t="s">
        <v>163</v>
      </c>
    </row>
    <row r="56" spans="1:18" ht="46.5" x14ac:dyDescent="0.25">
      <c r="A56" s="25" t="s">
        <v>164</v>
      </c>
      <c r="B56" s="26" t="s">
        <v>165</v>
      </c>
      <c r="C56" s="27"/>
      <c r="D56" s="27"/>
      <c r="E56" s="27"/>
      <c r="F56" s="31">
        <v>0</v>
      </c>
      <c r="G56" s="31">
        <v>0</v>
      </c>
      <c r="H56" s="31">
        <v>0</v>
      </c>
      <c r="I56" s="31">
        <v>0</v>
      </c>
      <c r="J56" s="31">
        <v>0</v>
      </c>
      <c r="K56" s="31">
        <v>0</v>
      </c>
      <c r="L56" s="31">
        <v>0</v>
      </c>
      <c r="M56" s="31">
        <v>0</v>
      </c>
      <c r="N56" s="31">
        <v>0</v>
      </c>
      <c r="O56" s="31">
        <v>0</v>
      </c>
      <c r="P56" s="27"/>
      <c r="Q56" s="29"/>
      <c r="R56" s="30"/>
    </row>
    <row r="57" spans="1:18" ht="45" x14ac:dyDescent="0.25">
      <c r="A57" s="13" t="s">
        <v>166</v>
      </c>
      <c r="B57" s="14" t="s">
        <v>167</v>
      </c>
      <c r="C57" s="15" t="s">
        <v>23</v>
      </c>
      <c r="D57" s="15" t="s">
        <v>27</v>
      </c>
      <c r="E57" s="15"/>
      <c r="F57" s="16">
        <f t="shared" ref="F57:O57" si="20">SUM(F58:F58)</f>
        <v>30000</v>
      </c>
      <c r="G57" s="16">
        <f t="shared" si="20"/>
        <v>30000</v>
      </c>
      <c r="H57" s="16">
        <f t="shared" si="20"/>
        <v>0</v>
      </c>
      <c r="I57" s="16">
        <f t="shared" si="20"/>
        <v>0</v>
      </c>
      <c r="J57" s="16">
        <f t="shared" si="20"/>
        <v>0</v>
      </c>
      <c r="K57" s="16">
        <f t="shared" si="20"/>
        <v>0</v>
      </c>
      <c r="L57" s="16">
        <f t="shared" si="20"/>
        <v>0</v>
      </c>
      <c r="M57" s="16">
        <f t="shared" si="20"/>
        <v>0</v>
      </c>
      <c r="N57" s="16">
        <f t="shared" si="20"/>
        <v>0</v>
      </c>
      <c r="O57" s="16">
        <f t="shared" si="20"/>
        <v>0</v>
      </c>
      <c r="P57" s="15" t="s">
        <v>168</v>
      </c>
      <c r="Q57" s="17" t="s">
        <v>29</v>
      </c>
      <c r="R57" s="18" t="s">
        <v>169</v>
      </c>
    </row>
    <row r="58" spans="1:18" ht="67.5" x14ac:dyDescent="0.25">
      <c r="A58" s="19" t="s">
        <v>170</v>
      </c>
      <c r="B58" s="20" t="s">
        <v>171</v>
      </c>
      <c r="C58" s="21" t="s">
        <v>23</v>
      </c>
      <c r="D58" s="21" t="s">
        <v>27</v>
      </c>
      <c r="E58" s="21" t="s">
        <v>33</v>
      </c>
      <c r="F58" s="22">
        <f t="shared" ref="F58:O58" si="21">F59+F61</f>
        <v>30000</v>
      </c>
      <c r="G58" s="22">
        <f t="shared" si="21"/>
        <v>30000</v>
      </c>
      <c r="H58" s="22">
        <f t="shared" si="21"/>
        <v>0</v>
      </c>
      <c r="I58" s="22">
        <f t="shared" si="21"/>
        <v>0</v>
      </c>
      <c r="J58" s="22">
        <f t="shared" si="21"/>
        <v>0</v>
      </c>
      <c r="K58" s="22">
        <f t="shared" si="21"/>
        <v>0</v>
      </c>
      <c r="L58" s="22">
        <f t="shared" si="21"/>
        <v>0</v>
      </c>
      <c r="M58" s="22">
        <f t="shared" si="21"/>
        <v>0</v>
      </c>
      <c r="N58" s="22">
        <f t="shared" si="21"/>
        <v>0</v>
      </c>
      <c r="O58" s="22">
        <f t="shared" si="21"/>
        <v>0</v>
      </c>
      <c r="P58" s="21" t="s">
        <v>159</v>
      </c>
      <c r="Q58" s="23" t="s">
        <v>35</v>
      </c>
      <c r="R58" s="24" t="s">
        <v>172</v>
      </c>
    </row>
    <row r="59" spans="1:18" ht="46.5" x14ac:dyDescent="0.25">
      <c r="A59" s="25" t="s">
        <v>173</v>
      </c>
      <c r="B59" s="26" t="s">
        <v>174</v>
      </c>
      <c r="C59" s="27" t="s">
        <v>23</v>
      </c>
      <c r="D59" s="27" t="s">
        <v>27</v>
      </c>
      <c r="E59" s="27" t="s">
        <v>40</v>
      </c>
      <c r="F59" s="28">
        <f>SUM(F60:F60)+30000</f>
        <v>30000</v>
      </c>
      <c r="G59" s="28">
        <f>SUM(G60:G60)+30000</f>
        <v>30000</v>
      </c>
      <c r="H59" s="28">
        <f t="shared" ref="H59:O59" si="22">SUM(H60:H60)</f>
        <v>0</v>
      </c>
      <c r="I59" s="28">
        <f t="shared" si="22"/>
        <v>0</v>
      </c>
      <c r="J59" s="28">
        <f t="shared" si="22"/>
        <v>0</v>
      </c>
      <c r="K59" s="28">
        <f t="shared" si="22"/>
        <v>0</v>
      </c>
      <c r="L59" s="28">
        <f t="shared" si="22"/>
        <v>0</v>
      </c>
      <c r="M59" s="28">
        <f t="shared" si="22"/>
        <v>0</v>
      </c>
      <c r="N59" s="28">
        <f t="shared" si="22"/>
        <v>0</v>
      </c>
      <c r="O59" s="28">
        <f t="shared" si="22"/>
        <v>0</v>
      </c>
      <c r="P59" s="27" t="s">
        <v>175</v>
      </c>
      <c r="Q59" s="29" t="s">
        <v>35</v>
      </c>
      <c r="R59" s="30" t="s">
        <v>66</v>
      </c>
    </row>
    <row r="60" spans="1:18" ht="69.75" x14ac:dyDescent="0.25">
      <c r="A60" s="25" t="s">
        <v>176</v>
      </c>
      <c r="B60" s="26" t="s">
        <v>177</v>
      </c>
      <c r="C60" s="27"/>
      <c r="D60" s="27"/>
      <c r="E60" s="27"/>
      <c r="F60" s="31">
        <v>0</v>
      </c>
      <c r="G60" s="31">
        <v>0</v>
      </c>
      <c r="H60" s="31">
        <v>0</v>
      </c>
      <c r="I60" s="31">
        <v>0</v>
      </c>
      <c r="J60" s="31">
        <v>0</v>
      </c>
      <c r="K60" s="31">
        <v>0</v>
      </c>
      <c r="L60" s="31">
        <v>0</v>
      </c>
      <c r="M60" s="31">
        <v>0</v>
      </c>
      <c r="N60" s="31">
        <v>0</v>
      </c>
      <c r="O60" s="31">
        <v>0</v>
      </c>
      <c r="P60" s="27"/>
      <c r="Q60" s="29"/>
      <c r="R60" s="30"/>
    </row>
    <row r="61" spans="1:18" ht="46.5" x14ac:dyDescent="0.25">
      <c r="A61" s="25" t="s">
        <v>178</v>
      </c>
      <c r="B61" s="26" t="s">
        <v>179</v>
      </c>
      <c r="C61" s="27" t="s">
        <v>23</v>
      </c>
      <c r="D61" s="27" t="s">
        <v>27</v>
      </c>
      <c r="E61" s="27" t="s">
        <v>40</v>
      </c>
      <c r="F61" s="28">
        <f t="shared" ref="F61:O61" si="23">SUM(F62:F62)</f>
        <v>0</v>
      </c>
      <c r="G61" s="28">
        <f t="shared" si="23"/>
        <v>0</v>
      </c>
      <c r="H61" s="28">
        <f t="shared" si="23"/>
        <v>0</v>
      </c>
      <c r="I61" s="28">
        <f t="shared" si="23"/>
        <v>0</v>
      </c>
      <c r="J61" s="28">
        <f t="shared" si="23"/>
        <v>0</v>
      </c>
      <c r="K61" s="28">
        <f t="shared" si="23"/>
        <v>0</v>
      </c>
      <c r="L61" s="28">
        <f t="shared" si="23"/>
        <v>0</v>
      </c>
      <c r="M61" s="28">
        <f t="shared" si="23"/>
        <v>0</v>
      </c>
      <c r="N61" s="28">
        <f t="shared" si="23"/>
        <v>0</v>
      </c>
      <c r="O61" s="28">
        <f t="shared" si="23"/>
        <v>0</v>
      </c>
      <c r="P61" s="27" t="s">
        <v>180</v>
      </c>
      <c r="Q61" s="29" t="s">
        <v>35</v>
      </c>
      <c r="R61" s="30" t="s">
        <v>181</v>
      </c>
    </row>
    <row r="62" spans="1:18" ht="46.5" x14ac:dyDescent="0.25">
      <c r="A62" s="25" t="s">
        <v>182</v>
      </c>
      <c r="B62" s="26" t="s">
        <v>183</v>
      </c>
      <c r="C62" s="27"/>
      <c r="D62" s="27"/>
      <c r="E62" s="27"/>
      <c r="F62" s="31">
        <v>0</v>
      </c>
      <c r="G62" s="31">
        <v>0</v>
      </c>
      <c r="H62" s="31">
        <v>0</v>
      </c>
      <c r="I62" s="31">
        <v>0</v>
      </c>
      <c r="J62" s="31">
        <v>0</v>
      </c>
      <c r="K62" s="31">
        <v>0</v>
      </c>
      <c r="L62" s="31">
        <v>0</v>
      </c>
      <c r="M62" s="31">
        <v>0</v>
      </c>
      <c r="N62" s="31">
        <v>0</v>
      </c>
      <c r="O62" s="31">
        <v>0</v>
      </c>
      <c r="P62" s="27"/>
      <c r="Q62" s="29"/>
      <c r="R62" s="30"/>
    </row>
    <row r="63" spans="1:18" ht="67.5" x14ac:dyDescent="0.25">
      <c r="A63" s="13" t="s">
        <v>184</v>
      </c>
      <c r="B63" s="14" t="s">
        <v>185</v>
      </c>
      <c r="C63" s="15" t="s">
        <v>186</v>
      </c>
      <c r="D63" s="15" t="s">
        <v>187</v>
      </c>
      <c r="E63" s="15"/>
      <c r="F63" s="16">
        <f t="shared" ref="F63:O63" si="24">F64+F70</f>
        <v>52490</v>
      </c>
      <c r="G63" s="16">
        <f t="shared" si="24"/>
        <v>52490</v>
      </c>
      <c r="H63" s="16">
        <f t="shared" si="24"/>
        <v>0</v>
      </c>
      <c r="I63" s="16">
        <f t="shared" si="24"/>
        <v>0</v>
      </c>
      <c r="J63" s="16">
        <f t="shared" si="24"/>
        <v>0</v>
      </c>
      <c r="K63" s="16">
        <f t="shared" si="24"/>
        <v>0</v>
      </c>
      <c r="L63" s="16">
        <f t="shared" si="24"/>
        <v>0</v>
      </c>
      <c r="M63" s="16">
        <f t="shared" si="24"/>
        <v>0</v>
      </c>
      <c r="N63" s="16">
        <f t="shared" si="24"/>
        <v>0</v>
      </c>
      <c r="O63" s="16">
        <f t="shared" si="24"/>
        <v>0</v>
      </c>
      <c r="P63" s="15" t="s">
        <v>188</v>
      </c>
      <c r="Q63" s="17" t="s">
        <v>29</v>
      </c>
      <c r="R63" s="18" t="s">
        <v>189</v>
      </c>
    </row>
    <row r="64" spans="1:18" ht="45" x14ac:dyDescent="0.25">
      <c r="A64" s="19" t="s">
        <v>190</v>
      </c>
      <c r="B64" s="20" t="s">
        <v>191</v>
      </c>
      <c r="C64" s="21" t="s">
        <v>186</v>
      </c>
      <c r="D64" s="21" t="s">
        <v>187</v>
      </c>
      <c r="E64" s="21" t="s">
        <v>33</v>
      </c>
      <c r="F64" s="22">
        <f t="shared" ref="F64:O64" si="25">F65+F68</f>
        <v>30780</v>
      </c>
      <c r="G64" s="22">
        <f t="shared" si="25"/>
        <v>30780</v>
      </c>
      <c r="H64" s="22">
        <f t="shared" si="25"/>
        <v>0</v>
      </c>
      <c r="I64" s="22">
        <f t="shared" si="25"/>
        <v>0</v>
      </c>
      <c r="J64" s="22">
        <f t="shared" si="25"/>
        <v>0</v>
      </c>
      <c r="K64" s="22">
        <f t="shared" si="25"/>
        <v>0</v>
      </c>
      <c r="L64" s="22">
        <f t="shared" si="25"/>
        <v>0</v>
      </c>
      <c r="M64" s="22">
        <f t="shared" si="25"/>
        <v>0</v>
      </c>
      <c r="N64" s="22">
        <f t="shared" si="25"/>
        <v>0</v>
      </c>
      <c r="O64" s="22">
        <f t="shared" si="25"/>
        <v>0</v>
      </c>
      <c r="P64" s="21" t="s">
        <v>159</v>
      </c>
      <c r="Q64" s="23" t="s">
        <v>35</v>
      </c>
      <c r="R64" s="24" t="s">
        <v>48</v>
      </c>
    </row>
    <row r="65" spans="1:18" ht="93" x14ac:dyDescent="0.25">
      <c r="A65" s="25" t="s">
        <v>192</v>
      </c>
      <c r="B65" s="26" t="s">
        <v>193</v>
      </c>
      <c r="C65" s="27" t="s">
        <v>186</v>
      </c>
      <c r="D65" s="27" t="s">
        <v>187</v>
      </c>
      <c r="E65" s="27" t="s">
        <v>40</v>
      </c>
      <c r="F65" s="28">
        <f>SUM(F66:F67)+22780</f>
        <v>22780</v>
      </c>
      <c r="G65" s="28">
        <f>SUM(G66:G67)+22780</f>
        <v>22780</v>
      </c>
      <c r="H65" s="28">
        <f t="shared" ref="H65:O65" si="26">SUM(H66:H67)</f>
        <v>0</v>
      </c>
      <c r="I65" s="28">
        <f t="shared" si="26"/>
        <v>0</v>
      </c>
      <c r="J65" s="28">
        <f t="shared" si="26"/>
        <v>0</v>
      </c>
      <c r="K65" s="28">
        <f t="shared" si="26"/>
        <v>0</v>
      </c>
      <c r="L65" s="28">
        <f t="shared" si="26"/>
        <v>0</v>
      </c>
      <c r="M65" s="28">
        <f t="shared" si="26"/>
        <v>0</v>
      </c>
      <c r="N65" s="28">
        <f t="shared" si="26"/>
        <v>0</v>
      </c>
      <c r="O65" s="28">
        <f t="shared" si="26"/>
        <v>0</v>
      </c>
      <c r="P65" s="27" t="s">
        <v>194</v>
      </c>
      <c r="Q65" s="29" t="s">
        <v>35</v>
      </c>
      <c r="R65" s="30" t="s">
        <v>135</v>
      </c>
    </row>
    <row r="66" spans="1:18" x14ac:dyDescent="0.25">
      <c r="A66" s="32"/>
      <c r="B66" s="33"/>
      <c r="C66" s="34"/>
      <c r="D66" s="34"/>
      <c r="E66" s="34"/>
      <c r="F66" s="35">
        <v>0</v>
      </c>
      <c r="G66" s="35">
        <v>0</v>
      </c>
      <c r="H66" s="35">
        <v>0</v>
      </c>
      <c r="I66" s="35">
        <v>0</v>
      </c>
      <c r="J66" s="35">
        <v>0</v>
      </c>
      <c r="K66" s="35">
        <v>0</v>
      </c>
      <c r="L66" s="35">
        <v>0</v>
      </c>
      <c r="M66" s="35">
        <v>0</v>
      </c>
      <c r="N66" s="35">
        <v>0</v>
      </c>
      <c r="O66" s="35">
        <v>0</v>
      </c>
      <c r="P66" s="34" t="s">
        <v>195</v>
      </c>
      <c r="Q66" s="36" t="s">
        <v>35</v>
      </c>
      <c r="R66" s="37" t="s">
        <v>196</v>
      </c>
    </row>
    <row r="67" spans="1:18" ht="139.5" x14ac:dyDescent="0.25">
      <c r="A67" s="25" t="s">
        <v>197</v>
      </c>
      <c r="B67" s="26" t="s">
        <v>198</v>
      </c>
      <c r="C67" s="27"/>
      <c r="D67" s="27"/>
      <c r="E67" s="27"/>
      <c r="F67" s="31">
        <v>0</v>
      </c>
      <c r="G67" s="31">
        <v>0</v>
      </c>
      <c r="H67" s="31">
        <v>0</v>
      </c>
      <c r="I67" s="31">
        <v>0</v>
      </c>
      <c r="J67" s="31">
        <v>0</v>
      </c>
      <c r="K67" s="31">
        <v>0</v>
      </c>
      <c r="L67" s="31">
        <v>0</v>
      </c>
      <c r="M67" s="31">
        <v>0</v>
      </c>
      <c r="N67" s="31">
        <v>0</v>
      </c>
      <c r="O67" s="31">
        <v>0</v>
      </c>
      <c r="P67" s="27"/>
      <c r="Q67" s="29"/>
      <c r="R67" s="30"/>
    </row>
    <row r="68" spans="1:18" ht="46.5" x14ac:dyDescent="0.25">
      <c r="A68" s="25" t="s">
        <v>199</v>
      </c>
      <c r="B68" s="26" t="s">
        <v>200</v>
      </c>
      <c r="C68" s="27" t="s">
        <v>186</v>
      </c>
      <c r="D68" s="27" t="s">
        <v>187</v>
      </c>
      <c r="E68" s="27" t="s">
        <v>40</v>
      </c>
      <c r="F68" s="28">
        <f>SUM(F69:F69)+8000</f>
        <v>8000</v>
      </c>
      <c r="G68" s="28">
        <f>SUM(G69:G69)+8000</f>
        <v>8000</v>
      </c>
      <c r="H68" s="28">
        <f t="shared" ref="H68:O68" si="27">SUM(H69:H69)</f>
        <v>0</v>
      </c>
      <c r="I68" s="28">
        <f t="shared" si="27"/>
        <v>0</v>
      </c>
      <c r="J68" s="28">
        <f t="shared" si="27"/>
        <v>0</v>
      </c>
      <c r="K68" s="28">
        <f t="shared" si="27"/>
        <v>0</v>
      </c>
      <c r="L68" s="28">
        <f t="shared" si="27"/>
        <v>0</v>
      </c>
      <c r="M68" s="28">
        <f t="shared" si="27"/>
        <v>0</v>
      </c>
      <c r="N68" s="28">
        <f t="shared" si="27"/>
        <v>0</v>
      </c>
      <c r="O68" s="28">
        <f t="shared" si="27"/>
        <v>0</v>
      </c>
      <c r="P68" s="27" t="s">
        <v>201</v>
      </c>
      <c r="Q68" s="29" t="s">
        <v>35</v>
      </c>
      <c r="R68" s="30" t="s">
        <v>70</v>
      </c>
    </row>
    <row r="69" spans="1:18" ht="93" x14ac:dyDescent="0.25">
      <c r="A69" s="25" t="s">
        <v>202</v>
      </c>
      <c r="B69" s="26" t="s">
        <v>203</v>
      </c>
      <c r="C69" s="27"/>
      <c r="D69" s="27"/>
      <c r="E69" s="27"/>
      <c r="F69" s="31">
        <v>0</v>
      </c>
      <c r="G69" s="31">
        <v>0</v>
      </c>
      <c r="H69" s="31">
        <v>0</v>
      </c>
      <c r="I69" s="31">
        <v>0</v>
      </c>
      <c r="J69" s="31">
        <v>0</v>
      </c>
      <c r="K69" s="31">
        <v>0</v>
      </c>
      <c r="L69" s="31">
        <v>0</v>
      </c>
      <c r="M69" s="31">
        <v>0</v>
      </c>
      <c r="N69" s="31">
        <v>0</v>
      </c>
      <c r="O69" s="31">
        <v>0</v>
      </c>
      <c r="P69" s="27"/>
      <c r="Q69" s="29"/>
      <c r="R69" s="30"/>
    </row>
    <row r="70" spans="1:18" ht="67.5" x14ac:dyDescent="0.25">
      <c r="A70" s="19" t="s">
        <v>204</v>
      </c>
      <c r="B70" s="20" t="s">
        <v>205</v>
      </c>
      <c r="C70" s="21" t="s">
        <v>186</v>
      </c>
      <c r="D70" s="21" t="s">
        <v>187</v>
      </c>
      <c r="E70" s="21" t="s">
        <v>33</v>
      </c>
      <c r="F70" s="22">
        <f t="shared" ref="F70:O70" si="28">SUM(F71:F71)</f>
        <v>21710</v>
      </c>
      <c r="G70" s="22">
        <f t="shared" si="28"/>
        <v>21710</v>
      </c>
      <c r="H70" s="22">
        <f t="shared" si="28"/>
        <v>0</v>
      </c>
      <c r="I70" s="22">
        <f t="shared" si="28"/>
        <v>0</v>
      </c>
      <c r="J70" s="22">
        <f t="shared" si="28"/>
        <v>0</v>
      </c>
      <c r="K70" s="22">
        <f t="shared" si="28"/>
        <v>0</v>
      </c>
      <c r="L70" s="22">
        <f t="shared" si="28"/>
        <v>0</v>
      </c>
      <c r="M70" s="22">
        <f t="shared" si="28"/>
        <v>0</v>
      </c>
      <c r="N70" s="22">
        <f t="shared" si="28"/>
        <v>0</v>
      </c>
      <c r="O70" s="22">
        <f t="shared" si="28"/>
        <v>0</v>
      </c>
      <c r="P70" s="21" t="s">
        <v>206</v>
      </c>
      <c r="Q70" s="23" t="s">
        <v>35</v>
      </c>
      <c r="R70" s="24" t="s">
        <v>36</v>
      </c>
    </row>
    <row r="71" spans="1:18" ht="93" x14ac:dyDescent="0.25">
      <c r="A71" s="25" t="s">
        <v>207</v>
      </c>
      <c r="B71" s="26" t="s">
        <v>208</v>
      </c>
      <c r="C71" s="27" t="s">
        <v>209</v>
      </c>
      <c r="D71" s="27" t="s">
        <v>187</v>
      </c>
      <c r="E71" s="27" t="s">
        <v>40</v>
      </c>
      <c r="F71" s="28">
        <f>SUM(F72:F73)+21710</f>
        <v>21710</v>
      </c>
      <c r="G71" s="28">
        <f>SUM(G72:G73)+21710</f>
        <v>21710</v>
      </c>
      <c r="H71" s="28">
        <f t="shared" ref="H71:O71" si="29">SUM(H72:H73)</f>
        <v>0</v>
      </c>
      <c r="I71" s="28">
        <f t="shared" si="29"/>
        <v>0</v>
      </c>
      <c r="J71" s="28">
        <f t="shared" si="29"/>
        <v>0</v>
      </c>
      <c r="K71" s="28">
        <f t="shared" si="29"/>
        <v>0</v>
      </c>
      <c r="L71" s="28">
        <f t="shared" si="29"/>
        <v>0</v>
      </c>
      <c r="M71" s="28">
        <f t="shared" si="29"/>
        <v>0</v>
      </c>
      <c r="N71" s="28">
        <f t="shared" si="29"/>
        <v>0</v>
      </c>
      <c r="O71" s="28">
        <f t="shared" si="29"/>
        <v>0</v>
      </c>
      <c r="P71" s="27" t="s">
        <v>210</v>
      </c>
      <c r="Q71" s="29" t="s">
        <v>35</v>
      </c>
      <c r="R71" s="30" t="s">
        <v>48</v>
      </c>
    </row>
    <row r="72" spans="1:18" ht="46.5" x14ac:dyDescent="0.25">
      <c r="A72" s="32"/>
      <c r="B72" s="33"/>
      <c r="C72" s="34"/>
      <c r="D72" s="34"/>
      <c r="E72" s="34"/>
      <c r="F72" s="35">
        <v>0</v>
      </c>
      <c r="G72" s="35">
        <v>0</v>
      </c>
      <c r="H72" s="35">
        <v>0</v>
      </c>
      <c r="I72" s="35">
        <v>0</v>
      </c>
      <c r="J72" s="35">
        <v>0</v>
      </c>
      <c r="K72" s="35">
        <v>0</v>
      </c>
      <c r="L72" s="35">
        <v>0</v>
      </c>
      <c r="M72" s="35">
        <v>0</v>
      </c>
      <c r="N72" s="35">
        <v>0</v>
      </c>
      <c r="O72" s="35">
        <v>0</v>
      </c>
      <c r="P72" s="34" t="s">
        <v>211</v>
      </c>
      <c r="Q72" s="36" t="s">
        <v>35</v>
      </c>
      <c r="R72" s="37" t="s">
        <v>144</v>
      </c>
    </row>
    <row r="73" spans="1:18" ht="69.75" x14ac:dyDescent="0.25">
      <c r="A73" s="25" t="s">
        <v>212</v>
      </c>
      <c r="B73" s="26" t="s">
        <v>213</v>
      </c>
      <c r="C73" s="27"/>
      <c r="D73" s="27"/>
      <c r="E73" s="27"/>
      <c r="F73" s="31">
        <v>0</v>
      </c>
      <c r="G73" s="31">
        <v>0</v>
      </c>
      <c r="H73" s="31">
        <v>0</v>
      </c>
      <c r="I73" s="31">
        <v>0</v>
      </c>
      <c r="J73" s="31">
        <v>0</v>
      </c>
      <c r="K73" s="31">
        <v>0</v>
      </c>
      <c r="L73" s="31">
        <v>0</v>
      </c>
      <c r="M73" s="31">
        <v>0</v>
      </c>
      <c r="N73" s="31">
        <v>0</v>
      </c>
      <c r="O73" s="31">
        <v>0</v>
      </c>
      <c r="P73" s="27"/>
      <c r="Q73" s="29"/>
      <c r="R73" s="30"/>
    </row>
    <row r="74" spans="1:18" ht="67.5" x14ac:dyDescent="0.25">
      <c r="A74" s="13" t="s">
        <v>214</v>
      </c>
      <c r="B74" s="14" t="s">
        <v>215</v>
      </c>
      <c r="C74" s="15" t="s">
        <v>216</v>
      </c>
      <c r="D74" s="15" t="s">
        <v>217</v>
      </c>
      <c r="E74" s="15"/>
      <c r="F74" s="16">
        <f t="shared" ref="F74:O75" si="30">SUM(F75:F75)</f>
        <v>0</v>
      </c>
      <c r="G74" s="16">
        <f t="shared" si="30"/>
        <v>0</v>
      </c>
      <c r="H74" s="16">
        <f t="shared" si="30"/>
        <v>0</v>
      </c>
      <c r="I74" s="16">
        <f t="shared" si="30"/>
        <v>0</v>
      </c>
      <c r="J74" s="16">
        <f t="shared" si="30"/>
        <v>0</v>
      </c>
      <c r="K74" s="16">
        <f t="shared" si="30"/>
        <v>0</v>
      </c>
      <c r="L74" s="16">
        <f t="shared" si="30"/>
        <v>0</v>
      </c>
      <c r="M74" s="16">
        <f t="shared" si="30"/>
        <v>0</v>
      </c>
      <c r="N74" s="16">
        <f t="shared" si="30"/>
        <v>0</v>
      </c>
      <c r="O74" s="16">
        <f t="shared" si="30"/>
        <v>0</v>
      </c>
      <c r="P74" s="15" t="s">
        <v>218</v>
      </c>
      <c r="Q74" s="17" t="s">
        <v>29</v>
      </c>
      <c r="R74" s="18" t="s">
        <v>135</v>
      </c>
    </row>
    <row r="75" spans="1:18" ht="112.5" x14ac:dyDescent="0.25">
      <c r="A75" s="19" t="s">
        <v>219</v>
      </c>
      <c r="B75" s="20" t="s">
        <v>220</v>
      </c>
      <c r="C75" s="21" t="s">
        <v>216</v>
      </c>
      <c r="D75" s="21" t="s">
        <v>217</v>
      </c>
      <c r="E75" s="21" t="s">
        <v>33</v>
      </c>
      <c r="F75" s="22">
        <f t="shared" si="30"/>
        <v>0</v>
      </c>
      <c r="G75" s="22">
        <f t="shared" si="30"/>
        <v>0</v>
      </c>
      <c r="H75" s="22">
        <f t="shared" si="30"/>
        <v>0</v>
      </c>
      <c r="I75" s="22">
        <f t="shared" si="30"/>
        <v>0</v>
      </c>
      <c r="J75" s="22">
        <f t="shared" si="30"/>
        <v>0</v>
      </c>
      <c r="K75" s="22">
        <f t="shared" si="30"/>
        <v>0</v>
      </c>
      <c r="L75" s="22">
        <f t="shared" si="30"/>
        <v>0</v>
      </c>
      <c r="M75" s="22">
        <f t="shared" si="30"/>
        <v>0</v>
      </c>
      <c r="N75" s="22">
        <f t="shared" si="30"/>
        <v>0</v>
      </c>
      <c r="O75" s="22">
        <f t="shared" si="30"/>
        <v>0</v>
      </c>
      <c r="P75" s="21" t="s">
        <v>221</v>
      </c>
      <c r="Q75" s="23" t="s">
        <v>35</v>
      </c>
      <c r="R75" s="24" t="s">
        <v>135</v>
      </c>
    </row>
    <row r="76" spans="1:18" ht="69.75" x14ac:dyDescent="0.25">
      <c r="A76" s="25" t="s">
        <v>222</v>
      </c>
      <c r="B76" s="26" t="s">
        <v>223</v>
      </c>
      <c r="C76" s="27" t="s">
        <v>216</v>
      </c>
      <c r="D76" s="27" t="s">
        <v>217</v>
      </c>
      <c r="E76" s="27" t="s">
        <v>224</v>
      </c>
      <c r="F76" s="28">
        <f t="shared" ref="F76:O76" si="31">SUM(F77:F79)</f>
        <v>0</v>
      </c>
      <c r="G76" s="28">
        <f t="shared" si="31"/>
        <v>0</v>
      </c>
      <c r="H76" s="28">
        <f t="shared" si="31"/>
        <v>0</v>
      </c>
      <c r="I76" s="28">
        <f t="shared" si="31"/>
        <v>0</v>
      </c>
      <c r="J76" s="28">
        <f t="shared" si="31"/>
        <v>0</v>
      </c>
      <c r="K76" s="28">
        <f t="shared" si="31"/>
        <v>0</v>
      </c>
      <c r="L76" s="28">
        <f t="shared" si="31"/>
        <v>0</v>
      </c>
      <c r="M76" s="28">
        <f t="shared" si="31"/>
        <v>0</v>
      </c>
      <c r="N76" s="28">
        <f t="shared" si="31"/>
        <v>0</v>
      </c>
      <c r="O76" s="28">
        <f t="shared" si="31"/>
        <v>0</v>
      </c>
      <c r="P76" s="27" t="s">
        <v>225</v>
      </c>
      <c r="Q76" s="29" t="s">
        <v>35</v>
      </c>
      <c r="R76" s="30" t="s">
        <v>135</v>
      </c>
    </row>
    <row r="77" spans="1:18" ht="69.75" x14ac:dyDescent="0.25">
      <c r="A77" s="32"/>
      <c r="B77" s="33"/>
      <c r="C77" s="34"/>
      <c r="D77" s="34"/>
      <c r="E77" s="34"/>
      <c r="F77" s="35">
        <v>0</v>
      </c>
      <c r="G77" s="35">
        <v>0</v>
      </c>
      <c r="H77" s="35">
        <v>0</v>
      </c>
      <c r="I77" s="35">
        <v>0</v>
      </c>
      <c r="J77" s="35">
        <v>0</v>
      </c>
      <c r="K77" s="35">
        <v>0</v>
      </c>
      <c r="L77" s="35">
        <v>0</v>
      </c>
      <c r="M77" s="35">
        <v>0</v>
      </c>
      <c r="N77" s="35">
        <v>0</v>
      </c>
      <c r="O77" s="35">
        <v>0</v>
      </c>
      <c r="P77" s="34" t="s">
        <v>226</v>
      </c>
      <c r="Q77" s="36" t="s">
        <v>35</v>
      </c>
      <c r="R77" s="37" t="s">
        <v>135</v>
      </c>
    </row>
    <row r="78" spans="1:18" ht="46.5" x14ac:dyDescent="0.25">
      <c r="A78" s="32"/>
      <c r="B78" s="33"/>
      <c r="C78" s="34"/>
      <c r="D78" s="34"/>
      <c r="E78" s="34"/>
      <c r="F78" s="35">
        <v>0</v>
      </c>
      <c r="G78" s="35">
        <v>0</v>
      </c>
      <c r="H78" s="35">
        <v>0</v>
      </c>
      <c r="I78" s="35">
        <v>0</v>
      </c>
      <c r="J78" s="35">
        <v>0</v>
      </c>
      <c r="K78" s="35">
        <v>0</v>
      </c>
      <c r="L78" s="35">
        <v>0</v>
      </c>
      <c r="M78" s="35">
        <v>0</v>
      </c>
      <c r="N78" s="35">
        <v>0</v>
      </c>
      <c r="O78" s="35">
        <v>0</v>
      </c>
      <c r="P78" s="34" t="s">
        <v>227</v>
      </c>
      <c r="Q78" s="36" t="s">
        <v>35</v>
      </c>
      <c r="R78" s="37" t="s">
        <v>144</v>
      </c>
    </row>
    <row r="79" spans="1:18" ht="93" x14ac:dyDescent="0.25">
      <c r="A79" s="25" t="s">
        <v>228</v>
      </c>
      <c r="B79" s="26" t="s">
        <v>229</v>
      </c>
      <c r="C79" s="27"/>
      <c r="D79" s="27"/>
      <c r="E79" s="27"/>
      <c r="F79" s="31">
        <v>0</v>
      </c>
      <c r="G79" s="31">
        <v>0</v>
      </c>
      <c r="H79" s="31">
        <v>0</v>
      </c>
      <c r="I79" s="31">
        <v>0</v>
      </c>
      <c r="J79" s="31">
        <v>0</v>
      </c>
      <c r="K79" s="31">
        <v>0</v>
      </c>
      <c r="L79" s="31">
        <v>0</v>
      </c>
      <c r="M79" s="31">
        <v>0</v>
      </c>
      <c r="N79" s="31">
        <v>0</v>
      </c>
      <c r="O79" s="31">
        <v>0</v>
      </c>
      <c r="P79" s="27"/>
      <c r="Q79" s="29"/>
      <c r="R79" s="30"/>
    </row>
    <row r="80" spans="1:18" ht="45" x14ac:dyDescent="0.25">
      <c r="A80" s="13" t="s">
        <v>230</v>
      </c>
      <c r="B80" s="14" t="s">
        <v>231</v>
      </c>
      <c r="C80" s="15" t="s">
        <v>186</v>
      </c>
      <c r="D80" s="15" t="s">
        <v>187</v>
      </c>
      <c r="E80" s="15"/>
      <c r="F80" s="16">
        <f t="shared" ref="F80:O81" si="32">SUM(F81:F81)</f>
        <v>40000</v>
      </c>
      <c r="G80" s="16">
        <f t="shared" si="32"/>
        <v>40000</v>
      </c>
      <c r="H80" s="16">
        <f t="shared" si="32"/>
        <v>0</v>
      </c>
      <c r="I80" s="16">
        <f t="shared" si="32"/>
        <v>0</v>
      </c>
      <c r="J80" s="16">
        <f t="shared" si="32"/>
        <v>0</v>
      </c>
      <c r="K80" s="16">
        <f t="shared" si="32"/>
        <v>0</v>
      </c>
      <c r="L80" s="16">
        <f t="shared" si="32"/>
        <v>0</v>
      </c>
      <c r="M80" s="16">
        <f t="shared" si="32"/>
        <v>0</v>
      </c>
      <c r="N80" s="16">
        <f t="shared" si="32"/>
        <v>0</v>
      </c>
      <c r="O80" s="16">
        <f t="shared" si="32"/>
        <v>0</v>
      </c>
      <c r="P80" s="15" t="s">
        <v>232</v>
      </c>
      <c r="Q80" s="17" t="s">
        <v>29</v>
      </c>
      <c r="R80" s="18" t="s">
        <v>233</v>
      </c>
    </row>
    <row r="81" spans="1:18" ht="90" x14ac:dyDescent="0.25">
      <c r="A81" s="19" t="s">
        <v>234</v>
      </c>
      <c r="B81" s="20" t="s">
        <v>235</v>
      </c>
      <c r="C81" s="21" t="s">
        <v>186</v>
      </c>
      <c r="D81" s="21" t="s">
        <v>187</v>
      </c>
      <c r="E81" s="21" t="s">
        <v>33</v>
      </c>
      <c r="F81" s="22">
        <f t="shared" si="32"/>
        <v>40000</v>
      </c>
      <c r="G81" s="22">
        <f t="shared" si="32"/>
        <v>40000</v>
      </c>
      <c r="H81" s="22">
        <f t="shared" si="32"/>
        <v>0</v>
      </c>
      <c r="I81" s="22">
        <f t="shared" si="32"/>
        <v>0</v>
      </c>
      <c r="J81" s="22">
        <f t="shared" si="32"/>
        <v>0</v>
      </c>
      <c r="K81" s="22">
        <f t="shared" si="32"/>
        <v>0</v>
      </c>
      <c r="L81" s="22">
        <f t="shared" si="32"/>
        <v>0</v>
      </c>
      <c r="M81" s="22">
        <f t="shared" si="32"/>
        <v>0</v>
      </c>
      <c r="N81" s="22">
        <f t="shared" si="32"/>
        <v>0</v>
      </c>
      <c r="O81" s="22">
        <f t="shared" si="32"/>
        <v>0</v>
      </c>
      <c r="P81" s="21" t="s">
        <v>236</v>
      </c>
      <c r="Q81" s="23" t="s">
        <v>35</v>
      </c>
      <c r="R81" s="24" t="s">
        <v>48</v>
      </c>
    </row>
    <row r="82" spans="1:18" ht="116.25" x14ac:dyDescent="0.25">
      <c r="A82" s="25" t="s">
        <v>237</v>
      </c>
      <c r="B82" s="26" t="s">
        <v>238</v>
      </c>
      <c r="C82" s="27" t="s">
        <v>186</v>
      </c>
      <c r="D82" s="27" t="s">
        <v>187</v>
      </c>
      <c r="E82" s="27" t="s">
        <v>40</v>
      </c>
      <c r="F82" s="28">
        <f>SUM(F83:F83)+40000</f>
        <v>40000</v>
      </c>
      <c r="G82" s="28">
        <f>SUM(G83:G83)+40000</f>
        <v>40000</v>
      </c>
      <c r="H82" s="28">
        <f t="shared" ref="H82:O82" si="33">SUM(H83:H83)</f>
        <v>0</v>
      </c>
      <c r="I82" s="28">
        <f t="shared" si="33"/>
        <v>0</v>
      </c>
      <c r="J82" s="28">
        <f t="shared" si="33"/>
        <v>0</v>
      </c>
      <c r="K82" s="28">
        <f t="shared" si="33"/>
        <v>0</v>
      </c>
      <c r="L82" s="28">
        <f t="shared" si="33"/>
        <v>0</v>
      </c>
      <c r="M82" s="28">
        <f t="shared" si="33"/>
        <v>0</v>
      </c>
      <c r="N82" s="28">
        <f t="shared" si="33"/>
        <v>0</v>
      </c>
      <c r="O82" s="28">
        <f t="shared" si="33"/>
        <v>0</v>
      </c>
      <c r="P82" s="27" t="s">
        <v>239</v>
      </c>
      <c r="Q82" s="29" t="s">
        <v>35</v>
      </c>
      <c r="R82" s="30" t="s">
        <v>48</v>
      </c>
    </row>
    <row r="83" spans="1:18" ht="69.75" x14ac:dyDescent="0.25">
      <c r="A83" s="25" t="s">
        <v>240</v>
      </c>
      <c r="B83" s="26" t="s">
        <v>241</v>
      </c>
      <c r="C83" s="27"/>
      <c r="D83" s="27"/>
      <c r="E83" s="27"/>
      <c r="F83" s="31">
        <v>0</v>
      </c>
      <c r="G83" s="31">
        <v>0</v>
      </c>
      <c r="H83" s="31">
        <v>0</v>
      </c>
      <c r="I83" s="31">
        <v>0</v>
      </c>
      <c r="J83" s="31">
        <v>0</v>
      </c>
      <c r="K83" s="31">
        <v>0</v>
      </c>
      <c r="L83" s="31">
        <v>0</v>
      </c>
      <c r="M83" s="31">
        <v>0</v>
      </c>
      <c r="N83" s="31">
        <v>0</v>
      </c>
      <c r="O83" s="31">
        <v>0</v>
      </c>
      <c r="P83" s="27"/>
      <c r="Q83" s="29"/>
      <c r="R83" s="30"/>
    </row>
    <row r="84" spans="1:18" ht="90" x14ac:dyDescent="0.25">
      <c r="A84" s="13" t="s">
        <v>242</v>
      </c>
      <c r="B84" s="14" t="s">
        <v>243</v>
      </c>
      <c r="C84" s="15" t="s">
        <v>23</v>
      </c>
      <c r="D84" s="15" t="s">
        <v>27</v>
      </c>
      <c r="E84" s="15"/>
      <c r="F84" s="16">
        <f t="shared" ref="F84:O85" si="34">SUM(F85:F85)</f>
        <v>37351.01</v>
      </c>
      <c r="G84" s="16">
        <f t="shared" si="34"/>
        <v>0</v>
      </c>
      <c r="H84" s="16">
        <f t="shared" si="34"/>
        <v>0</v>
      </c>
      <c r="I84" s="16">
        <f t="shared" si="34"/>
        <v>0</v>
      </c>
      <c r="J84" s="16">
        <f t="shared" si="34"/>
        <v>0</v>
      </c>
      <c r="K84" s="16">
        <f t="shared" si="34"/>
        <v>0</v>
      </c>
      <c r="L84" s="16">
        <f t="shared" si="34"/>
        <v>37351.01</v>
      </c>
      <c r="M84" s="16">
        <f t="shared" si="34"/>
        <v>0</v>
      </c>
      <c r="N84" s="16">
        <f t="shared" si="34"/>
        <v>0</v>
      </c>
      <c r="O84" s="16">
        <f t="shared" si="34"/>
        <v>0</v>
      </c>
      <c r="P84" s="15" t="s">
        <v>244</v>
      </c>
      <c r="Q84" s="17" t="s">
        <v>29</v>
      </c>
      <c r="R84" s="18" t="s">
        <v>245</v>
      </c>
    </row>
    <row r="85" spans="1:18" ht="112.5" x14ac:dyDescent="0.25">
      <c r="A85" s="19" t="s">
        <v>246</v>
      </c>
      <c r="B85" s="20" t="s">
        <v>247</v>
      </c>
      <c r="C85" s="21" t="s">
        <v>23</v>
      </c>
      <c r="D85" s="21" t="s">
        <v>27</v>
      </c>
      <c r="E85" s="21" t="s">
        <v>248</v>
      </c>
      <c r="F85" s="22">
        <f t="shared" si="34"/>
        <v>37351.01</v>
      </c>
      <c r="G85" s="22">
        <f t="shared" si="34"/>
        <v>0</v>
      </c>
      <c r="H85" s="22">
        <f t="shared" si="34"/>
        <v>0</v>
      </c>
      <c r="I85" s="22">
        <f t="shared" si="34"/>
        <v>0</v>
      </c>
      <c r="J85" s="22">
        <f t="shared" si="34"/>
        <v>0</v>
      </c>
      <c r="K85" s="22">
        <f t="shared" si="34"/>
        <v>0</v>
      </c>
      <c r="L85" s="22">
        <f t="shared" si="34"/>
        <v>37351.01</v>
      </c>
      <c r="M85" s="22">
        <f t="shared" si="34"/>
        <v>0</v>
      </c>
      <c r="N85" s="22">
        <f t="shared" si="34"/>
        <v>0</v>
      </c>
      <c r="O85" s="22">
        <f t="shared" si="34"/>
        <v>0</v>
      </c>
      <c r="P85" s="21" t="s">
        <v>249</v>
      </c>
      <c r="Q85" s="23" t="s">
        <v>29</v>
      </c>
      <c r="R85" s="24" t="s">
        <v>250</v>
      </c>
    </row>
    <row r="86" spans="1:18" ht="69.75" x14ac:dyDescent="0.25">
      <c r="A86" s="25" t="s">
        <v>251</v>
      </c>
      <c r="B86" s="26" t="s">
        <v>252</v>
      </c>
      <c r="C86" s="27" t="s">
        <v>23</v>
      </c>
      <c r="D86" s="27" t="s">
        <v>75</v>
      </c>
      <c r="E86" s="27" t="s">
        <v>253</v>
      </c>
      <c r="F86" s="28">
        <f>SUM(F87:F87)+37351.01</f>
        <v>37351.01</v>
      </c>
      <c r="G86" s="28">
        <f>SUM(G87:G87)</f>
        <v>0</v>
      </c>
      <c r="H86" s="28">
        <f>SUM(H87:H87)</f>
        <v>0</v>
      </c>
      <c r="I86" s="28">
        <f>SUM(I87:I87)</f>
        <v>0</v>
      </c>
      <c r="J86" s="28">
        <f>SUM(J87:J87)</f>
        <v>0</v>
      </c>
      <c r="K86" s="28">
        <f>SUM(K87:K87)</f>
        <v>0</v>
      </c>
      <c r="L86" s="28">
        <f>SUM(L87:L87)+37351.01</f>
        <v>37351.01</v>
      </c>
      <c r="M86" s="28">
        <f>SUM(M87:M87)</f>
        <v>0</v>
      </c>
      <c r="N86" s="28">
        <f>SUM(N87:N87)</f>
        <v>0</v>
      </c>
      <c r="O86" s="28">
        <f>SUM(O87:O87)</f>
        <v>0</v>
      </c>
      <c r="P86" s="27" t="s">
        <v>254</v>
      </c>
      <c r="Q86" s="29" t="s">
        <v>35</v>
      </c>
      <c r="R86" s="30" t="s">
        <v>255</v>
      </c>
    </row>
    <row r="87" spans="1:18" ht="69.75" x14ac:dyDescent="0.25">
      <c r="A87" s="25" t="s">
        <v>256</v>
      </c>
      <c r="B87" s="26" t="s">
        <v>257</v>
      </c>
      <c r="C87" s="27"/>
      <c r="D87" s="27"/>
      <c r="E87" s="27"/>
      <c r="F87" s="31">
        <v>0</v>
      </c>
      <c r="G87" s="31">
        <v>0</v>
      </c>
      <c r="H87" s="31">
        <v>0</v>
      </c>
      <c r="I87" s="31">
        <v>0</v>
      </c>
      <c r="J87" s="31">
        <v>0</v>
      </c>
      <c r="K87" s="31">
        <v>0</v>
      </c>
      <c r="L87" s="31">
        <v>0</v>
      </c>
      <c r="M87" s="31">
        <v>0</v>
      </c>
      <c r="N87" s="31">
        <v>0</v>
      </c>
      <c r="O87" s="31">
        <v>0</v>
      </c>
      <c r="P87" s="27"/>
      <c r="Q87" s="29"/>
      <c r="R87" s="30"/>
    </row>
    <row r="88" spans="1:18" ht="112.5" x14ac:dyDescent="0.25">
      <c r="A88" s="13" t="s">
        <v>258</v>
      </c>
      <c r="B88" s="14" t="s">
        <v>259</v>
      </c>
      <c r="C88" s="15" t="s">
        <v>23</v>
      </c>
      <c r="D88" s="15" t="s">
        <v>27</v>
      </c>
      <c r="E88" s="15"/>
      <c r="F88" s="16">
        <f t="shared" ref="F88:O88" si="35">SUM(F89:F89)</f>
        <v>1000</v>
      </c>
      <c r="G88" s="16">
        <f t="shared" si="35"/>
        <v>1000</v>
      </c>
      <c r="H88" s="16">
        <f t="shared" si="35"/>
        <v>0</v>
      </c>
      <c r="I88" s="16">
        <f t="shared" si="35"/>
        <v>0</v>
      </c>
      <c r="J88" s="16">
        <f t="shared" si="35"/>
        <v>0</v>
      </c>
      <c r="K88" s="16">
        <f t="shared" si="35"/>
        <v>0</v>
      </c>
      <c r="L88" s="16">
        <f t="shared" si="35"/>
        <v>0</v>
      </c>
      <c r="M88" s="16">
        <f t="shared" si="35"/>
        <v>0</v>
      </c>
      <c r="N88" s="16">
        <f t="shared" si="35"/>
        <v>0</v>
      </c>
      <c r="O88" s="16">
        <f t="shared" si="35"/>
        <v>0</v>
      </c>
      <c r="P88" s="15" t="s">
        <v>260</v>
      </c>
      <c r="Q88" s="17" t="s">
        <v>29</v>
      </c>
      <c r="R88" s="18" t="s">
        <v>233</v>
      </c>
    </row>
    <row r="89" spans="1:18" ht="67.5" x14ac:dyDescent="0.25">
      <c r="A89" s="19" t="s">
        <v>261</v>
      </c>
      <c r="B89" s="20" t="s">
        <v>262</v>
      </c>
      <c r="C89" s="21" t="s">
        <v>23</v>
      </c>
      <c r="D89" s="21" t="s">
        <v>27</v>
      </c>
      <c r="E89" s="21" t="s">
        <v>248</v>
      </c>
      <c r="F89" s="22">
        <f t="shared" ref="F89:O89" si="36">F90+F92</f>
        <v>1000</v>
      </c>
      <c r="G89" s="22">
        <f t="shared" si="36"/>
        <v>1000</v>
      </c>
      <c r="H89" s="22">
        <f t="shared" si="36"/>
        <v>0</v>
      </c>
      <c r="I89" s="22">
        <f t="shared" si="36"/>
        <v>0</v>
      </c>
      <c r="J89" s="22">
        <f t="shared" si="36"/>
        <v>0</v>
      </c>
      <c r="K89" s="22">
        <f t="shared" si="36"/>
        <v>0</v>
      </c>
      <c r="L89" s="22">
        <f t="shared" si="36"/>
        <v>0</v>
      </c>
      <c r="M89" s="22">
        <f t="shared" si="36"/>
        <v>0</v>
      </c>
      <c r="N89" s="22">
        <f t="shared" si="36"/>
        <v>0</v>
      </c>
      <c r="O89" s="22">
        <f t="shared" si="36"/>
        <v>0</v>
      </c>
      <c r="P89" s="21" t="s">
        <v>263</v>
      </c>
      <c r="Q89" s="23" t="s">
        <v>29</v>
      </c>
      <c r="R89" s="24" t="s">
        <v>264</v>
      </c>
    </row>
    <row r="90" spans="1:18" ht="69.75" x14ac:dyDescent="0.25">
      <c r="A90" s="25" t="s">
        <v>265</v>
      </c>
      <c r="B90" s="26" t="s">
        <v>266</v>
      </c>
      <c r="C90" s="27" t="s">
        <v>23</v>
      </c>
      <c r="D90" s="27" t="s">
        <v>39</v>
      </c>
      <c r="E90" s="27" t="s">
        <v>253</v>
      </c>
      <c r="F90" s="28">
        <f>SUM(F91:F91)+700</f>
        <v>700</v>
      </c>
      <c r="G90" s="28">
        <f>SUM(G91:G91)+700</f>
        <v>700</v>
      </c>
      <c r="H90" s="28">
        <f t="shared" ref="H90:O90" si="37">SUM(H91:H91)</f>
        <v>0</v>
      </c>
      <c r="I90" s="28">
        <f t="shared" si="37"/>
        <v>0</v>
      </c>
      <c r="J90" s="28">
        <f t="shared" si="37"/>
        <v>0</v>
      </c>
      <c r="K90" s="28">
        <f t="shared" si="37"/>
        <v>0</v>
      </c>
      <c r="L90" s="28">
        <f t="shared" si="37"/>
        <v>0</v>
      </c>
      <c r="M90" s="28">
        <f t="shared" si="37"/>
        <v>0</v>
      </c>
      <c r="N90" s="28">
        <f t="shared" si="37"/>
        <v>0</v>
      </c>
      <c r="O90" s="28">
        <f t="shared" si="37"/>
        <v>0</v>
      </c>
      <c r="P90" s="27" t="s">
        <v>267</v>
      </c>
      <c r="Q90" s="29" t="s">
        <v>35</v>
      </c>
      <c r="R90" s="30" t="s">
        <v>150</v>
      </c>
    </row>
    <row r="91" spans="1:18" ht="69.75" x14ac:dyDescent="0.25">
      <c r="A91" s="25" t="s">
        <v>268</v>
      </c>
      <c r="B91" s="26" t="s">
        <v>269</v>
      </c>
      <c r="C91" s="27"/>
      <c r="D91" s="27"/>
      <c r="E91" s="27"/>
      <c r="F91" s="31">
        <v>0</v>
      </c>
      <c r="G91" s="31">
        <v>0</v>
      </c>
      <c r="H91" s="31">
        <v>0</v>
      </c>
      <c r="I91" s="31">
        <v>0</v>
      </c>
      <c r="J91" s="31">
        <v>0</v>
      </c>
      <c r="K91" s="31">
        <v>0</v>
      </c>
      <c r="L91" s="31">
        <v>0</v>
      </c>
      <c r="M91" s="31">
        <v>0</v>
      </c>
      <c r="N91" s="31">
        <v>0</v>
      </c>
      <c r="O91" s="31">
        <v>0</v>
      </c>
      <c r="P91" s="27"/>
      <c r="Q91" s="29"/>
      <c r="R91" s="30"/>
    </row>
    <row r="92" spans="1:18" ht="69.75" x14ac:dyDescent="0.25">
      <c r="A92" s="25" t="s">
        <v>270</v>
      </c>
      <c r="B92" s="26" t="s">
        <v>271</v>
      </c>
      <c r="C92" s="27" t="s">
        <v>23</v>
      </c>
      <c r="D92" s="27" t="s">
        <v>75</v>
      </c>
      <c r="E92" s="27" t="s">
        <v>253</v>
      </c>
      <c r="F92" s="28">
        <f>SUM(F93:F93)+300</f>
        <v>300</v>
      </c>
      <c r="G92" s="28">
        <f>SUM(G93:G93)+300</f>
        <v>300</v>
      </c>
      <c r="H92" s="28">
        <f t="shared" ref="H92:O92" si="38">SUM(H93:H93)</f>
        <v>0</v>
      </c>
      <c r="I92" s="28">
        <f t="shared" si="38"/>
        <v>0</v>
      </c>
      <c r="J92" s="28">
        <f t="shared" si="38"/>
        <v>0</v>
      </c>
      <c r="K92" s="28">
        <f t="shared" si="38"/>
        <v>0</v>
      </c>
      <c r="L92" s="28">
        <f t="shared" si="38"/>
        <v>0</v>
      </c>
      <c r="M92" s="28">
        <f t="shared" si="38"/>
        <v>0</v>
      </c>
      <c r="N92" s="28">
        <f t="shared" si="38"/>
        <v>0</v>
      </c>
      <c r="O92" s="28">
        <f t="shared" si="38"/>
        <v>0</v>
      </c>
      <c r="P92" s="27" t="s">
        <v>272</v>
      </c>
      <c r="Q92" s="29" t="s">
        <v>35</v>
      </c>
      <c r="R92" s="30" t="s">
        <v>36</v>
      </c>
    </row>
    <row r="93" spans="1:18" ht="46.5" x14ac:dyDescent="0.25">
      <c r="A93" s="25" t="s">
        <v>273</v>
      </c>
      <c r="B93" s="26" t="s">
        <v>274</v>
      </c>
      <c r="C93" s="27"/>
      <c r="D93" s="27"/>
      <c r="E93" s="27"/>
      <c r="F93" s="31">
        <v>0</v>
      </c>
      <c r="G93" s="31">
        <v>0</v>
      </c>
      <c r="H93" s="31">
        <v>0</v>
      </c>
      <c r="I93" s="31">
        <v>0</v>
      </c>
      <c r="J93" s="31">
        <v>0</v>
      </c>
      <c r="K93" s="31">
        <v>0</v>
      </c>
      <c r="L93" s="31">
        <v>0</v>
      </c>
      <c r="M93" s="31">
        <v>0</v>
      </c>
      <c r="N93" s="31">
        <v>0</v>
      </c>
      <c r="O93" s="31">
        <v>0</v>
      </c>
      <c r="P93" s="27"/>
      <c r="Q93" s="29"/>
      <c r="R93" s="30"/>
    </row>
    <row r="94" spans="1:18" ht="67.5" x14ac:dyDescent="0.25">
      <c r="A94" s="7" t="s">
        <v>275</v>
      </c>
      <c r="B94" s="8" t="s">
        <v>276</v>
      </c>
      <c r="C94" s="9" t="s">
        <v>277</v>
      </c>
      <c r="D94" s="9" t="s">
        <v>278</v>
      </c>
      <c r="E94" s="9"/>
      <c r="F94" s="10">
        <f t="shared" ref="F94:O94" si="39">F95+F128+F132+F138+F154+F171+F177+F184+F188+F192+F196</f>
        <v>5824443.7100000009</v>
      </c>
      <c r="G94" s="10">
        <f t="shared" si="39"/>
        <v>543019.65</v>
      </c>
      <c r="H94" s="10">
        <f t="shared" si="39"/>
        <v>0</v>
      </c>
      <c r="I94" s="10">
        <f t="shared" si="39"/>
        <v>0</v>
      </c>
      <c r="J94" s="10">
        <f t="shared" si="39"/>
        <v>0</v>
      </c>
      <c r="K94" s="10">
        <f t="shared" si="39"/>
        <v>1680135.7799999998</v>
      </c>
      <c r="L94" s="10">
        <f t="shared" si="39"/>
        <v>3297977.9599999995</v>
      </c>
      <c r="M94" s="10">
        <f t="shared" si="39"/>
        <v>303310.32</v>
      </c>
      <c r="N94" s="10">
        <f t="shared" si="39"/>
        <v>0</v>
      </c>
      <c r="O94" s="10">
        <f t="shared" si="39"/>
        <v>0</v>
      </c>
      <c r="P94" s="9"/>
      <c r="Q94" s="11"/>
      <c r="R94" s="12"/>
    </row>
    <row r="95" spans="1:18" ht="45" x14ac:dyDescent="0.25">
      <c r="A95" s="13" t="s">
        <v>279</v>
      </c>
      <c r="B95" s="14" t="s">
        <v>280</v>
      </c>
      <c r="C95" s="15" t="s">
        <v>277</v>
      </c>
      <c r="D95" s="15" t="s">
        <v>281</v>
      </c>
      <c r="E95" s="15"/>
      <c r="F95" s="16">
        <f t="shared" ref="F95:O95" si="40">F96+F99+F121</f>
        <v>2678662.1800000002</v>
      </c>
      <c r="G95" s="16">
        <f t="shared" si="40"/>
        <v>99822.62</v>
      </c>
      <c r="H95" s="16">
        <f t="shared" si="40"/>
        <v>0</v>
      </c>
      <c r="I95" s="16">
        <f t="shared" si="40"/>
        <v>0</v>
      </c>
      <c r="J95" s="16">
        <f t="shared" si="40"/>
        <v>0</v>
      </c>
      <c r="K95" s="16">
        <f t="shared" si="40"/>
        <v>943351.75</v>
      </c>
      <c r="L95" s="16">
        <f t="shared" si="40"/>
        <v>1497529.19</v>
      </c>
      <c r="M95" s="16">
        <f t="shared" si="40"/>
        <v>137958.62</v>
      </c>
      <c r="N95" s="16">
        <f t="shared" si="40"/>
        <v>0</v>
      </c>
      <c r="O95" s="16">
        <f t="shared" si="40"/>
        <v>0</v>
      </c>
      <c r="P95" s="15" t="s">
        <v>282</v>
      </c>
      <c r="Q95" s="17" t="s">
        <v>29</v>
      </c>
      <c r="R95" s="18" t="s">
        <v>163</v>
      </c>
    </row>
    <row r="96" spans="1:18" ht="135" x14ac:dyDescent="0.25">
      <c r="A96" s="19" t="s">
        <v>283</v>
      </c>
      <c r="B96" s="20" t="s">
        <v>284</v>
      </c>
      <c r="C96" s="21" t="s">
        <v>277</v>
      </c>
      <c r="D96" s="21" t="s">
        <v>281</v>
      </c>
      <c r="E96" s="21" t="s">
        <v>33</v>
      </c>
      <c r="F96" s="22">
        <f t="shared" ref="F96:O96" si="41">SUM(F97:F97)</f>
        <v>1673978.56</v>
      </c>
      <c r="G96" s="22">
        <f t="shared" si="41"/>
        <v>33097.620000000003</v>
      </c>
      <c r="H96" s="22">
        <f t="shared" si="41"/>
        <v>0</v>
      </c>
      <c r="I96" s="22">
        <f t="shared" si="41"/>
        <v>0</v>
      </c>
      <c r="J96" s="22">
        <f t="shared" si="41"/>
        <v>0</v>
      </c>
      <c r="K96" s="22">
        <f t="shared" si="41"/>
        <v>143351.75</v>
      </c>
      <c r="L96" s="22">
        <f t="shared" si="41"/>
        <v>1497529.19</v>
      </c>
      <c r="M96" s="22">
        <f t="shared" si="41"/>
        <v>0</v>
      </c>
      <c r="N96" s="22">
        <f t="shared" si="41"/>
        <v>0</v>
      </c>
      <c r="O96" s="22">
        <f t="shared" si="41"/>
        <v>0</v>
      </c>
      <c r="P96" s="21" t="s">
        <v>285</v>
      </c>
      <c r="Q96" s="23" t="s">
        <v>35</v>
      </c>
      <c r="R96" s="24" t="s">
        <v>150</v>
      </c>
    </row>
    <row r="97" spans="1:18" ht="69.75" x14ac:dyDescent="0.25">
      <c r="A97" s="25" t="s">
        <v>286</v>
      </c>
      <c r="B97" s="26" t="s">
        <v>287</v>
      </c>
      <c r="C97" s="27" t="s">
        <v>277</v>
      </c>
      <c r="D97" s="27" t="s">
        <v>288</v>
      </c>
      <c r="E97" s="27" t="s">
        <v>40</v>
      </c>
      <c r="F97" s="28">
        <f>SUM(F98:F98)+1673978.56</f>
        <v>1673978.56</v>
      </c>
      <c r="G97" s="28">
        <f>SUM(G98:G98)+33097.62</f>
        <v>33097.620000000003</v>
      </c>
      <c r="H97" s="28">
        <f>SUM(H98:H98)</f>
        <v>0</v>
      </c>
      <c r="I97" s="28">
        <f>SUM(I98:I98)</f>
        <v>0</v>
      </c>
      <c r="J97" s="28">
        <f>SUM(J98:J98)</f>
        <v>0</v>
      </c>
      <c r="K97" s="28">
        <f>SUM(K98:K98)+143351.75</f>
        <v>143351.75</v>
      </c>
      <c r="L97" s="28">
        <f>SUM(L98:L98)+1497529.19</f>
        <v>1497529.19</v>
      </c>
      <c r="M97" s="28">
        <f>SUM(M98:M98)</f>
        <v>0</v>
      </c>
      <c r="N97" s="28">
        <f>SUM(N98:N98)</f>
        <v>0</v>
      </c>
      <c r="O97" s="28">
        <f>SUM(O98:O98)</f>
        <v>0</v>
      </c>
      <c r="P97" s="27" t="s">
        <v>289</v>
      </c>
      <c r="Q97" s="29" t="s">
        <v>35</v>
      </c>
      <c r="R97" s="30" t="s">
        <v>48</v>
      </c>
    </row>
    <row r="98" spans="1:18" ht="69.75" x14ac:dyDescent="0.25">
      <c r="A98" s="25" t="s">
        <v>290</v>
      </c>
      <c r="B98" s="26" t="s">
        <v>291</v>
      </c>
      <c r="C98" s="27"/>
      <c r="D98" s="27"/>
      <c r="E98" s="27"/>
      <c r="F98" s="31">
        <v>0</v>
      </c>
      <c r="G98" s="31">
        <v>0</v>
      </c>
      <c r="H98" s="31">
        <v>0</v>
      </c>
      <c r="I98" s="31">
        <v>0</v>
      </c>
      <c r="J98" s="31">
        <v>0</v>
      </c>
      <c r="K98" s="31">
        <v>0</v>
      </c>
      <c r="L98" s="31">
        <v>0</v>
      </c>
      <c r="M98" s="31">
        <v>0</v>
      </c>
      <c r="N98" s="31">
        <v>0</v>
      </c>
      <c r="O98" s="31">
        <v>0</v>
      </c>
      <c r="P98" s="27"/>
      <c r="Q98" s="29"/>
      <c r="R98" s="30"/>
    </row>
    <row r="99" spans="1:18" ht="157.5" x14ac:dyDescent="0.25">
      <c r="A99" s="19" t="s">
        <v>292</v>
      </c>
      <c r="B99" s="20" t="s">
        <v>293</v>
      </c>
      <c r="C99" s="21" t="s">
        <v>277</v>
      </c>
      <c r="D99" s="21" t="s">
        <v>281</v>
      </c>
      <c r="E99" s="21" t="s">
        <v>248</v>
      </c>
      <c r="F99" s="22">
        <f t="shared" ref="F99:O99" si="42">F100+F102+F104+F106+F108+F110+F112+F114+F116</f>
        <v>939683.62</v>
      </c>
      <c r="G99" s="22">
        <f t="shared" si="42"/>
        <v>1725</v>
      </c>
      <c r="H99" s="22">
        <f t="shared" si="42"/>
        <v>0</v>
      </c>
      <c r="I99" s="22">
        <f t="shared" si="42"/>
        <v>0</v>
      </c>
      <c r="J99" s="22">
        <f t="shared" si="42"/>
        <v>0</v>
      </c>
      <c r="K99" s="22">
        <f t="shared" si="42"/>
        <v>800000</v>
      </c>
      <c r="L99" s="22">
        <f t="shared" si="42"/>
        <v>0</v>
      </c>
      <c r="M99" s="22">
        <f t="shared" si="42"/>
        <v>137958.62</v>
      </c>
      <c r="N99" s="22">
        <f t="shared" si="42"/>
        <v>0</v>
      </c>
      <c r="O99" s="22">
        <f t="shared" si="42"/>
        <v>0</v>
      </c>
      <c r="P99" s="21" t="s">
        <v>294</v>
      </c>
      <c r="Q99" s="23" t="s">
        <v>295</v>
      </c>
      <c r="R99" s="24" t="s">
        <v>296</v>
      </c>
    </row>
    <row r="100" spans="1:18" ht="139.5" x14ac:dyDescent="0.25">
      <c r="A100" s="25" t="s">
        <v>297</v>
      </c>
      <c r="B100" s="26" t="s">
        <v>298</v>
      </c>
      <c r="C100" s="27" t="s">
        <v>277</v>
      </c>
      <c r="D100" s="27" t="s">
        <v>281</v>
      </c>
      <c r="E100" s="27" t="s">
        <v>299</v>
      </c>
      <c r="F100" s="28">
        <f>SUM(F101:F101)+600</f>
        <v>600</v>
      </c>
      <c r="G100" s="28">
        <f>SUM(G101:G101)+120</f>
        <v>120</v>
      </c>
      <c r="H100" s="28">
        <f>SUM(H101:H101)</f>
        <v>0</v>
      </c>
      <c r="I100" s="28">
        <f>SUM(I101:I101)</f>
        <v>0</v>
      </c>
      <c r="J100" s="28">
        <f>SUM(J101:J101)</f>
        <v>0</v>
      </c>
      <c r="K100" s="28">
        <f>SUM(K101:K101)</f>
        <v>0</v>
      </c>
      <c r="L100" s="28">
        <f>SUM(L101:L101)</f>
        <v>0</v>
      </c>
      <c r="M100" s="28">
        <f>SUM(M101:M101)+480</f>
        <v>480</v>
      </c>
      <c r="N100" s="28">
        <f>SUM(N101:N101)</f>
        <v>0</v>
      </c>
      <c r="O100" s="28">
        <f>SUM(O101:O101)</f>
        <v>0</v>
      </c>
      <c r="P100" s="27" t="s">
        <v>300</v>
      </c>
      <c r="Q100" s="29" t="s">
        <v>35</v>
      </c>
      <c r="R100" s="30" t="s">
        <v>48</v>
      </c>
    </row>
    <row r="101" spans="1:18" ht="46.5" x14ac:dyDescent="0.25">
      <c r="A101" s="25" t="s">
        <v>301</v>
      </c>
      <c r="B101" s="26" t="s">
        <v>302</v>
      </c>
      <c r="C101" s="27"/>
      <c r="D101" s="27"/>
      <c r="E101" s="27"/>
      <c r="F101" s="31">
        <v>0</v>
      </c>
      <c r="G101" s="31">
        <v>0</v>
      </c>
      <c r="H101" s="31">
        <v>0</v>
      </c>
      <c r="I101" s="31">
        <v>0</v>
      </c>
      <c r="J101" s="31">
        <v>0</v>
      </c>
      <c r="K101" s="31">
        <v>0</v>
      </c>
      <c r="L101" s="31">
        <v>0</v>
      </c>
      <c r="M101" s="31">
        <v>0</v>
      </c>
      <c r="N101" s="31">
        <v>0</v>
      </c>
      <c r="O101" s="31">
        <v>0</v>
      </c>
      <c r="P101" s="27"/>
      <c r="Q101" s="29"/>
      <c r="R101" s="30"/>
    </row>
    <row r="102" spans="1:18" ht="116.25" x14ac:dyDescent="0.25">
      <c r="A102" s="25" t="s">
        <v>303</v>
      </c>
      <c r="B102" s="26" t="s">
        <v>304</v>
      </c>
      <c r="C102" s="27" t="s">
        <v>277</v>
      </c>
      <c r="D102" s="27" t="s">
        <v>281</v>
      </c>
      <c r="E102" s="27" t="s">
        <v>299</v>
      </c>
      <c r="F102" s="28">
        <f>SUM(F103:F103)+1210</f>
        <v>1210</v>
      </c>
      <c r="G102" s="28">
        <f>SUM(G103:G103)+242</f>
        <v>242</v>
      </c>
      <c r="H102" s="28">
        <f>SUM(H103:H103)</f>
        <v>0</v>
      </c>
      <c r="I102" s="28">
        <f>SUM(I103:I103)</f>
        <v>0</v>
      </c>
      <c r="J102" s="28">
        <f>SUM(J103:J103)</f>
        <v>0</v>
      </c>
      <c r="K102" s="28">
        <f>SUM(K103:K103)</f>
        <v>0</v>
      </c>
      <c r="L102" s="28">
        <f>SUM(L103:L103)</f>
        <v>0</v>
      </c>
      <c r="M102" s="28">
        <f>SUM(M103:M103)+968</f>
        <v>968</v>
      </c>
      <c r="N102" s="28">
        <f>SUM(N103:N103)</f>
        <v>0</v>
      </c>
      <c r="O102" s="28">
        <f>SUM(O103:O103)</f>
        <v>0</v>
      </c>
      <c r="P102" s="27" t="s">
        <v>300</v>
      </c>
      <c r="Q102" s="29" t="s">
        <v>35</v>
      </c>
      <c r="R102" s="30" t="s">
        <v>48</v>
      </c>
    </row>
    <row r="103" spans="1:18" ht="46.5" x14ac:dyDescent="0.25">
      <c r="A103" s="25" t="s">
        <v>305</v>
      </c>
      <c r="B103" s="26" t="s">
        <v>302</v>
      </c>
      <c r="C103" s="27"/>
      <c r="D103" s="27"/>
      <c r="E103" s="27"/>
      <c r="F103" s="31">
        <v>0</v>
      </c>
      <c r="G103" s="31">
        <v>0</v>
      </c>
      <c r="H103" s="31">
        <v>0</v>
      </c>
      <c r="I103" s="31">
        <v>0</v>
      </c>
      <c r="J103" s="31">
        <v>0</v>
      </c>
      <c r="K103" s="31">
        <v>0</v>
      </c>
      <c r="L103" s="31">
        <v>0</v>
      </c>
      <c r="M103" s="31">
        <v>0</v>
      </c>
      <c r="N103" s="31">
        <v>0</v>
      </c>
      <c r="O103" s="31">
        <v>0</v>
      </c>
      <c r="P103" s="27"/>
      <c r="Q103" s="29"/>
      <c r="R103" s="30"/>
    </row>
    <row r="104" spans="1:18" ht="116.25" x14ac:dyDescent="0.25">
      <c r="A104" s="25" t="s">
        <v>306</v>
      </c>
      <c r="B104" s="26" t="s">
        <v>307</v>
      </c>
      <c r="C104" s="27" t="s">
        <v>277</v>
      </c>
      <c r="D104" s="27" t="s">
        <v>281</v>
      </c>
      <c r="E104" s="27" t="s">
        <v>299</v>
      </c>
      <c r="F104" s="28">
        <f>SUM(F105:F105)+1210</f>
        <v>1210</v>
      </c>
      <c r="G104" s="28">
        <f>SUM(G105:G105)+242</f>
        <v>242</v>
      </c>
      <c r="H104" s="28">
        <f>SUM(H105:H105)</f>
        <v>0</v>
      </c>
      <c r="I104" s="28">
        <f>SUM(I105:I105)</f>
        <v>0</v>
      </c>
      <c r="J104" s="28">
        <f>SUM(J105:J105)</f>
        <v>0</v>
      </c>
      <c r="K104" s="28">
        <f>SUM(K105:K105)</f>
        <v>0</v>
      </c>
      <c r="L104" s="28">
        <f>SUM(L105:L105)</f>
        <v>0</v>
      </c>
      <c r="M104" s="28">
        <f>SUM(M105:M105)+968</f>
        <v>968</v>
      </c>
      <c r="N104" s="28">
        <f>SUM(N105:N105)</f>
        <v>0</v>
      </c>
      <c r="O104" s="28">
        <f>SUM(O105:O105)</f>
        <v>0</v>
      </c>
      <c r="P104" s="27" t="s">
        <v>300</v>
      </c>
      <c r="Q104" s="29" t="s">
        <v>35</v>
      </c>
      <c r="R104" s="30" t="s">
        <v>48</v>
      </c>
    </row>
    <row r="105" spans="1:18" ht="46.5" x14ac:dyDescent="0.25">
      <c r="A105" s="25" t="s">
        <v>308</v>
      </c>
      <c r="B105" s="26" t="s">
        <v>302</v>
      </c>
      <c r="C105" s="27"/>
      <c r="D105" s="27"/>
      <c r="E105" s="27"/>
      <c r="F105" s="31">
        <v>0</v>
      </c>
      <c r="G105" s="31">
        <v>0</v>
      </c>
      <c r="H105" s="31">
        <v>0</v>
      </c>
      <c r="I105" s="31">
        <v>0</v>
      </c>
      <c r="J105" s="31">
        <v>0</v>
      </c>
      <c r="K105" s="31">
        <v>0</v>
      </c>
      <c r="L105" s="31">
        <v>0</v>
      </c>
      <c r="M105" s="31">
        <v>0</v>
      </c>
      <c r="N105" s="31">
        <v>0</v>
      </c>
      <c r="O105" s="31">
        <v>0</v>
      </c>
      <c r="P105" s="27"/>
      <c r="Q105" s="29"/>
      <c r="R105" s="30"/>
    </row>
    <row r="106" spans="1:18" ht="116.25" x14ac:dyDescent="0.25">
      <c r="A106" s="25" t="s">
        <v>309</v>
      </c>
      <c r="B106" s="26" t="s">
        <v>310</v>
      </c>
      <c r="C106" s="27" t="s">
        <v>277</v>
      </c>
      <c r="D106" s="27" t="s">
        <v>281</v>
      </c>
      <c r="E106" s="27" t="s">
        <v>299</v>
      </c>
      <c r="F106" s="28">
        <f>SUM(F107:F107)+2000</f>
        <v>2000</v>
      </c>
      <c r="G106" s="28">
        <f>SUM(G107:G107)+400</f>
        <v>400</v>
      </c>
      <c r="H106" s="28">
        <f>SUM(H107:H107)</f>
        <v>0</v>
      </c>
      <c r="I106" s="28">
        <f>SUM(I107:I107)</f>
        <v>0</v>
      </c>
      <c r="J106" s="28">
        <f>SUM(J107:J107)</f>
        <v>0</v>
      </c>
      <c r="K106" s="28">
        <f>SUM(K107:K107)</f>
        <v>0</v>
      </c>
      <c r="L106" s="28">
        <f>SUM(L107:L107)</f>
        <v>0</v>
      </c>
      <c r="M106" s="28">
        <f>SUM(M107:M107)+1600</f>
        <v>1600</v>
      </c>
      <c r="N106" s="28">
        <f>SUM(N107:N107)</f>
        <v>0</v>
      </c>
      <c r="O106" s="28">
        <f>SUM(O107:O107)</f>
        <v>0</v>
      </c>
      <c r="P106" s="27" t="s">
        <v>300</v>
      </c>
      <c r="Q106" s="29" t="s">
        <v>35</v>
      </c>
      <c r="R106" s="30" t="s">
        <v>48</v>
      </c>
    </row>
    <row r="107" spans="1:18" ht="46.5" x14ac:dyDescent="0.25">
      <c r="A107" s="25" t="s">
        <v>311</v>
      </c>
      <c r="B107" s="26" t="s">
        <v>302</v>
      </c>
      <c r="C107" s="27"/>
      <c r="D107" s="27"/>
      <c r="E107" s="27"/>
      <c r="F107" s="31">
        <v>0</v>
      </c>
      <c r="G107" s="31">
        <v>0</v>
      </c>
      <c r="H107" s="31">
        <v>0</v>
      </c>
      <c r="I107" s="31">
        <v>0</v>
      </c>
      <c r="J107" s="31">
        <v>0</v>
      </c>
      <c r="K107" s="31">
        <v>0</v>
      </c>
      <c r="L107" s="31">
        <v>0</v>
      </c>
      <c r="M107" s="31">
        <v>0</v>
      </c>
      <c r="N107" s="31">
        <v>0</v>
      </c>
      <c r="O107" s="31">
        <v>0</v>
      </c>
      <c r="P107" s="27"/>
      <c r="Q107" s="29"/>
      <c r="R107" s="30"/>
    </row>
    <row r="108" spans="1:18" ht="139.5" x14ac:dyDescent="0.25">
      <c r="A108" s="25" t="s">
        <v>312</v>
      </c>
      <c r="B108" s="26" t="s">
        <v>313</v>
      </c>
      <c r="C108" s="27" t="s">
        <v>277</v>
      </c>
      <c r="D108" s="27" t="s">
        <v>281</v>
      </c>
      <c r="E108" s="27" t="s">
        <v>299</v>
      </c>
      <c r="F108" s="28">
        <f>SUM(F109:F109)+1000</f>
        <v>1000</v>
      </c>
      <c r="G108" s="28">
        <f>SUM(G109:G109)+200</f>
        <v>200</v>
      </c>
      <c r="H108" s="28">
        <f>SUM(H109:H109)</f>
        <v>0</v>
      </c>
      <c r="I108" s="28">
        <f>SUM(I109:I109)</f>
        <v>0</v>
      </c>
      <c r="J108" s="28">
        <f>SUM(J109:J109)</f>
        <v>0</v>
      </c>
      <c r="K108" s="28">
        <f>SUM(K109:K109)</f>
        <v>0</v>
      </c>
      <c r="L108" s="28">
        <f>SUM(L109:L109)</f>
        <v>0</v>
      </c>
      <c r="M108" s="28">
        <f>SUM(M109:M109)+800</f>
        <v>800</v>
      </c>
      <c r="N108" s="28">
        <f>SUM(N109:N109)</f>
        <v>0</v>
      </c>
      <c r="O108" s="28">
        <f>SUM(O109:O109)</f>
        <v>0</v>
      </c>
      <c r="P108" s="27" t="s">
        <v>300</v>
      </c>
      <c r="Q108" s="29" t="s">
        <v>35</v>
      </c>
      <c r="R108" s="30" t="s">
        <v>48</v>
      </c>
    </row>
    <row r="109" spans="1:18" ht="46.5" x14ac:dyDescent="0.25">
      <c r="A109" s="25" t="s">
        <v>314</v>
      </c>
      <c r="B109" s="26" t="s">
        <v>302</v>
      </c>
      <c r="C109" s="27"/>
      <c r="D109" s="27"/>
      <c r="E109" s="27"/>
      <c r="F109" s="31">
        <v>0</v>
      </c>
      <c r="G109" s="31">
        <v>0</v>
      </c>
      <c r="H109" s="31">
        <v>0</v>
      </c>
      <c r="I109" s="31">
        <v>0</v>
      </c>
      <c r="J109" s="31">
        <v>0</v>
      </c>
      <c r="K109" s="31">
        <v>0</v>
      </c>
      <c r="L109" s="31">
        <v>0</v>
      </c>
      <c r="M109" s="31">
        <v>0</v>
      </c>
      <c r="N109" s="31">
        <v>0</v>
      </c>
      <c r="O109" s="31">
        <v>0</v>
      </c>
      <c r="P109" s="27"/>
      <c r="Q109" s="29"/>
      <c r="R109" s="30"/>
    </row>
    <row r="110" spans="1:18" ht="116.25" x14ac:dyDescent="0.25">
      <c r="A110" s="25" t="s">
        <v>315</v>
      </c>
      <c r="B110" s="26" t="s">
        <v>316</v>
      </c>
      <c r="C110" s="27" t="s">
        <v>277</v>
      </c>
      <c r="D110" s="27" t="s">
        <v>281</v>
      </c>
      <c r="E110" s="27" t="s">
        <v>299</v>
      </c>
      <c r="F110" s="28">
        <f>SUM(F111:F111)+109632</f>
        <v>109632</v>
      </c>
      <c r="G110" s="28">
        <f>SUM(G111:G111)+200</f>
        <v>200</v>
      </c>
      <c r="H110" s="28">
        <f>SUM(H111:H111)</f>
        <v>0</v>
      </c>
      <c r="I110" s="28">
        <f>SUM(I111:I111)</f>
        <v>0</v>
      </c>
      <c r="J110" s="28">
        <f>SUM(J111:J111)</f>
        <v>0</v>
      </c>
      <c r="K110" s="28">
        <f>SUM(K111:K111)</f>
        <v>0</v>
      </c>
      <c r="L110" s="28">
        <f>SUM(L111:L111)</f>
        <v>0</v>
      </c>
      <c r="M110" s="28">
        <f>SUM(M111:M111)+109432</f>
        <v>109432</v>
      </c>
      <c r="N110" s="28">
        <f>SUM(N111:N111)</f>
        <v>0</v>
      </c>
      <c r="O110" s="28">
        <f>SUM(O111:O111)</f>
        <v>0</v>
      </c>
      <c r="P110" s="27" t="s">
        <v>300</v>
      </c>
      <c r="Q110" s="29" t="s">
        <v>35</v>
      </c>
      <c r="R110" s="30" t="s">
        <v>48</v>
      </c>
    </row>
    <row r="111" spans="1:18" ht="46.5" x14ac:dyDescent="0.25">
      <c r="A111" s="25" t="s">
        <v>317</v>
      </c>
      <c r="B111" s="26" t="s">
        <v>302</v>
      </c>
      <c r="C111" s="27"/>
      <c r="D111" s="27"/>
      <c r="E111" s="27"/>
      <c r="F111" s="31">
        <v>0</v>
      </c>
      <c r="G111" s="31">
        <v>0</v>
      </c>
      <c r="H111" s="31">
        <v>0</v>
      </c>
      <c r="I111" s="31">
        <v>0</v>
      </c>
      <c r="J111" s="31">
        <v>0</v>
      </c>
      <c r="K111" s="31">
        <v>0</v>
      </c>
      <c r="L111" s="31">
        <v>0</v>
      </c>
      <c r="M111" s="31">
        <v>0</v>
      </c>
      <c r="N111" s="31">
        <v>0</v>
      </c>
      <c r="O111" s="31">
        <v>0</v>
      </c>
      <c r="P111" s="27"/>
      <c r="Q111" s="29"/>
      <c r="R111" s="30"/>
    </row>
    <row r="112" spans="1:18" ht="116.25" x14ac:dyDescent="0.25">
      <c r="A112" s="25" t="s">
        <v>318</v>
      </c>
      <c r="B112" s="26" t="s">
        <v>319</v>
      </c>
      <c r="C112" s="27" t="s">
        <v>277</v>
      </c>
      <c r="D112" s="27" t="s">
        <v>281</v>
      </c>
      <c r="E112" s="27" t="s">
        <v>299</v>
      </c>
      <c r="F112" s="28">
        <f>SUM(F113:F113)+1000</f>
        <v>1000</v>
      </c>
      <c r="G112" s="28">
        <f>SUM(G113:G113)+200</f>
        <v>200</v>
      </c>
      <c r="H112" s="28">
        <f>SUM(H113:H113)</f>
        <v>0</v>
      </c>
      <c r="I112" s="28">
        <f>SUM(I113:I113)</f>
        <v>0</v>
      </c>
      <c r="J112" s="28">
        <f>SUM(J113:J113)</f>
        <v>0</v>
      </c>
      <c r="K112" s="28">
        <f>SUM(K113:K113)</f>
        <v>0</v>
      </c>
      <c r="L112" s="28">
        <f>SUM(L113:L113)</f>
        <v>0</v>
      </c>
      <c r="M112" s="28">
        <f>SUM(M113:M113)+800</f>
        <v>800</v>
      </c>
      <c r="N112" s="28">
        <f>SUM(N113:N113)</f>
        <v>0</v>
      </c>
      <c r="O112" s="28">
        <f>SUM(O113:O113)</f>
        <v>0</v>
      </c>
      <c r="P112" s="27" t="s">
        <v>300</v>
      </c>
      <c r="Q112" s="29" t="s">
        <v>35</v>
      </c>
      <c r="R112" s="30" t="s">
        <v>48</v>
      </c>
    </row>
    <row r="113" spans="1:18" ht="46.5" x14ac:dyDescent="0.25">
      <c r="A113" s="25" t="s">
        <v>320</v>
      </c>
      <c r="B113" s="26" t="s">
        <v>302</v>
      </c>
      <c r="C113" s="27"/>
      <c r="D113" s="27"/>
      <c r="E113" s="27"/>
      <c r="F113" s="31">
        <v>0</v>
      </c>
      <c r="G113" s="31">
        <v>0</v>
      </c>
      <c r="H113" s="31">
        <v>0</v>
      </c>
      <c r="I113" s="31">
        <v>0</v>
      </c>
      <c r="J113" s="31">
        <v>0</v>
      </c>
      <c r="K113" s="31">
        <v>0</v>
      </c>
      <c r="L113" s="31">
        <v>0</v>
      </c>
      <c r="M113" s="31">
        <v>0</v>
      </c>
      <c r="N113" s="31">
        <v>0</v>
      </c>
      <c r="O113" s="31">
        <v>0</v>
      </c>
      <c r="P113" s="27"/>
      <c r="Q113" s="29"/>
      <c r="R113" s="30"/>
    </row>
    <row r="114" spans="1:18" ht="93" x14ac:dyDescent="0.25">
      <c r="A114" s="25" t="s">
        <v>321</v>
      </c>
      <c r="B114" s="26" t="s">
        <v>322</v>
      </c>
      <c r="C114" s="27" t="s">
        <v>277</v>
      </c>
      <c r="D114" s="27" t="s">
        <v>281</v>
      </c>
      <c r="E114" s="27" t="s">
        <v>299</v>
      </c>
      <c r="F114" s="28">
        <f>SUM(F115:F115)+23031.62</f>
        <v>23031.62</v>
      </c>
      <c r="G114" s="28">
        <f>SUM(G115:G115)+121</f>
        <v>121</v>
      </c>
      <c r="H114" s="28">
        <f>SUM(H115:H115)</f>
        <v>0</v>
      </c>
      <c r="I114" s="28">
        <f>SUM(I115:I115)</f>
        <v>0</v>
      </c>
      <c r="J114" s="28">
        <f>SUM(J115:J115)</f>
        <v>0</v>
      </c>
      <c r="K114" s="28">
        <f>SUM(K115:K115)</f>
        <v>0</v>
      </c>
      <c r="L114" s="28">
        <f>SUM(L115:L115)</f>
        <v>0</v>
      </c>
      <c r="M114" s="28">
        <f>SUM(M115:M115)+22910.62</f>
        <v>22910.62</v>
      </c>
      <c r="N114" s="28">
        <f>SUM(N115:N115)</f>
        <v>0</v>
      </c>
      <c r="O114" s="28">
        <f>SUM(O115:O115)</f>
        <v>0</v>
      </c>
      <c r="P114" s="27" t="s">
        <v>300</v>
      </c>
      <c r="Q114" s="29" t="s">
        <v>35</v>
      </c>
      <c r="R114" s="30" t="s">
        <v>48</v>
      </c>
    </row>
    <row r="115" spans="1:18" ht="46.5" x14ac:dyDescent="0.25">
      <c r="A115" s="25" t="s">
        <v>323</v>
      </c>
      <c r="B115" s="26" t="s">
        <v>302</v>
      </c>
      <c r="C115" s="27"/>
      <c r="D115" s="27"/>
      <c r="E115" s="27"/>
      <c r="F115" s="31">
        <v>0</v>
      </c>
      <c r="G115" s="31">
        <v>0</v>
      </c>
      <c r="H115" s="31">
        <v>0</v>
      </c>
      <c r="I115" s="31">
        <v>0</v>
      </c>
      <c r="J115" s="31">
        <v>0</v>
      </c>
      <c r="K115" s="31">
        <v>0</v>
      </c>
      <c r="L115" s="31">
        <v>0</v>
      </c>
      <c r="M115" s="31">
        <v>0</v>
      </c>
      <c r="N115" s="31">
        <v>0</v>
      </c>
      <c r="O115" s="31">
        <v>0</v>
      </c>
      <c r="P115" s="27"/>
      <c r="Q115" s="29"/>
      <c r="R115" s="30"/>
    </row>
    <row r="116" spans="1:18" ht="139.5" x14ac:dyDescent="0.25">
      <c r="A116" s="25" t="s">
        <v>324</v>
      </c>
      <c r="B116" s="26" t="s">
        <v>325</v>
      </c>
      <c r="C116" s="27" t="s">
        <v>277</v>
      </c>
      <c r="D116" s="27" t="s">
        <v>326</v>
      </c>
      <c r="E116" s="27" t="s">
        <v>299</v>
      </c>
      <c r="F116" s="28">
        <f>SUM(F117:F120)+800000</f>
        <v>800000</v>
      </c>
      <c r="G116" s="28">
        <f>SUM(G117:G120)</f>
        <v>0</v>
      </c>
      <c r="H116" s="28">
        <f>SUM(H117:H120)</f>
        <v>0</v>
      </c>
      <c r="I116" s="28">
        <f>SUM(I117:I120)</f>
        <v>0</v>
      </c>
      <c r="J116" s="28">
        <f>SUM(J117:J120)</f>
        <v>0</v>
      </c>
      <c r="K116" s="28">
        <f>SUM(K117:K120)+800000</f>
        <v>800000</v>
      </c>
      <c r="L116" s="28">
        <f>SUM(L117:L120)</f>
        <v>0</v>
      </c>
      <c r="M116" s="28">
        <f>SUM(M117:M120)</f>
        <v>0</v>
      </c>
      <c r="N116" s="28">
        <f>SUM(N117:N120)</f>
        <v>0</v>
      </c>
      <c r="O116" s="28">
        <f>SUM(O117:O120)</f>
        <v>0</v>
      </c>
      <c r="P116" s="27" t="s">
        <v>327</v>
      </c>
      <c r="Q116" s="29" t="s">
        <v>35</v>
      </c>
      <c r="R116" s="30" t="s">
        <v>48</v>
      </c>
    </row>
    <row r="117" spans="1:18" ht="46.5" x14ac:dyDescent="0.25">
      <c r="A117" s="32"/>
      <c r="B117" s="33"/>
      <c r="C117" s="34"/>
      <c r="D117" s="34"/>
      <c r="E117" s="34"/>
      <c r="F117" s="35">
        <v>0</v>
      </c>
      <c r="G117" s="35">
        <v>0</v>
      </c>
      <c r="H117" s="35">
        <v>0</v>
      </c>
      <c r="I117" s="35">
        <v>0</v>
      </c>
      <c r="J117" s="35">
        <v>0</v>
      </c>
      <c r="K117" s="35">
        <v>0</v>
      </c>
      <c r="L117" s="35">
        <v>0</v>
      </c>
      <c r="M117" s="35">
        <v>0</v>
      </c>
      <c r="N117" s="35">
        <v>0</v>
      </c>
      <c r="O117" s="35">
        <v>0</v>
      </c>
      <c r="P117" s="34" t="s">
        <v>328</v>
      </c>
      <c r="Q117" s="36" t="s">
        <v>29</v>
      </c>
      <c r="R117" s="37" t="s">
        <v>250</v>
      </c>
    </row>
    <row r="118" spans="1:18" x14ac:dyDescent="0.25">
      <c r="A118" s="32"/>
      <c r="B118" s="33"/>
      <c r="C118" s="34"/>
      <c r="D118" s="34"/>
      <c r="E118" s="34"/>
      <c r="F118" s="35">
        <v>0</v>
      </c>
      <c r="G118" s="35">
        <v>0</v>
      </c>
      <c r="H118" s="35">
        <v>0</v>
      </c>
      <c r="I118" s="35">
        <v>0</v>
      </c>
      <c r="J118" s="35">
        <v>0</v>
      </c>
      <c r="K118" s="35">
        <v>0</v>
      </c>
      <c r="L118" s="35">
        <v>0</v>
      </c>
      <c r="M118" s="35">
        <v>0</v>
      </c>
      <c r="N118" s="35">
        <v>0</v>
      </c>
      <c r="O118" s="35">
        <v>0</v>
      </c>
      <c r="P118" s="34" t="s">
        <v>329</v>
      </c>
      <c r="Q118" s="36" t="s">
        <v>29</v>
      </c>
      <c r="R118" s="37" t="s">
        <v>250</v>
      </c>
    </row>
    <row r="119" spans="1:18" ht="46.5" x14ac:dyDescent="0.25">
      <c r="A119" s="32"/>
      <c r="B119" s="33"/>
      <c r="C119" s="34"/>
      <c r="D119" s="34"/>
      <c r="E119" s="34"/>
      <c r="F119" s="35">
        <v>0</v>
      </c>
      <c r="G119" s="35">
        <v>0</v>
      </c>
      <c r="H119" s="35">
        <v>0</v>
      </c>
      <c r="I119" s="35">
        <v>0</v>
      </c>
      <c r="J119" s="35">
        <v>0</v>
      </c>
      <c r="K119" s="35">
        <v>0</v>
      </c>
      <c r="L119" s="35">
        <v>0</v>
      </c>
      <c r="M119" s="35">
        <v>0</v>
      </c>
      <c r="N119" s="35">
        <v>0</v>
      </c>
      <c r="O119" s="35">
        <v>0</v>
      </c>
      <c r="P119" s="34" t="s">
        <v>330</v>
      </c>
      <c r="Q119" s="36" t="s">
        <v>29</v>
      </c>
      <c r="R119" s="37" t="s">
        <v>250</v>
      </c>
    </row>
    <row r="120" spans="1:18" ht="46.5" x14ac:dyDescent="0.25">
      <c r="A120" s="25" t="s">
        <v>331</v>
      </c>
      <c r="B120" s="26" t="s">
        <v>332</v>
      </c>
      <c r="C120" s="27"/>
      <c r="D120" s="27"/>
      <c r="E120" s="27"/>
      <c r="F120" s="31">
        <v>0</v>
      </c>
      <c r="G120" s="31">
        <v>0</v>
      </c>
      <c r="H120" s="31">
        <v>0</v>
      </c>
      <c r="I120" s="31">
        <v>0</v>
      </c>
      <c r="J120" s="31">
        <v>0</v>
      </c>
      <c r="K120" s="31">
        <v>0</v>
      </c>
      <c r="L120" s="31">
        <v>0</v>
      </c>
      <c r="M120" s="31">
        <v>0</v>
      </c>
      <c r="N120" s="31">
        <v>0</v>
      </c>
      <c r="O120" s="31">
        <v>0</v>
      </c>
      <c r="P120" s="27"/>
      <c r="Q120" s="29"/>
      <c r="R120" s="30"/>
    </row>
    <row r="121" spans="1:18" ht="45" x14ac:dyDescent="0.25">
      <c r="A121" s="19" t="s">
        <v>333</v>
      </c>
      <c r="B121" s="20" t="s">
        <v>334</v>
      </c>
      <c r="C121" s="21" t="s">
        <v>277</v>
      </c>
      <c r="D121" s="21" t="s">
        <v>335</v>
      </c>
      <c r="E121" s="21" t="s">
        <v>33</v>
      </c>
      <c r="F121" s="22">
        <f t="shared" ref="F121:O121" si="43">F122+F124+F126</f>
        <v>65000</v>
      </c>
      <c r="G121" s="22">
        <f t="shared" si="43"/>
        <v>65000</v>
      </c>
      <c r="H121" s="22">
        <f t="shared" si="43"/>
        <v>0</v>
      </c>
      <c r="I121" s="22">
        <f t="shared" si="43"/>
        <v>0</v>
      </c>
      <c r="J121" s="22">
        <f t="shared" si="43"/>
        <v>0</v>
      </c>
      <c r="K121" s="22">
        <f t="shared" si="43"/>
        <v>0</v>
      </c>
      <c r="L121" s="22">
        <f t="shared" si="43"/>
        <v>0</v>
      </c>
      <c r="M121" s="22">
        <f t="shared" si="43"/>
        <v>0</v>
      </c>
      <c r="N121" s="22">
        <f t="shared" si="43"/>
        <v>0</v>
      </c>
      <c r="O121" s="22">
        <f t="shared" si="43"/>
        <v>0</v>
      </c>
      <c r="P121" s="21" t="s">
        <v>336</v>
      </c>
      <c r="Q121" s="23" t="s">
        <v>35</v>
      </c>
      <c r="R121" s="24" t="s">
        <v>36</v>
      </c>
    </row>
    <row r="122" spans="1:18" ht="46.5" x14ac:dyDescent="0.25">
      <c r="A122" s="25" t="s">
        <v>337</v>
      </c>
      <c r="B122" s="26" t="s">
        <v>338</v>
      </c>
      <c r="C122" s="27" t="s">
        <v>277</v>
      </c>
      <c r="D122" s="27" t="s">
        <v>335</v>
      </c>
      <c r="E122" s="27" t="s">
        <v>40</v>
      </c>
      <c r="F122" s="28">
        <f>SUM(F123:F123)+54900</f>
        <v>54900</v>
      </c>
      <c r="G122" s="28">
        <f>SUM(G123:G123)+54900</f>
        <v>54900</v>
      </c>
      <c r="H122" s="28">
        <f t="shared" ref="H122:O122" si="44">SUM(H123:H123)</f>
        <v>0</v>
      </c>
      <c r="I122" s="28">
        <f t="shared" si="44"/>
        <v>0</v>
      </c>
      <c r="J122" s="28">
        <f t="shared" si="44"/>
        <v>0</v>
      </c>
      <c r="K122" s="28">
        <f t="shared" si="44"/>
        <v>0</v>
      </c>
      <c r="L122" s="28">
        <f t="shared" si="44"/>
        <v>0</v>
      </c>
      <c r="M122" s="28">
        <f t="shared" si="44"/>
        <v>0</v>
      </c>
      <c r="N122" s="28">
        <f t="shared" si="44"/>
        <v>0</v>
      </c>
      <c r="O122" s="28">
        <f t="shared" si="44"/>
        <v>0</v>
      </c>
      <c r="P122" s="27" t="s">
        <v>339</v>
      </c>
      <c r="Q122" s="29" t="s">
        <v>35</v>
      </c>
      <c r="R122" s="30" t="s">
        <v>36</v>
      </c>
    </row>
    <row r="123" spans="1:18" ht="69.75" x14ac:dyDescent="0.25">
      <c r="A123" s="25" t="s">
        <v>340</v>
      </c>
      <c r="B123" s="26" t="s">
        <v>341</v>
      </c>
      <c r="C123" s="27"/>
      <c r="D123" s="27"/>
      <c r="E123" s="27"/>
      <c r="F123" s="31">
        <v>0</v>
      </c>
      <c r="G123" s="31">
        <v>0</v>
      </c>
      <c r="H123" s="31">
        <v>0</v>
      </c>
      <c r="I123" s="31">
        <v>0</v>
      </c>
      <c r="J123" s="31">
        <v>0</v>
      </c>
      <c r="K123" s="31">
        <v>0</v>
      </c>
      <c r="L123" s="31">
        <v>0</v>
      </c>
      <c r="M123" s="31">
        <v>0</v>
      </c>
      <c r="N123" s="31">
        <v>0</v>
      </c>
      <c r="O123" s="31">
        <v>0</v>
      </c>
      <c r="P123" s="27"/>
      <c r="Q123" s="29"/>
      <c r="R123" s="30"/>
    </row>
    <row r="124" spans="1:18" ht="93" x14ac:dyDescent="0.25">
      <c r="A124" s="25" t="s">
        <v>342</v>
      </c>
      <c r="B124" s="26" t="s">
        <v>343</v>
      </c>
      <c r="C124" s="27" t="s">
        <v>277</v>
      </c>
      <c r="D124" s="27" t="s">
        <v>344</v>
      </c>
      <c r="E124" s="27" t="s">
        <v>40</v>
      </c>
      <c r="F124" s="28">
        <f>SUM(F125:F125)+5000</f>
        <v>5000</v>
      </c>
      <c r="G124" s="28">
        <f>SUM(G125:G125)+5000</f>
        <v>5000</v>
      </c>
      <c r="H124" s="28">
        <f t="shared" ref="H124:O124" si="45">SUM(H125:H125)</f>
        <v>0</v>
      </c>
      <c r="I124" s="28">
        <f t="shared" si="45"/>
        <v>0</v>
      </c>
      <c r="J124" s="28">
        <f t="shared" si="45"/>
        <v>0</v>
      </c>
      <c r="K124" s="28">
        <f t="shared" si="45"/>
        <v>0</v>
      </c>
      <c r="L124" s="28">
        <f t="shared" si="45"/>
        <v>0</v>
      </c>
      <c r="M124" s="28">
        <f t="shared" si="45"/>
        <v>0</v>
      </c>
      <c r="N124" s="28">
        <f t="shared" si="45"/>
        <v>0</v>
      </c>
      <c r="O124" s="28">
        <f t="shared" si="45"/>
        <v>0</v>
      </c>
      <c r="P124" s="27" t="s">
        <v>345</v>
      </c>
      <c r="Q124" s="29" t="s">
        <v>35</v>
      </c>
      <c r="R124" s="30" t="s">
        <v>48</v>
      </c>
    </row>
    <row r="125" spans="1:18" ht="69.75" x14ac:dyDescent="0.25">
      <c r="A125" s="25" t="s">
        <v>346</v>
      </c>
      <c r="B125" s="26" t="s">
        <v>347</v>
      </c>
      <c r="C125" s="27"/>
      <c r="D125" s="27"/>
      <c r="E125" s="27"/>
      <c r="F125" s="31">
        <v>0</v>
      </c>
      <c r="G125" s="31">
        <v>0</v>
      </c>
      <c r="H125" s="31">
        <v>0</v>
      </c>
      <c r="I125" s="31">
        <v>0</v>
      </c>
      <c r="J125" s="31">
        <v>0</v>
      </c>
      <c r="K125" s="31">
        <v>0</v>
      </c>
      <c r="L125" s="31">
        <v>0</v>
      </c>
      <c r="M125" s="31">
        <v>0</v>
      </c>
      <c r="N125" s="31">
        <v>0</v>
      </c>
      <c r="O125" s="31">
        <v>0</v>
      </c>
      <c r="P125" s="27"/>
      <c r="Q125" s="29"/>
      <c r="R125" s="30"/>
    </row>
    <row r="126" spans="1:18" ht="153" customHeight="1" x14ac:dyDescent="0.25">
      <c r="A126" s="25" t="s">
        <v>348</v>
      </c>
      <c r="B126" s="26" t="s">
        <v>349</v>
      </c>
      <c r="C126" s="27" t="s">
        <v>350</v>
      </c>
      <c r="D126" s="27" t="s">
        <v>351</v>
      </c>
      <c r="E126" s="27"/>
      <c r="F126" s="28">
        <f>SUM(F127:F127)+5100</f>
        <v>5100</v>
      </c>
      <c r="G126" s="28">
        <f>SUM(G127:G127)+5100</f>
        <v>5100</v>
      </c>
      <c r="H126" s="28">
        <f t="shared" ref="H126:O126" si="46">SUM(H127:H127)</f>
        <v>0</v>
      </c>
      <c r="I126" s="28">
        <f t="shared" si="46"/>
        <v>0</v>
      </c>
      <c r="J126" s="28">
        <f t="shared" si="46"/>
        <v>0</v>
      </c>
      <c r="K126" s="28">
        <f t="shared" si="46"/>
        <v>0</v>
      </c>
      <c r="L126" s="28">
        <f t="shared" si="46"/>
        <v>0</v>
      </c>
      <c r="M126" s="28">
        <f t="shared" si="46"/>
        <v>0</v>
      </c>
      <c r="N126" s="28">
        <f t="shared" si="46"/>
        <v>0</v>
      </c>
      <c r="O126" s="28">
        <f t="shared" si="46"/>
        <v>0</v>
      </c>
      <c r="P126" s="27" t="s">
        <v>352</v>
      </c>
      <c r="Q126" s="29" t="s">
        <v>35</v>
      </c>
      <c r="R126" s="30" t="s">
        <v>48</v>
      </c>
    </row>
    <row r="127" spans="1:18" ht="77.25" customHeight="1" x14ac:dyDescent="0.25">
      <c r="A127" s="25" t="s">
        <v>353</v>
      </c>
      <c r="B127" s="26" t="s">
        <v>2081</v>
      </c>
      <c r="C127" s="27"/>
      <c r="D127" s="27"/>
      <c r="E127" s="27"/>
      <c r="F127" s="31">
        <v>0</v>
      </c>
      <c r="G127" s="31">
        <v>0</v>
      </c>
      <c r="H127" s="31">
        <v>0</v>
      </c>
      <c r="I127" s="31">
        <v>0</v>
      </c>
      <c r="J127" s="31">
        <v>0</v>
      </c>
      <c r="K127" s="31">
        <v>0</v>
      </c>
      <c r="L127" s="31">
        <v>0</v>
      </c>
      <c r="M127" s="31">
        <v>0</v>
      </c>
      <c r="N127" s="31">
        <v>0</v>
      </c>
      <c r="O127" s="31">
        <v>0</v>
      </c>
      <c r="P127" s="27"/>
      <c r="Q127" s="29"/>
      <c r="R127" s="30"/>
    </row>
    <row r="128" spans="1:18" ht="67.5" x14ac:dyDescent="0.25">
      <c r="A128" s="13" t="s">
        <v>354</v>
      </c>
      <c r="B128" s="14" t="s">
        <v>355</v>
      </c>
      <c r="C128" s="15" t="s">
        <v>277</v>
      </c>
      <c r="D128" s="15" t="s">
        <v>281</v>
      </c>
      <c r="E128" s="15"/>
      <c r="F128" s="16">
        <f t="shared" ref="F128:O129" si="47">SUM(F129:F129)</f>
        <v>65871</v>
      </c>
      <c r="G128" s="16">
        <f t="shared" si="47"/>
        <v>65871</v>
      </c>
      <c r="H128" s="16">
        <f t="shared" si="47"/>
        <v>0</v>
      </c>
      <c r="I128" s="16">
        <f t="shared" si="47"/>
        <v>0</v>
      </c>
      <c r="J128" s="16">
        <f t="shared" si="47"/>
        <v>0</v>
      </c>
      <c r="K128" s="16">
        <f t="shared" si="47"/>
        <v>0</v>
      </c>
      <c r="L128" s="16">
        <f t="shared" si="47"/>
        <v>0</v>
      </c>
      <c r="M128" s="16">
        <f t="shared" si="47"/>
        <v>0</v>
      </c>
      <c r="N128" s="16">
        <f t="shared" si="47"/>
        <v>0</v>
      </c>
      <c r="O128" s="16">
        <f t="shared" si="47"/>
        <v>0</v>
      </c>
      <c r="P128" s="15" t="s">
        <v>356</v>
      </c>
      <c r="Q128" s="17" t="s">
        <v>29</v>
      </c>
      <c r="R128" s="18" t="s">
        <v>70</v>
      </c>
    </row>
    <row r="129" spans="1:18" ht="45" x14ac:dyDescent="0.25">
      <c r="A129" s="19" t="s">
        <v>357</v>
      </c>
      <c r="B129" s="20" t="s">
        <v>358</v>
      </c>
      <c r="C129" s="21" t="s">
        <v>277</v>
      </c>
      <c r="D129" s="21" t="s">
        <v>281</v>
      </c>
      <c r="E129" s="21" t="s">
        <v>33</v>
      </c>
      <c r="F129" s="22">
        <f t="shared" si="47"/>
        <v>65871</v>
      </c>
      <c r="G129" s="22">
        <f t="shared" si="47"/>
        <v>65871</v>
      </c>
      <c r="H129" s="22">
        <f t="shared" si="47"/>
        <v>0</v>
      </c>
      <c r="I129" s="22">
        <f t="shared" si="47"/>
        <v>0</v>
      </c>
      <c r="J129" s="22">
        <f t="shared" si="47"/>
        <v>0</v>
      </c>
      <c r="K129" s="22">
        <f t="shared" si="47"/>
        <v>0</v>
      </c>
      <c r="L129" s="22">
        <f t="shared" si="47"/>
        <v>0</v>
      </c>
      <c r="M129" s="22">
        <f t="shared" si="47"/>
        <v>0</v>
      </c>
      <c r="N129" s="22">
        <f t="shared" si="47"/>
        <v>0</v>
      </c>
      <c r="O129" s="22">
        <f t="shared" si="47"/>
        <v>0</v>
      </c>
      <c r="P129" s="21" t="s">
        <v>359</v>
      </c>
      <c r="Q129" s="23" t="s">
        <v>35</v>
      </c>
      <c r="R129" s="24" t="s">
        <v>48</v>
      </c>
    </row>
    <row r="130" spans="1:18" ht="69.75" x14ac:dyDescent="0.25">
      <c r="A130" s="25" t="s">
        <v>360</v>
      </c>
      <c r="B130" s="26" t="s">
        <v>361</v>
      </c>
      <c r="C130" s="27" t="s">
        <v>277</v>
      </c>
      <c r="D130" s="27"/>
      <c r="E130" s="27" t="s">
        <v>40</v>
      </c>
      <c r="F130" s="28">
        <f>SUM(F131:F131)+65871</f>
        <v>65871</v>
      </c>
      <c r="G130" s="28">
        <f>SUM(G131:G131)+65871</f>
        <v>65871</v>
      </c>
      <c r="H130" s="28">
        <f t="shared" ref="H130:O130" si="48">SUM(H131:H131)</f>
        <v>0</v>
      </c>
      <c r="I130" s="28">
        <f t="shared" si="48"/>
        <v>0</v>
      </c>
      <c r="J130" s="28">
        <f t="shared" si="48"/>
        <v>0</v>
      </c>
      <c r="K130" s="28">
        <f t="shared" si="48"/>
        <v>0</v>
      </c>
      <c r="L130" s="28">
        <f t="shared" si="48"/>
        <v>0</v>
      </c>
      <c r="M130" s="28">
        <f t="shared" si="48"/>
        <v>0</v>
      </c>
      <c r="N130" s="28">
        <f t="shared" si="48"/>
        <v>0</v>
      </c>
      <c r="O130" s="28">
        <f t="shared" si="48"/>
        <v>0</v>
      </c>
      <c r="P130" s="27" t="s">
        <v>362</v>
      </c>
      <c r="Q130" s="29" t="s">
        <v>35</v>
      </c>
      <c r="R130" s="30" t="s">
        <v>181</v>
      </c>
    </row>
    <row r="131" spans="1:18" ht="69.75" x14ac:dyDescent="0.25">
      <c r="A131" s="25" t="s">
        <v>363</v>
      </c>
      <c r="B131" s="26" t="s">
        <v>364</v>
      </c>
      <c r="C131" s="27"/>
      <c r="D131" s="27"/>
      <c r="E131" s="27"/>
      <c r="F131" s="31">
        <v>0</v>
      </c>
      <c r="G131" s="31">
        <v>0</v>
      </c>
      <c r="H131" s="31">
        <v>0</v>
      </c>
      <c r="I131" s="31">
        <v>0</v>
      </c>
      <c r="J131" s="31">
        <v>0</v>
      </c>
      <c r="K131" s="31">
        <v>0</v>
      </c>
      <c r="L131" s="31">
        <v>0</v>
      </c>
      <c r="M131" s="31">
        <v>0</v>
      </c>
      <c r="N131" s="31">
        <v>0</v>
      </c>
      <c r="O131" s="31">
        <v>0</v>
      </c>
      <c r="P131" s="27"/>
      <c r="Q131" s="29"/>
      <c r="R131" s="30"/>
    </row>
    <row r="132" spans="1:18" ht="45" x14ac:dyDescent="0.25">
      <c r="A132" s="13" t="s">
        <v>365</v>
      </c>
      <c r="B132" s="14" t="s">
        <v>366</v>
      </c>
      <c r="C132" s="15" t="s">
        <v>277</v>
      </c>
      <c r="D132" s="15" t="s">
        <v>281</v>
      </c>
      <c r="E132" s="15"/>
      <c r="F132" s="16">
        <f t="shared" ref="F132:O133" si="49">SUM(F133:F133)</f>
        <v>657705.18999999994</v>
      </c>
      <c r="G132" s="16">
        <f t="shared" si="49"/>
        <v>0</v>
      </c>
      <c r="H132" s="16">
        <f t="shared" si="49"/>
        <v>0</v>
      </c>
      <c r="I132" s="16">
        <f t="shared" si="49"/>
        <v>0</v>
      </c>
      <c r="J132" s="16">
        <f t="shared" si="49"/>
        <v>0</v>
      </c>
      <c r="K132" s="16">
        <f t="shared" si="49"/>
        <v>200000</v>
      </c>
      <c r="L132" s="16">
        <f t="shared" si="49"/>
        <v>457705.19</v>
      </c>
      <c r="M132" s="16">
        <f t="shared" si="49"/>
        <v>0</v>
      </c>
      <c r="N132" s="16">
        <f t="shared" si="49"/>
        <v>0</v>
      </c>
      <c r="O132" s="16">
        <f t="shared" si="49"/>
        <v>0</v>
      </c>
      <c r="P132" s="15" t="s">
        <v>367</v>
      </c>
      <c r="Q132" s="17" t="s">
        <v>29</v>
      </c>
      <c r="R132" s="18" t="s">
        <v>368</v>
      </c>
    </row>
    <row r="133" spans="1:18" ht="90" x14ac:dyDescent="0.25">
      <c r="A133" s="19" t="s">
        <v>369</v>
      </c>
      <c r="B133" s="20" t="s">
        <v>370</v>
      </c>
      <c r="C133" s="21" t="s">
        <v>277</v>
      </c>
      <c r="D133" s="21"/>
      <c r="E133" s="21" t="s">
        <v>33</v>
      </c>
      <c r="F133" s="22">
        <f t="shared" si="49"/>
        <v>657705.18999999994</v>
      </c>
      <c r="G133" s="22">
        <f t="shared" si="49"/>
        <v>0</v>
      </c>
      <c r="H133" s="22">
        <f t="shared" si="49"/>
        <v>0</v>
      </c>
      <c r="I133" s="22">
        <f t="shared" si="49"/>
        <v>0</v>
      </c>
      <c r="J133" s="22">
        <f t="shared" si="49"/>
        <v>0</v>
      </c>
      <c r="K133" s="22">
        <f t="shared" si="49"/>
        <v>200000</v>
      </c>
      <c r="L133" s="22">
        <f t="shared" si="49"/>
        <v>457705.19</v>
      </c>
      <c r="M133" s="22">
        <f t="shared" si="49"/>
        <v>0</v>
      </c>
      <c r="N133" s="22">
        <f t="shared" si="49"/>
        <v>0</v>
      </c>
      <c r="O133" s="22">
        <f t="shared" si="49"/>
        <v>0</v>
      </c>
      <c r="P133" s="21" t="s">
        <v>371</v>
      </c>
      <c r="Q133" s="23" t="s">
        <v>372</v>
      </c>
      <c r="R133" s="24" t="s">
        <v>373</v>
      </c>
    </row>
    <row r="134" spans="1:18" ht="93" x14ac:dyDescent="0.25">
      <c r="A134" s="25" t="s">
        <v>374</v>
      </c>
      <c r="B134" s="26" t="s">
        <v>375</v>
      </c>
      <c r="C134" s="27" t="s">
        <v>277</v>
      </c>
      <c r="D134" s="27" t="s">
        <v>281</v>
      </c>
      <c r="E134" s="27" t="s">
        <v>40</v>
      </c>
      <c r="F134" s="28">
        <f>SUM(F135:F137)+657705.19</f>
        <v>657705.18999999994</v>
      </c>
      <c r="G134" s="28">
        <f>SUM(G135:G137)</f>
        <v>0</v>
      </c>
      <c r="H134" s="28">
        <f>SUM(H135:H137)</f>
        <v>0</v>
      </c>
      <c r="I134" s="28">
        <f>SUM(I135:I137)</f>
        <v>0</v>
      </c>
      <c r="J134" s="28">
        <f>SUM(J135:J137)</f>
        <v>0</v>
      </c>
      <c r="K134" s="28">
        <f>SUM(K135:K137)+200000</f>
        <v>200000</v>
      </c>
      <c r="L134" s="28">
        <f>SUM(L135:L137)+457705.19</f>
        <v>457705.19</v>
      </c>
      <c r="M134" s="28">
        <f>SUM(M135:M137)</f>
        <v>0</v>
      </c>
      <c r="N134" s="28">
        <f>SUM(N135:N137)</f>
        <v>0</v>
      </c>
      <c r="O134" s="28">
        <f>SUM(O135:O137)</f>
        <v>0</v>
      </c>
      <c r="P134" s="27" t="s">
        <v>328</v>
      </c>
      <c r="Q134" s="29" t="s">
        <v>29</v>
      </c>
      <c r="R134" s="30" t="s">
        <v>66</v>
      </c>
    </row>
    <row r="135" spans="1:18" x14ac:dyDescent="0.25">
      <c r="A135" s="32"/>
      <c r="B135" s="33"/>
      <c r="C135" s="34"/>
      <c r="D135" s="34"/>
      <c r="E135" s="34"/>
      <c r="F135" s="35">
        <v>0</v>
      </c>
      <c r="G135" s="35">
        <v>0</v>
      </c>
      <c r="H135" s="35">
        <v>0</v>
      </c>
      <c r="I135" s="35">
        <v>0</v>
      </c>
      <c r="J135" s="35">
        <v>0</v>
      </c>
      <c r="K135" s="35">
        <v>0</v>
      </c>
      <c r="L135" s="35">
        <v>0</v>
      </c>
      <c r="M135" s="35">
        <v>0</v>
      </c>
      <c r="N135" s="35">
        <v>0</v>
      </c>
      <c r="O135" s="35">
        <v>0</v>
      </c>
      <c r="P135" s="34" t="s">
        <v>329</v>
      </c>
      <c r="Q135" s="36" t="s">
        <v>29</v>
      </c>
      <c r="R135" s="37" t="s">
        <v>376</v>
      </c>
    </row>
    <row r="136" spans="1:18" ht="46.5" x14ac:dyDescent="0.25">
      <c r="A136" s="32"/>
      <c r="B136" s="33"/>
      <c r="C136" s="34"/>
      <c r="D136" s="34"/>
      <c r="E136" s="34"/>
      <c r="F136" s="35">
        <v>0</v>
      </c>
      <c r="G136" s="35">
        <v>0</v>
      </c>
      <c r="H136" s="35">
        <v>0</v>
      </c>
      <c r="I136" s="35">
        <v>0</v>
      </c>
      <c r="J136" s="35">
        <v>0</v>
      </c>
      <c r="K136" s="35">
        <v>0</v>
      </c>
      <c r="L136" s="35">
        <v>0</v>
      </c>
      <c r="M136" s="35">
        <v>0</v>
      </c>
      <c r="N136" s="35">
        <v>0</v>
      </c>
      <c r="O136" s="35">
        <v>0</v>
      </c>
      <c r="P136" s="34" t="s">
        <v>330</v>
      </c>
      <c r="Q136" s="36" t="s">
        <v>29</v>
      </c>
      <c r="R136" s="37" t="s">
        <v>66</v>
      </c>
    </row>
    <row r="137" spans="1:18" ht="69.75" x14ac:dyDescent="0.25">
      <c r="A137" s="25" t="s">
        <v>377</v>
      </c>
      <c r="B137" s="26" t="s">
        <v>378</v>
      </c>
      <c r="C137" s="27"/>
      <c r="D137" s="27"/>
      <c r="E137" s="27"/>
      <c r="F137" s="31">
        <v>0</v>
      </c>
      <c r="G137" s="31">
        <v>0</v>
      </c>
      <c r="H137" s="31">
        <v>0</v>
      </c>
      <c r="I137" s="31">
        <v>0</v>
      </c>
      <c r="J137" s="31">
        <v>0</v>
      </c>
      <c r="K137" s="31">
        <v>0</v>
      </c>
      <c r="L137" s="31">
        <v>0</v>
      </c>
      <c r="M137" s="31">
        <v>0</v>
      </c>
      <c r="N137" s="31">
        <v>0</v>
      </c>
      <c r="O137" s="31">
        <v>0</v>
      </c>
      <c r="P137" s="27"/>
      <c r="Q137" s="29"/>
      <c r="R137" s="30"/>
    </row>
    <row r="138" spans="1:18" ht="67.5" x14ac:dyDescent="0.25">
      <c r="A138" s="13" t="s">
        <v>379</v>
      </c>
      <c r="B138" s="14" t="s">
        <v>380</v>
      </c>
      <c r="C138" s="15" t="s">
        <v>381</v>
      </c>
      <c r="D138" s="15" t="s">
        <v>382</v>
      </c>
      <c r="E138" s="15"/>
      <c r="F138" s="16">
        <f t="shared" ref="F138:O138" si="50">SUM(F139:F139)</f>
        <v>487518.45</v>
      </c>
      <c r="G138" s="16">
        <f t="shared" si="50"/>
        <v>57163.89</v>
      </c>
      <c r="H138" s="16">
        <f t="shared" si="50"/>
        <v>0</v>
      </c>
      <c r="I138" s="16">
        <f t="shared" si="50"/>
        <v>0</v>
      </c>
      <c r="J138" s="16">
        <f t="shared" si="50"/>
        <v>0</v>
      </c>
      <c r="K138" s="16">
        <f t="shared" si="50"/>
        <v>217686.11</v>
      </c>
      <c r="L138" s="16">
        <f t="shared" si="50"/>
        <v>180768.15999999997</v>
      </c>
      <c r="M138" s="16">
        <f t="shared" si="50"/>
        <v>31900.29</v>
      </c>
      <c r="N138" s="16">
        <f t="shared" si="50"/>
        <v>0</v>
      </c>
      <c r="O138" s="16">
        <f t="shared" si="50"/>
        <v>0</v>
      </c>
      <c r="P138" s="15" t="s">
        <v>383</v>
      </c>
      <c r="Q138" s="17" t="s">
        <v>29</v>
      </c>
      <c r="R138" s="18" t="s">
        <v>54</v>
      </c>
    </row>
    <row r="139" spans="1:18" ht="90" x14ac:dyDescent="0.25">
      <c r="A139" s="19" t="s">
        <v>384</v>
      </c>
      <c r="B139" s="20" t="s">
        <v>385</v>
      </c>
      <c r="C139" s="21" t="s">
        <v>381</v>
      </c>
      <c r="D139" s="21" t="s">
        <v>382</v>
      </c>
      <c r="E139" s="21" t="s">
        <v>33</v>
      </c>
      <c r="F139" s="22">
        <f t="shared" ref="F139:O139" si="51">F140+F141+F143+F145+F150</f>
        <v>487518.45</v>
      </c>
      <c r="G139" s="22">
        <f t="shared" si="51"/>
        <v>57163.89</v>
      </c>
      <c r="H139" s="22">
        <f t="shared" si="51"/>
        <v>0</v>
      </c>
      <c r="I139" s="22">
        <f t="shared" si="51"/>
        <v>0</v>
      </c>
      <c r="J139" s="22">
        <f t="shared" si="51"/>
        <v>0</v>
      </c>
      <c r="K139" s="22">
        <f t="shared" si="51"/>
        <v>217686.11</v>
      </c>
      <c r="L139" s="22">
        <f t="shared" si="51"/>
        <v>180768.15999999997</v>
      </c>
      <c r="M139" s="22">
        <f t="shared" si="51"/>
        <v>31900.29</v>
      </c>
      <c r="N139" s="22">
        <f t="shared" si="51"/>
        <v>0</v>
      </c>
      <c r="O139" s="22">
        <f t="shared" si="51"/>
        <v>0</v>
      </c>
      <c r="P139" s="21" t="s">
        <v>386</v>
      </c>
      <c r="Q139" s="23" t="s">
        <v>35</v>
      </c>
      <c r="R139" s="24" t="s">
        <v>150</v>
      </c>
    </row>
    <row r="140" spans="1:18" ht="46.5" x14ac:dyDescent="0.25">
      <c r="A140" s="32"/>
      <c r="B140" s="33"/>
      <c r="C140" s="34"/>
      <c r="D140" s="34"/>
      <c r="E140" s="34"/>
      <c r="F140" s="35">
        <v>0</v>
      </c>
      <c r="G140" s="35">
        <v>0</v>
      </c>
      <c r="H140" s="35">
        <v>0</v>
      </c>
      <c r="I140" s="35">
        <v>0</v>
      </c>
      <c r="J140" s="35">
        <v>0</v>
      </c>
      <c r="K140" s="35">
        <v>0</v>
      </c>
      <c r="L140" s="35">
        <v>0</v>
      </c>
      <c r="M140" s="35">
        <v>0</v>
      </c>
      <c r="N140" s="35">
        <v>0</v>
      </c>
      <c r="O140" s="35">
        <v>0</v>
      </c>
      <c r="P140" s="34" t="s">
        <v>387</v>
      </c>
      <c r="Q140" s="36" t="s">
        <v>35</v>
      </c>
      <c r="R140" s="37" t="s">
        <v>388</v>
      </c>
    </row>
    <row r="141" spans="1:18" ht="139.5" x14ac:dyDescent="0.25">
      <c r="A141" s="25" t="s">
        <v>389</v>
      </c>
      <c r="B141" s="26" t="s">
        <v>390</v>
      </c>
      <c r="C141" s="27" t="s">
        <v>381</v>
      </c>
      <c r="D141" s="27" t="s">
        <v>391</v>
      </c>
      <c r="E141" s="27" t="s">
        <v>40</v>
      </c>
      <c r="F141" s="28">
        <f t="shared" ref="F141:O141" si="52">SUM(F142:F142)</f>
        <v>0</v>
      </c>
      <c r="G141" s="28">
        <f t="shared" si="52"/>
        <v>0</v>
      </c>
      <c r="H141" s="28">
        <f t="shared" si="52"/>
        <v>0</v>
      </c>
      <c r="I141" s="28">
        <f t="shared" si="52"/>
        <v>0</v>
      </c>
      <c r="J141" s="28">
        <f t="shared" si="52"/>
        <v>0</v>
      </c>
      <c r="K141" s="28">
        <f t="shared" si="52"/>
        <v>0</v>
      </c>
      <c r="L141" s="28">
        <f t="shared" si="52"/>
        <v>0</v>
      </c>
      <c r="M141" s="28">
        <f t="shared" si="52"/>
        <v>0</v>
      </c>
      <c r="N141" s="28">
        <f t="shared" si="52"/>
        <v>0</v>
      </c>
      <c r="O141" s="28">
        <f t="shared" si="52"/>
        <v>0</v>
      </c>
      <c r="P141" s="27" t="s">
        <v>392</v>
      </c>
      <c r="Q141" s="29" t="s">
        <v>372</v>
      </c>
      <c r="R141" s="30" t="s">
        <v>393</v>
      </c>
    </row>
    <row r="142" spans="1:18" ht="139.5" x14ac:dyDescent="0.25">
      <c r="A142" s="25" t="s">
        <v>394</v>
      </c>
      <c r="B142" s="26" t="s">
        <v>395</v>
      </c>
      <c r="C142" s="27"/>
      <c r="D142" s="27"/>
      <c r="E142" s="27"/>
      <c r="F142" s="31">
        <v>0</v>
      </c>
      <c r="G142" s="31">
        <v>0</v>
      </c>
      <c r="H142" s="31">
        <v>0</v>
      </c>
      <c r="I142" s="31">
        <v>0</v>
      </c>
      <c r="J142" s="31">
        <v>0</v>
      </c>
      <c r="K142" s="31">
        <v>0</v>
      </c>
      <c r="L142" s="31">
        <v>0</v>
      </c>
      <c r="M142" s="31">
        <v>0</v>
      </c>
      <c r="N142" s="31">
        <v>0</v>
      </c>
      <c r="O142" s="31">
        <v>0</v>
      </c>
      <c r="P142" s="27"/>
      <c r="Q142" s="29"/>
      <c r="R142" s="30"/>
    </row>
    <row r="143" spans="1:18" ht="116.25" x14ac:dyDescent="0.25">
      <c r="A143" s="25" t="s">
        <v>396</v>
      </c>
      <c r="B143" s="26" t="s">
        <v>397</v>
      </c>
      <c r="C143" s="27" t="s">
        <v>381</v>
      </c>
      <c r="D143" s="27" t="s">
        <v>391</v>
      </c>
      <c r="E143" s="27" t="s">
        <v>40</v>
      </c>
      <c r="F143" s="28">
        <f t="shared" ref="F143:O143" si="53">SUM(F144:F144)</f>
        <v>0</v>
      </c>
      <c r="G143" s="28">
        <f t="shared" si="53"/>
        <v>0</v>
      </c>
      <c r="H143" s="28">
        <f t="shared" si="53"/>
        <v>0</v>
      </c>
      <c r="I143" s="28">
        <f t="shared" si="53"/>
        <v>0</v>
      </c>
      <c r="J143" s="28">
        <f t="shared" si="53"/>
        <v>0</v>
      </c>
      <c r="K143" s="28">
        <f t="shared" si="53"/>
        <v>0</v>
      </c>
      <c r="L143" s="28">
        <f t="shared" si="53"/>
        <v>0</v>
      </c>
      <c r="M143" s="28">
        <f t="shared" si="53"/>
        <v>0</v>
      </c>
      <c r="N143" s="28">
        <f t="shared" si="53"/>
        <v>0</v>
      </c>
      <c r="O143" s="28">
        <f t="shared" si="53"/>
        <v>0</v>
      </c>
      <c r="P143" s="27" t="s">
        <v>392</v>
      </c>
      <c r="Q143" s="29" t="s">
        <v>372</v>
      </c>
      <c r="R143" s="30" t="s">
        <v>398</v>
      </c>
    </row>
    <row r="144" spans="1:18" ht="139.5" x14ac:dyDescent="0.25">
      <c r="A144" s="25" t="s">
        <v>399</v>
      </c>
      <c r="B144" s="26" t="s">
        <v>400</v>
      </c>
      <c r="C144" s="27"/>
      <c r="D144" s="27"/>
      <c r="E144" s="27"/>
      <c r="F144" s="31">
        <v>0</v>
      </c>
      <c r="G144" s="31">
        <v>0</v>
      </c>
      <c r="H144" s="31">
        <v>0</v>
      </c>
      <c r="I144" s="31">
        <v>0</v>
      </c>
      <c r="J144" s="31">
        <v>0</v>
      </c>
      <c r="K144" s="31">
        <v>0</v>
      </c>
      <c r="L144" s="31">
        <v>0</v>
      </c>
      <c r="M144" s="31">
        <v>0</v>
      </c>
      <c r="N144" s="31">
        <v>0</v>
      </c>
      <c r="O144" s="31">
        <v>0</v>
      </c>
      <c r="P144" s="27"/>
      <c r="Q144" s="29"/>
      <c r="R144" s="30"/>
    </row>
    <row r="145" spans="1:18" ht="139.5" x14ac:dyDescent="0.25">
      <c r="A145" s="25" t="s">
        <v>401</v>
      </c>
      <c r="B145" s="26" t="s">
        <v>402</v>
      </c>
      <c r="C145" s="27" t="s">
        <v>381</v>
      </c>
      <c r="D145" s="27" t="s">
        <v>391</v>
      </c>
      <c r="E145" s="27" t="s">
        <v>40</v>
      </c>
      <c r="F145" s="28">
        <f>SUM(F146:F149)+204228.26</f>
        <v>204228.26</v>
      </c>
      <c r="G145" s="28">
        <f>SUM(G146:G149)</f>
        <v>0</v>
      </c>
      <c r="H145" s="28">
        <f>SUM(H146:H149)</f>
        <v>0</v>
      </c>
      <c r="I145" s="28">
        <f>SUM(I146:I149)</f>
        <v>0</v>
      </c>
      <c r="J145" s="28">
        <f>SUM(J146:J149)</f>
        <v>0</v>
      </c>
      <c r="K145" s="28">
        <f>SUM(K146:K149)+115800</f>
        <v>115800</v>
      </c>
      <c r="L145" s="28">
        <f>SUM(L146:L149)+75164.01</f>
        <v>75164.009999999995</v>
      </c>
      <c r="M145" s="28">
        <f>SUM(M146:M149)+13264.25</f>
        <v>13264.25</v>
      </c>
      <c r="N145" s="28">
        <f>SUM(N146:N149)</f>
        <v>0</v>
      </c>
      <c r="O145" s="28">
        <f>SUM(O146:O149)</f>
        <v>0</v>
      </c>
      <c r="P145" s="27" t="s">
        <v>403</v>
      </c>
      <c r="Q145" s="29" t="s">
        <v>372</v>
      </c>
      <c r="R145" s="30" t="s">
        <v>404</v>
      </c>
    </row>
    <row r="146" spans="1:18" ht="93" x14ac:dyDescent="0.25">
      <c r="A146" s="32"/>
      <c r="B146" s="33"/>
      <c r="C146" s="34"/>
      <c r="D146" s="34"/>
      <c r="E146" s="34"/>
      <c r="F146" s="35">
        <v>0</v>
      </c>
      <c r="G146" s="35">
        <v>0</v>
      </c>
      <c r="H146" s="35">
        <v>0</v>
      </c>
      <c r="I146" s="35">
        <v>0</v>
      </c>
      <c r="J146" s="35">
        <v>0</v>
      </c>
      <c r="K146" s="35">
        <v>0</v>
      </c>
      <c r="L146" s="35">
        <v>0</v>
      </c>
      <c r="M146" s="35">
        <v>0</v>
      </c>
      <c r="N146" s="35">
        <v>0</v>
      </c>
      <c r="O146" s="35">
        <v>0</v>
      </c>
      <c r="P146" s="34" t="s">
        <v>392</v>
      </c>
      <c r="Q146" s="36" t="s">
        <v>372</v>
      </c>
      <c r="R146" s="37" t="s">
        <v>404</v>
      </c>
    </row>
    <row r="147" spans="1:18" ht="69.75" x14ac:dyDescent="0.25">
      <c r="A147" s="25" t="s">
        <v>405</v>
      </c>
      <c r="B147" s="26" t="s">
        <v>406</v>
      </c>
      <c r="C147" s="27"/>
      <c r="D147" s="27"/>
      <c r="E147" s="27"/>
      <c r="F147" s="31">
        <v>0</v>
      </c>
      <c r="G147" s="31">
        <v>0</v>
      </c>
      <c r="H147" s="31">
        <v>0</v>
      </c>
      <c r="I147" s="31">
        <v>0</v>
      </c>
      <c r="J147" s="31">
        <v>0</v>
      </c>
      <c r="K147" s="31">
        <v>0</v>
      </c>
      <c r="L147" s="31">
        <v>0</v>
      </c>
      <c r="M147" s="31">
        <v>0</v>
      </c>
      <c r="N147" s="31">
        <v>0</v>
      </c>
      <c r="O147" s="31">
        <v>0</v>
      </c>
      <c r="P147" s="27"/>
      <c r="Q147" s="29"/>
      <c r="R147" s="30"/>
    </row>
    <row r="148" spans="1:18" ht="93" x14ac:dyDescent="0.25">
      <c r="A148" s="25" t="s">
        <v>407</v>
      </c>
      <c r="B148" s="26" t="s">
        <v>408</v>
      </c>
      <c r="C148" s="27"/>
      <c r="D148" s="27"/>
      <c r="E148" s="27"/>
      <c r="F148" s="31">
        <v>0</v>
      </c>
      <c r="G148" s="31">
        <v>0</v>
      </c>
      <c r="H148" s="31">
        <v>0</v>
      </c>
      <c r="I148" s="31">
        <v>0</v>
      </c>
      <c r="J148" s="31">
        <v>0</v>
      </c>
      <c r="K148" s="31">
        <v>0</v>
      </c>
      <c r="L148" s="31">
        <v>0</v>
      </c>
      <c r="M148" s="31">
        <v>0</v>
      </c>
      <c r="N148" s="31">
        <v>0</v>
      </c>
      <c r="O148" s="31">
        <v>0</v>
      </c>
      <c r="P148" s="27"/>
      <c r="Q148" s="29"/>
      <c r="R148" s="30"/>
    </row>
    <row r="149" spans="1:18" ht="139.5" x14ac:dyDescent="0.25">
      <c r="A149" s="25" t="s">
        <v>409</v>
      </c>
      <c r="B149" s="26" t="s">
        <v>410</v>
      </c>
      <c r="C149" s="27"/>
      <c r="D149" s="27"/>
      <c r="E149" s="27"/>
      <c r="F149" s="31">
        <v>0</v>
      </c>
      <c r="G149" s="31">
        <v>0</v>
      </c>
      <c r="H149" s="31">
        <v>0</v>
      </c>
      <c r="I149" s="31">
        <v>0</v>
      </c>
      <c r="J149" s="31">
        <v>0</v>
      </c>
      <c r="K149" s="31">
        <v>0</v>
      </c>
      <c r="L149" s="31">
        <v>0</v>
      </c>
      <c r="M149" s="31">
        <v>0</v>
      </c>
      <c r="N149" s="31">
        <v>0</v>
      </c>
      <c r="O149" s="31">
        <v>0</v>
      </c>
      <c r="P149" s="27"/>
      <c r="Q149" s="29"/>
      <c r="R149" s="30"/>
    </row>
    <row r="150" spans="1:18" ht="116.25" x14ac:dyDescent="0.25">
      <c r="A150" s="25" t="s">
        <v>411</v>
      </c>
      <c r="B150" s="26" t="s">
        <v>412</v>
      </c>
      <c r="C150" s="27" t="s">
        <v>381</v>
      </c>
      <c r="D150" s="27" t="s">
        <v>391</v>
      </c>
      <c r="E150" s="27" t="s">
        <v>40</v>
      </c>
      <c r="F150" s="28">
        <f>SUM(F151:F153)+283290.19</f>
        <v>283290.19</v>
      </c>
      <c r="G150" s="28">
        <f>SUM(G151:G153)+57163.89</f>
        <v>57163.89</v>
      </c>
      <c r="H150" s="28">
        <f>SUM(H151:H153)</f>
        <v>0</v>
      </c>
      <c r="I150" s="28">
        <f>SUM(I151:I153)</f>
        <v>0</v>
      </c>
      <c r="J150" s="28">
        <f>SUM(J151:J153)</f>
        <v>0</v>
      </c>
      <c r="K150" s="28">
        <f>SUM(K151:K153)+101886.11</f>
        <v>101886.11</v>
      </c>
      <c r="L150" s="28">
        <f>SUM(L151:L153)+105604.15</f>
        <v>105604.15</v>
      </c>
      <c r="M150" s="28">
        <f>SUM(M151:M153)+18636.04</f>
        <v>18636.04</v>
      </c>
      <c r="N150" s="28">
        <f>SUM(N151:N153)</f>
        <v>0</v>
      </c>
      <c r="O150" s="28">
        <f>SUM(O151:O153)</f>
        <v>0</v>
      </c>
      <c r="P150" s="27" t="s">
        <v>403</v>
      </c>
      <c r="Q150" s="29" t="s">
        <v>372</v>
      </c>
      <c r="R150" s="30" t="s">
        <v>413</v>
      </c>
    </row>
    <row r="151" spans="1:18" ht="93" x14ac:dyDescent="0.25">
      <c r="A151" s="32"/>
      <c r="B151" s="33"/>
      <c r="C151" s="34"/>
      <c r="D151" s="34"/>
      <c r="E151" s="34"/>
      <c r="F151" s="35">
        <v>0</v>
      </c>
      <c r="G151" s="35">
        <v>0</v>
      </c>
      <c r="H151" s="35">
        <v>0</v>
      </c>
      <c r="I151" s="35">
        <v>0</v>
      </c>
      <c r="J151" s="35">
        <v>0</v>
      </c>
      <c r="K151" s="35">
        <v>0</v>
      </c>
      <c r="L151" s="35">
        <v>0</v>
      </c>
      <c r="M151" s="35">
        <v>0</v>
      </c>
      <c r="N151" s="35">
        <v>0</v>
      </c>
      <c r="O151" s="35">
        <v>0</v>
      </c>
      <c r="P151" s="34" t="s">
        <v>392</v>
      </c>
      <c r="Q151" s="36" t="s">
        <v>372</v>
      </c>
      <c r="R151" s="37" t="s">
        <v>413</v>
      </c>
    </row>
    <row r="152" spans="1:18" ht="69.75" x14ac:dyDescent="0.25">
      <c r="A152" s="25" t="s">
        <v>414</v>
      </c>
      <c r="B152" s="26" t="s">
        <v>415</v>
      </c>
      <c r="C152" s="27"/>
      <c r="D152" s="27"/>
      <c r="E152" s="27"/>
      <c r="F152" s="31">
        <v>0</v>
      </c>
      <c r="G152" s="31">
        <v>0</v>
      </c>
      <c r="H152" s="31">
        <v>0</v>
      </c>
      <c r="I152" s="31">
        <v>0</v>
      </c>
      <c r="J152" s="31">
        <v>0</v>
      </c>
      <c r="K152" s="31">
        <v>0</v>
      </c>
      <c r="L152" s="31">
        <v>0</v>
      </c>
      <c r="M152" s="31">
        <v>0</v>
      </c>
      <c r="N152" s="31">
        <v>0</v>
      </c>
      <c r="O152" s="31">
        <v>0</v>
      </c>
      <c r="P152" s="27"/>
      <c r="Q152" s="29"/>
      <c r="R152" s="30"/>
    </row>
    <row r="153" spans="1:18" ht="139.5" x14ac:dyDescent="0.25">
      <c r="A153" s="25" t="s">
        <v>416</v>
      </c>
      <c r="B153" s="26" t="s">
        <v>417</v>
      </c>
      <c r="C153" s="27"/>
      <c r="D153" s="27"/>
      <c r="E153" s="27"/>
      <c r="F153" s="31">
        <v>0</v>
      </c>
      <c r="G153" s="31">
        <v>0</v>
      </c>
      <c r="H153" s="31">
        <v>0</v>
      </c>
      <c r="I153" s="31">
        <v>0</v>
      </c>
      <c r="J153" s="31">
        <v>0</v>
      </c>
      <c r="K153" s="31">
        <v>0</v>
      </c>
      <c r="L153" s="31">
        <v>0</v>
      </c>
      <c r="M153" s="31">
        <v>0</v>
      </c>
      <c r="N153" s="31">
        <v>0</v>
      </c>
      <c r="O153" s="31">
        <v>0</v>
      </c>
      <c r="P153" s="27"/>
      <c r="Q153" s="29"/>
      <c r="R153" s="30"/>
    </row>
    <row r="154" spans="1:18" ht="90" x14ac:dyDescent="0.25">
      <c r="A154" s="13" t="s">
        <v>418</v>
      </c>
      <c r="B154" s="14" t="s">
        <v>419</v>
      </c>
      <c r="C154" s="15" t="s">
        <v>277</v>
      </c>
      <c r="D154" s="15" t="s">
        <v>281</v>
      </c>
      <c r="E154" s="15"/>
      <c r="F154" s="16">
        <f t="shared" ref="F154:O154" si="54">F155+F160</f>
        <v>1700144.2</v>
      </c>
      <c r="G154" s="16">
        <f t="shared" si="54"/>
        <v>243692.96</v>
      </c>
      <c r="H154" s="16">
        <f t="shared" si="54"/>
        <v>0</v>
      </c>
      <c r="I154" s="16">
        <f t="shared" si="54"/>
        <v>0</v>
      </c>
      <c r="J154" s="16">
        <f t="shared" si="54"/>
        <v>0</v>
      </c>
      <c r="K154" s="16">
        <f t="shared" si="54"/>
        <v>319097.92</v>
      </c>
      <c r="L154" s="16">
        <f t="shared" si="54"/>
        <v>1024109.34</v>
      </c>
      <c r="M154" s="16">
        <f t="shared" si="54"/>
        <v>113243.98</v>
      </c>
      <c r="N154" s="16">
        <f t="shared" si="54"/>
        <v>0</v>
      </c>
      <c r="O154" s="16">
        <f t="shared" si="54"/>
        <v>0</v>
      </c>
      <c r="P154" s="15" t="s">
        <v>420</v>
      </c>
      <c r="Q154" s="17" t="s">
        <v>29</v>
      </c>
      <c r="R154" s="18" t="s">
        <v>421</v>
      </c>
    </row>
    <row r="155" spans="1:18" ht="90" x14ac:dyDescent="0.25">
      <c r="A155" s="19" t="s">
        <v>422</v>
      </c>
      <c r="B155" s="20" t="s">
        <v>423</v>
      </c>
      <c r="C155" s="21" t="s">
        <v>277</v>
      </c>
      <c r="D155" s="21" t="s">
        <v>281</v>
      </c>
      <c r="E155" s="21" t="s">
        <v>33</v>
      </c>
      <c r="F155" s="22">
        <f t="shared" ref="F155:O155" si="55">F156+F158</f>
        <v>1699244.2</v>
      </c>
      <c r="G155" s="22">
        <f t="shared" si="55"/>
        <v>242792.95999999999</v>
      </c>
      <c r="H155" s="22">
        <f t="shared" si="55"/>
        <v>0</v>
      </c>
      <c r="I155" s="22">
        <f t="shared" si="55"/>
        <v>0</v>
      </c>
      <c r="J155" s="22">
        <f t="shared" si="55"/>
        <v>0</v>
      </c>
      <c r="K155" s="22">
        <f t="shared" si="55"/>
        <v>319097.92</v>
      </c>
      <c r="L155" s="22">
        <f t="shared" si="55"/>
        <v>1024109.34</v>
      </c>
      <c r="M155" s="22">
        <f t="shared" si="55"/>
        <v>113243.98</v>
      </c>
      <c r="N155" s="22">
        <f t="shared" si="55"/>
        <v>0</v>
      </c>
      <c r="O155" s="22">
        <f t="shared" si="55"/>
        <v>0</v>
      </c>
      <c r="P155" s="21" t="s">
        <v>424</v>
      </c>
      <c r="Q155" s="23" t="s">
        <v>35</v>
      </c>
      <c r="R155" s="24" t="s">
        <v>36</v>
      </c>
    </row>
    <row r="156" spans="1:18" ht="93" x14ac:dyDescent="0.25">
      <c r="A156" s="25" t="s">
        <v>425</v>
      </c>
      <c r="B156" s="26" t="s">
        <v>426</v>
      </c>
      <c r="C156" s="27" t="s">
        <v>277</v>
      </c>
      <c r="D156" s="27" t="s">
        <v>326</v>
      </c>
      <c r="E156" s="27" t="s">
        <v>40</v>
      </c>
      <c r="F156" s="28">
        <f>SUM(F157:F157)+125178.3</f>
        <v>125178.3</v>
      </c>
      <c r="G156" s="28">
        <f>SUM(G157:G157)</f>
        <v>0</v>
      </c>
      <c r="H156" s="28">
        <f>SUM(H157:H157)</f>
        <v>0</v>
      </c>
      <c r="I156" s="28">
        <f>SUM(I157:I157)</f>
        <v>0</v>
      </c>
      <c r="J156" s="28">
        <f>SUM(J157:J157)</f>
        <v>0</v>
      </c>
      <c r="K156" s="28">
        <f>SUM(K157:K157)</f>
        <v>0</v>
      </c>
      <c r="L156" s="28">
        <f>SUM(L157:L157)+111097.63</f>
        <v>111097.63</v>
      </c>
      <c r="M156" s="28">
        <f>SUM(M157:M157)+14080.67</f>
        <v>14080.67</v>
      </c>
      <c r="N156" s="28">
        <f>SUM(N157:N157)</f>
        <v>0</v>
      </c>
      <c r="O156" s="28">
        <f>SUM(O157:O157)</f>
        <v>0</v>
      </c>
      <c r="P156" s="27"/>
      <c r="Q156" s="29"/>
      <c r="R156" s="30"/>
    </row>
    <row r="157" spans="1:18" ht="46.5" x14ac:dyDescent="0.25">
      <c r="A157" s="25" t="s">
        <v>427</v>
      </c>
      <c r="B157" s="26" t="s">
        <v>428</v>
      </c>
      <c r="C157" s="27"/>
      <c r="D157" s="27"/>
      <c r="E157" s="27"/>
      <c r="F157" s="31">
        <v>0</v>
      </c>
      <c r="G157" s="31">
        <v>0</v>
      </c>
      <c r="H157" s="31">
        <v>0</v>
      </c>
      <c r="I157" s="31">
        <v>0</v>
      </c>
      <c r="J157" s="31">
        <v>0</v>
      </c>
      <c r="K157" s="31">
        <v>0</v>
      </c>
      <c r="L157" s="31">
        <v>0</v>
      </c>
      <c r="M157" s="31">
        <v>0</v>
      </c>
      <c r="N157" s="31">
        <v>0</v>
      </c>
      <c r="O157" s="31">
        <v>0</v>
      </c>
      <c r="P157" s="27"/>
      <c r="Q157" s="29"/>
      <c r="R157" s="30"/>
    </row>
    <row r="158" spans="1:18" ht="69.75" x14ac:dyDescent="0.25">
      <c r="A158" s="25" t="s">
        <v>429</v>
      </c>
      <c r="B158" s="26" t="s">
        <v>430</v>
      </c>
      <c r="C158" s="27" t="s">
        <v>277</v>
      </c>
      <c r="D158" s="27" t="s">
        <v>326</v>
      </c>
      <c r="E158" s="27" t="s">
        <v>40</v>
      </c>
      <c r="F158" s="28">
        <f>SUM(F159:F159)+1574065.9</f>
        <v>1574065.9</v>
      </c>
      <c r="G158" s="28">
        <f>SUM(G159:G159)+242792.96</f>
        <v>242792.95999999999</v>
      </c>
      <c r="H158" s="28">
        <f>SUM(H159:H159)</f>
        <v>0</v>
      </c>
      <c r="I158" s="28">
        <f>SUM(I159:I159)</f>
        <v>0</v>
      </c>
      <c r="J158" s="28">
        <f>SUM(J159:J159)</f>
        <v>0</v>
      </c>
      <c r="K158" s="28">
        <f>SUM(K159:K159)+319097.92</f>
        <v>319097.92</v>
      </c>
      <c r="L158" s="28">
        <f>SUM(L159:L159)+913011.71</f>
        <v>913011.71</v>
      </c>
      <c r="M158" s="28">
        <f>SUM(M159:M159)+99163.31</f>
        <v>99163.31</v>
      </c>
      <c r="N158" s="28">
        <f>SUM(N159:N159)</f>
        <v>0</v>
      </c>
      <c r="O158" s="28">
        <f>SUM(O159:O159)</f>
        <v>0</v>
      </c>
      <c r="P158" s="27" t="s">
        <v>431</v>
      </c>
      <c r="Q158" s="29" t="s">
        <v>35</v>
      </c>
      <c r="R158" s="30" t="s">
        <v>48</v>
      </c>
    </row>
    <row r="159" spans="1:18" ht="69.75" x14ac:dyDescent="0.25">
      <c r="A159" s="25" t="s">
        <v>432</v>
      </c>
      <c r="B159" s="26" t="s">
        <v>433</v>
      </c>
      <c r="C159" s="27"/>
      <c r="D159" s="27"/>
      <c r="E159" s="27"/>
      <c r="F159" s="31">
        <v>0</v>
      </c>
      <c r="G159" s="31">
        <v>0</v>
      </c>
      <c r="H159" s="31">
        <v>0</v>
      </c>
      <c r="I159" s="31">
        <v>0</v>
      </c>
      <c r="J159" s="31">
        <v>0</v>
      </c>
      <c r="K159" s="31">
        <v>0</v>
      </c>
      <c r="L159" s="31">
        <v>0</v>
      </c>
      <c r="M159" s="31">
        <v>0</v>
      </c>
      <c r="N159" s="31">
        <v>0</v>
      </c>
      <c r="O159" s="31">
        <v>0</v>
      </c>
      <c r="P159" s="27"/>
      <c r="Q159" s="29"/>
      <c r="R159" s="30"/>
    </row>
    <row r="160" spans="1:18" ht="90" x14ac:dyDescent="0.25">
      <c r="A160" s="19" t="s">
        <v>434</v>
      </c>
      <c r="B160" s="20" t="s">
        <v>435</v>
      </c>
      <c r="C160" s="21" t="s">
        <v>277</v>
      </c>
      <c r="D160" s="21" t="s">
        <v>281</v>
      </c>
      <c r="E160" s="21" t="s">
        <v>33</v>
      </c>
      <c r="F160" s="22">
        <f t="shared" ref="F160:O160" si="56">F161+F163+F165+F167+F169</f>
        <v>900</v>
      </c>
      <c r="G160" s="22">
        <f t="shared" si="56"/>
        <v>900</v>
      </c>
      <c r="H160" s="22">
        <f t="shared" si="56"/>
        <v>0</v>
      </c>
      <c r="I160" s="22">
        <f t="shared" si="56"/>
        <v>0</v>
      </c>
      <c r="J160" s="22">
        <f t="shared" si="56"/>
        <v>0</v>
      </c>
      <c r="K160" s="22">
        <f t="shared" si="56"/>
        <v>0</v>
      </c>
      <c r="L160" s="22">
        <f t="shared" si="56"/>
        <v>0</v>
      </c>
      <c r="M160" s="22">
        <f t="shared" si="56"/>
        <v>0</v>
      </c>
      <c r="N160" s="22">
        <f t="shared" si="56"/>
        <v>0</v>
      </c>
      <c r="O160" s="22">
        <f t="shared" si="56"/>
        <v>0</v>
      </c>
      <c r="P160" s="21" t="s">
        <v>424</v>
      </c>
      <c r="Q160" s="23" t="s">
        <v>35</v>
      </c>
      <c r="R160" s="24" t="s">
        <v>163</v>
      </c>
    </row>
    <row r="161" spans="1:18" ht="93" x14ac:dyDescent="0.25">
      <c r="A161" s="25" t="s">
        <v>436</v>
      </c>
      <c r="B161" s="26" t="s">
        <v>437</v>
      </c>
      <c r="C161" s="27" t="s">
        <v>277</v>
      </c>
      <c r="D161" s="27" t="s">
        <v>281</v>
      </c>
      <c r="E161" s="27" t="s">
        <v>40</v>
      </c>
      <c r="F161" s="28">
        <f>SUM(F162:F162)+200</f>
        <v>200</v>
      </c>
      <c r="G161" s="28">
        <f>SUM(G162:G162)+200</f>
        <v>200</v>
      </c>
      <c r="H161" s="28">
        <f t="shared" ref="H161:O161" si="57">SUM(H162:H162)</f>
        <v>0</v>
      </c>
      <c r="I161" s="28">
        <f t="shared" si="57"/>
        <v>0</v>
      </c>
      <c r="J161" s="28">
        <f t="shared" si="57"/>
        <v>0</v>
      </c>
      <c r="K161" s="28">
        <f t="shared" si="57"/>
        <v>0</v>
      </c>
      <c r="L161" s="28">
        <f t="shared" si="57"/>
        <v>0</v>
      </c>
      <c r="M161" s="28">
        <f t="shared" si="57"/>
        <v>0</v>
      </c>
      <c r="N161" s="28">
        <f t="shared" si="57"/>
        <v>0</v>
      </c>
      <c r="O161" s="28">
        <f t="shared" si="57"/>
        <v>0</v>
      </c>
      <c r="P161" s="27" t="s">
        <v>438</v>
      </c>
      <c r="Q161" s="29" t="s">
        <v>35</v>
      </c>
      <c r="R161" s="30" t="s">
        <v>48</v>
      </c>
    </row>
    <row r="162" spans="1:18" ht="69.75" x14ac:dyDescent="0.25">
      <c r="A162" s="25" t="s">
        <v>439</v>
      </c>
      <c r="B162" s="26" t="s">
        <v>440</v>
      </c>
      <c r="C162" s="27"/>
      <c r="D162" s="27"/>
      <c r="E162" s="27"/>
      <c r="F162" s="31">
        <v>0</v>
      </c>
      <c r="G162" s="31">
        <v>0</v>
      </c>
      <c r="H162" s="31">
        <v>0</v>
      </c>
      <c r="I162" s="31">
        <v>0</v>
      </c>
      <c r="J162" s="31">
        <v>0</v>
      </c>
      <c r="K162" s="31">
        <v>0</v>
      </c>
      <c r="L162" s="31">
        <v>0</v>
      </c>
      <c r="M162" s="31">
        <v>0</v>
      </c>
      <c r="N162" s="31">
        <v>0</v>
      </c>
      <c r="O162" s="31">
        <v>0</v>
      </c>
      <c r="P162" s="27"/>
      <c r="Q162" s="29"/>
      <c r="R162" s="30"/>
    </row>
    <row r="163" spans="1:18" ht="93" x14ac:dyDescent="0.25">
      <c r="A163" s="25" t="s">
        <v>441</v>
      </c>
      <c r="B163" s="26" t="s">
        <v>442</v>
      </c>
      <c r="C163" s="27" t="s">
        <v>277</v>
      </c>
      <c r="D163" s="27" t="s">
        <v>326</v>
      </c>
      <c r="E163" s="27" t="s">
        <v>40</v>
      </c>
      <c r="F163" s="28">
        <f>SUM(F164:F164)+200</f>
        <v>200</v>
      </c>
      <c r="G163" s="28">
        <f>SUM(G164:G164)+200</f>
        <v>200</v>
      </c>
      <c r="H163" s="28">
        <f t="shared" ref="H163:O163" si="58">SUM(H164:H164)</f>
        <v>0</v>
      </c>
      <c r="I163" s="28">
        <f t="shared" si="58"/>
        <v>0</v>
      </c>
      <c r="J163" s="28">
        <f t="shared" si="58"/>
        <v>0</v>
      </c>
      <c r="K163" s="28">
        <f t="shared" si="58"/>
        <v>0</v>
      </c>
      <c r="L163" s="28">
        <f t="shared" si="58"/>
        <v>0</v>
      </c>
      <c r="M163" s="28">
        <f t="shared" si="58"/>
        <v>0</v>
      </c>
      <c r="N163" s="28">
        <f t="shared" si="58"/>
        <v>0</v>
      </c>
      <c r="O163" s="28">
        <f t="shared" si="58"/>
        <v>0</v>
      </c>
      <c r="P163" s="27" t="s">
        <v>438</v>
      </c>
      <c r="Q163" s="29" t="s">
        <v>35</v>
      </c>
      <c r="R163" s="30" t="s">
        <v>48</v>
      </c>
    </row>
    <row r="164" spans="1:18" ht="69.75" x14ac:dyDescent="0.25">
      <c r="A164" s="25" t="s">
        <v>443</v>
      </c>
      <c r="B164" s="26" t="s">
        <v>444</v>
      </c>
      <c r="C164" s="27"/>
      <c r="D164" s="27"/>
      <c r="E164" s="27"/>
      <c r="F164" s="31">
        <v>0</v>
      </c>
      <c r="G164" s="31">
        <v>0</v>
      </c>
      <c r="H164" s="31">
        <v>0</v>
      </c>
      <c r="I164" s="31">
        <v>0</v>
      </c>
      <c r="J164" s="31">
        <v>0</v>
      </c>
      <c r="K164" s="31">
        <v>0</v>
      </c>
      <c r="L164" s="31">
        <v>0</v>
      </c>
      <c r="M164" s="31">
        <v>0</v>
      </c>
      <c r="N164" s="31">
        <v>0</v>
      </c>
      <c r="O164" s="31">
        <v>0</v>
      </c>
      <c r="P164" s="27"/>
      <c r="Q164" s="29"/>
      <c r="R164" s="30"/>
    </row>
    <row r="165" spans="1:18" ht="93" x14ac:dyDescent="0.25">
      <c r="A165" s="25" t="s">
        <v>445</v>
      </c>
      <c r="B165" s="26" t="s">
        <v>446</v>
      </c>
      <c r="C165" s="27" t="s">
        <v>277</v>
      </c>
      <c r="D165" s="27" t="s">
        <v>326</v>
      </c>
      <c r="E165" s="27" t="s">
        <v>40</v>
      </c>
      <c r="F165" s="28">
        <f>SUM(F166:F166)+200</f>
        <v>200</v>
      </c>
      <c r="G165" s="28">
        <f>SUM(G166:G166)+200</f>
        <v>200</v>
      </c>
      <c r="H165" s="28">
        <f t="shared" ref="H165:O165" si="59">SUM(H166:H166)</f>
        <v>0</v>
      </c>
      <c r="I165" s="28">
        <f t="shared" si="59"/>
        <v>0</v>
      </c>
      <c r="J165" s="28">
        <f t="shared" si="59"/>
        <v>0</v>
      </c>
      <c r="K165" s="28">
        <f t="shared" si="59"/>
        <v>0</v>
      </c>
      <c r="L165" s="28">
        <f t="shared" si="59"/>
        <v>0</v>
      </c>
      <c r="M165" s="28">
        <f t="shared" si="59"/>
        <v>0</v>
      </c>
      <c r="N165" s="28">
        <f t="shared" si="59"/>
        <v>0</v>
      </c>
      <c r="O165" s="28">
        <f t="shared" si="59"/>
        <v>0</v>
      </c>
      <c r="P165" s="27" t="s">
        <v>438</v>
      </c>
      <c r="Q165" s="29" t="s">
        <v>35</v>
      </c>
      <c r="R165" s="30" t="s">
        <v>48</v>
      </c>
    </row>
    <row r="166" spans="1:18" ht="69.75" x14ac:dyDescent="0.25">
      <c r="A166" s="25" t="s">
        <v>447</v>
      </c>
      <c r="B166" s="26" t="s">
        <v>448</v>
      </c>
      <c r="C166" s="27"/>
      <c r="D166" s="27"/>
      <c r="E166" s="27"/>
      <c r="F166" s="31">
        <v>0</v>
      </c>
      <c r="G166" s="31">
        <v>0</v>
      </c>
      <c r="H166" s="31">
        <v>0</v>
      </c>
      <c r="I166" s="31">
        <v>0</v>
      </c>
      <c r="J166" s="31">
        <v>0</v>
      </c>
      <c r="K166" s="31">
        <v>0</v>
      </c>
      <c r="L166" s="31">
        <v>0</v>
      </c>
      <c r="M166" s="31">
        <v>0</v>
      </c>
      <c r="N166" s="31">
        <v>0</v>
      </c>
      <c r="O166" s="31">
        <v>0</v>
      </c>
      <c r="P166" s="27"/>
      <c r="Q166" s="29"/>
      <c r="R166" s="30"/>
    </row>
    <row r="167" spans="1:18" ht="93" x14ac:dyDescent="0.25">
      <c r="A167" s="25" t="s">
        <v>449</v>
      </c>
      <c r="B167" s="26" t="s">
        <v>450</v>
      </c>
      <c r="C167" s="27" t="s">
        <v>277</v>
      </c>
      <c r="D167" s="27" t="s">
        <v>326</v>
      </c>
      <c r="E167" s="27" t="s">
        <v>40</v>
      </c>
      <c r="F167" s="28">
        <f>SUM(F168:F168)+200</f>
        <v>200</v>
      </c>
      <c r="G167" s="28">
        <f>SUM(G168:G168)+200</f>
        <v>200</v>
      </c>
      <c r="H167" s="28">
        <f t="shared" ref="H167:O167" si="60">SUM(H168:H168)</f>
        <v>0</v>
      </c>
      <c r="I167" s="28">
        <f t="shared" si="60"/>
        <v>0</v>
      </c>
      <c r="J167" s="28">
        <f t="shared" si="60"/>
        <v>0</v>
      </c>
      <c r="K167" s="28">
        <f t="shared" si="60"/>
        <v>0</v>
      </c>
      <c r="L167" s="28">
        <f t="shared" si="60"/>
        <v>0</v>
      </c>
      <c r="M167" s="28">
        <f t="shared" si="60"/>
        <v>0</v>
      </c>
      <c r="N167" s="28">
        <f t="shared" si="60"/>
        <v>0</v>
      </c>
      <c r="O167" s="28">
        <f t="shared" si="60"/>
        <v>0</v>
      </c>
      <c r="P167" s="27" t="s">
        <v>438</v>
      </c>
      <c r="Q167" s="29" t="s">
        <v>35</v>
      </c>
      <c r="R167" s="30" t="s">
        <v>48</v>
      </c>
    </row>
    <row r="168" spans="1:18" ht="69.75" x14ac:dyDescent="0.25">
      <c r="A168" s="25" t="s">
        <v>451</v>
      </c>
      <c r="B168" s="26" t="s">
        <v>452</v>
      </c>
      <c r="C168" s="27"/>
      <c r="D168" s="27"/>
      <c r="E168" s="27"/>
      <c r="F168" s="31">
        <v>0</v>
      </c>
      <c r="G168" s="31">
        <v>0</v>
      </c>
      <c r="H168" s="31">
        <v>0</v>
      </c>
      <c r="I168" s="31">
        <v>0</v>
      </c>
      <c r="J168" s="31">
        <v>0</v>
      </c>
      <c r="K168" s="31">
        <v>0</v>
      </c>
      <c r="L168" s="31">
        <v>0</v>
      </c>
      <c r="M168" s="31">
        <v>0</v>
      </c>
      <c r="N168" s="31">
        <v>0</v>
      </c>
      <c r="O168" s="31">
        <v>0</v>
      </c>
      <c r="P168" s="27"/>
      <c r="Q168" s="29"/>
      <c r="R168" s="30"/>
    </row>
    <row r="169" spans="1:18" ht="93" x14ac:dyDescent="0.25">
      <c r="A169" s="25" t="s">
        <v>453</v>
      </c>
      <c r="B169" s="26" t="s">
        <v>454</v>
      </c>
      <c r="C169" s="27" t="s">
        <v>277</v>
      </c>
      <c r="D169" s="27" t="s">
        <v>455</v>
      </c>
      <c r="E169" s="27" t="s">
        <v>40</v>
      </c>
      <c r="F169" s="28">
        <f>SUM(F170:F170)+100</f>
        <v>100</v>
      </c>
      <c r="G169" s="28">
        <f>SUM(G170:G170)+100</f>
        <v>100</v>
      </c>
      <c r="H169" s="28">
        <f t="shared" ref="H169:O169" si="61">SUM(H170:H170)</f>
        <v>0</v>
      </c>
      <c r="I169" s="28">
        <f t="shared" si="61"/>
        <v>0</v>
      </c>
      <c r="J169" s="28">
        <f t="shared" si="61"/>
        <v>0</v>
      </c>
      <c r="K169" s="28">
        <f t="shared" si="61"/>
        <v>0</v>
      </c>
      <c r="L169" s="28">
        <f t="shared" si="61"/>
        <v>0</v>
      </c>
      <c r="M169" s="28">
        <f t="shared" si="61"/>
        <v>0</v>
      </c>
      <c r="N169" s="28">
        <f t="shared" si="61"/>
        <v>0</v>
      </c>
      <c r="O169" s="28">
        <f t="shared" si="61"/>
        <v>0</v>
      </c>
      <c r="P169" s="27" t="s">
        <v>438</v>
      </c>
      <c r="Q169" s="29" t="s">
        <v>35</v>
      </c>
      <c r="R169" s="30" t="s">
        <v>48</v>
      </c>
    </row>
    <row r="170" spans="1:18" ht="69.75" x14ac:dyDescent="0.25">
      <c r="A170" s="25" t="s">
        <v>456</v>
      </c>
      <c r="B170" s="26" t="s">
        <v>457</v>
      </c>
      <c r="C170" s="27"/>
      <c r="D170" s="27"/>
      <c r="E170" s="27"/>
      <c r="F170" s="31">
        <v>0</v>
      </c>
      <c r="G170" s="31">
        <v>0</v>
      </c>
      <c r="H170" s="31">
        <v>0</v>
      </c>
      <c r="I170" s="31">
        <v>0</v>
      </c>
      <c r="J170" s="31">
        <v>0</v>
      </c>
      <c r="K170" s="31">
        <v>0</v>
      </c>
      <c r="L170" s="31">
        <v>0</v>
      </c>
      <c r="M170" s="31">
        <v>0</v>
      </c>
      <c r="N170" s="31">
        <v>0</v>
      </c>
      <c r="O170" s="31">
        <v>0</v>
      </c>
      <c r="P170" s="27"/>
      <c r="Q170" s="29"/>
      <c r="R170" s="30"/>
    </row>
    <row r="171" spans="1:18" ht="90" x14ac:dyDescent="0.25">
      <c r="A171" s="13" t="s">
        <v>458</v>
      </c>
      <c r="B171" s="14" t="s">
        <v>459</v>
      </c>
      <c r="C171" s="15" t="s">
        <v>277</v>
      </c>
      <c r="D171" s="15" t="s">
        <v>281</v>
      </c>
      <c r="E171" s="15"/>
      <c r="F171" s="16">
        <f t="shared" ref="F171:O171" si="62">SUM(F172:F172)</f>
        <v>56694.14</v>
      </c>
      <c r="G171" s="16">
        <f t="shared" si="62"/>
        <v>810.62</v>
      </c>
      <c r="H171" s="16">
        <f t="shared" si="62"/>
        <v>0</v>
      </c>
      <c r="I171" s="16">
        <f t="shared" si="62"/>
        <v>0</v>
      </c>
      <c r="J171" s="16">
        <f t="shared" si="62"/>
        <v>0</v>
      </c>
      <c r="K171" s="16">
        <f t="shared" si="62"/>
        <v>0</v>
      </c>
      <c r="L171" s="16">
        <f t="shared" si="62"/>
        <v>51286.09</v>
      </c>
      <c r="M171" s="16">
        <f t="shared" si="62"/>
        <v>4597.43</v>
      </c>
      <c r="N171" s="16">
        <f t="shared" si="62"/>
        <v>0</v>
      </c>
      <c r="O171" s="16">
        <f t="shared" si="62"/>
        <v>0</v>
      </c>
      <c r="P171" s="15" t="s">
        <v>460</v>
      </c>
      <c r="Q171" s="17" t="s">
        <v>29</v>
      </c>
      <c r="R171" s="18" t="s">
        <v>189</v>
      </c>
    </row>
    <row r="172" spans="1:18" ht="67.5" x14ac:dyDescent="0.25">
      <c r="A172" s="19" t="s">
        <v>461</v>
      </c>
      <c r="B172" s="20" t="s">
        <v>462</v>
      </c>
      <c r="C172" s="21" t="s">
        <v>277</v>
      </c>
      <c r="D172" s="21" t="s">
        <v>281</v>
      </c>
      <c r="E172" s="21" t="s">
        <v>33</v>
      </c>
      <c r="F172" s="22">
        <f t="shared" ref="F172:O172" si="63">F173+F175</f>
        <v>56694.14</v>
      </c>
      <c r="G172" s="22">
        <f t="shared" si="63"/>
        <v>810.62</v>
      </c>
      <c r="H172" s="22">
        <f t="shared" si="63"/>
        <v>0</v>
      </c>
      <c r="I172" s="22">
        <f t="shared" si="63"/>
        <v>0</v>
      </c>
      <c r="J172" s="22">
        <f t="shared" si="63"/>
        <v>0</v>
      </c>
      <c r="K172" s="22">
        <f t="shared" si="63"/>
        <v>0</v>
      </c>
      <c r="L172" s="22">
        <f t="shared" si="63"/>
        <v>51286.09</v>
      </c>
      <c r="M172" s="22">
        <f t="shared" si="63"/>
        <v>4597.43</v>
      </c>
      <c r="N172" s="22">
        <f t="shared" si="63"/>
        <v>0</v>
      </c>
      <c r="O172" s="22">
        <f t="shared" si="63"/>
        <v>0</v>
      </c>
      <c r="P172" s="21" t="s">
        <v>463</v>
      </c>
      <c r="Q172" s="23" t="s">
        <v>35</v>
      </c>
      <c r="R172" s="24" t="s">
        <v>36</v>
      </c>
    </row>
    <row r="173" spans="1:18" ht="93" x14ac:dyDescent="0.25">
      <c r="A173" s="25" t="s">
        <v>464</v>
      </c>
      <c r="B173" s="26" t="s">
        <v>465</v>
      </c>
      <c r="C173" s="27" t="s">
        <v>277</v>
      </c>
      <c r="D173" s="27" t="s">
        <v>455</v>
      </c>
      <c r="E173" s="27" t="s">
        <v>40</v>
      </c>
      <c r="F173" s="28">
        <f>SUM(F174:F174)+42449.03</f>
        <v>42449.03</v>
      </c>
      <c r="G173" s="28">
        <f>SUM(G174:G174)+810.62</f>
        <v>810.62</v>
      </c>
      <c r="H173" s="28">
        <f>SUM(H174:H174)</f>
        <v>0</v>
      </c>
      <c r="I173" s="28">
        <f>SUM(I174:I174)</f>
        <v>0</v>
      </c>
      <c r="J173" s="28">
        <f>SUM(J174:J174)</f>
        <v>0</v>
      </c>
      <c r="K173" s="28">
        <f>SUM(K174:K174)</f>
        <v>0</v>
      </c>
      <c r="L173" s="28">
        <f>SUM(L174:L174)+38224.99</f>
        <v>38224.99</v>
      </c>
      <c r="M173" s="28">
        <f>SUM(M174:M174)+3413.42</f>
        <v>3413.42</v>
      </c>
      <c r="N173" s="28">
        <f>SUM(N174:N174)</f>
        <v>0</v>
      </c>
      <c r="O173" s="28">
        <f>SUM(O174:O174)</f>
        <v>0</v>
      </c>
      <c r="P173" s="27" t="s">
        <v>466</v>
      </c>
      <c r="Q173" s="29" t="s">
        <v>467</v>
      </c>
      <c r="R173" s="30" t="s">
        <v>196</v>
      </c>
    </row>
    <row r="174" spans="1:18" ht="69.75" x14ac:dyDescent="0.25">
      <c r="A174" s="25" t="s">
        <v>468</v>
      </c>
      <c r="B174" s="26" t="s">
        <v>469</v>
      </c>
      <c r="C174" s="27"/>
      <c r="D174" s="27"/>
      <c r="E174" s="27"/>
      <c r="F174" s="31">
        <v>0</v>
      </c>
      <c r="G174" s="31">
        <v>0</v>
      </c>
      <c r="H174" s="31">
        <v>0</v>
      </c>
      <c r="I174" s="31">
        <v>0</v>
      </c>
      <c r="J174" s="31">
        <v>0</v>
      </c>
      <c r="K174" s="31">
        <v>0</v>
      </c>
      <c r="L174" s="31">
        <v>0</v>
      </c>
      <c r="M174" s="31">
        <v>0</v>
      </c>
      <c r="N174" s="31">
        <v>0</v>
      </c>
      <c r="O174" s="31">
        <v>0</v>
      </c>
      <c r="P174" s="27"/>
      <c r="Q174" s="29"/>
      <c r="R174" s="30"/>
    </row>
    <row r="175" spans="1:18" ht="162.75" x14ac:dyDescent="0.25">
      <c r="A175" s="25" t="s">
        <v>470</v>
      </c>
      <c r="B175" s="26" t="s">
        <v>471</v>
      </c>
      <c r="C175" s="27" t="s">
        <v>277</v>
      </c>
      <c r="D175" s="27" t="s">
        <v>455</v>
      </c>
      <c r="E175" s="27" t="s">
        <v>40</v>
      </c>
      <c r="F175" s="28">
        <f>SUM(F176:F176)+14245.11</f>
        <v>14245.11</v>
      </c>
      <c r="G175" s="28">
        <f>SUM(G176:G176)</f>
        <v>0</v>
      </c>
      <c r="H175" s="28">
        <f>SUM(H176:H176)</f>
        <v>0</v>
      </c>
      <c r="I175" s="28">
        <f>SUM(I176:I176)</f>
        <v>0</v>
      </c>
      <c r="J175" s="28">
        <f>SUM(J176:J176)</f>
        <v>0</v>
      </c>
      <c r="K175" s="28">
        <f>SUM(K176:K176)</f>
        <v>0</v>
      </c>
      <c r="L175" s="28">
        <f>SUM(L176:L176)+13061.1</f>
        <v>13061.1</v>
      </c>
      <c r="M175" s="28">
        <f>SUM(M176:M176)+1184.01</f>
        <v>1184.01</v>
      </c>
      <c r="N175" s="28">
        <f>SUM(N176:N176)</f>
        <v>0</v>
      </c>
      <c r="O175" s="28">
        <f>SUM(O176:O176)</f>
        <v>0</v>
      </c>
      <c r="P175" s="27" t="s">
        <v>472</v>
      </c>
      <c r="Q175" s="29" t="s">
        <v>35</v>
      </c>
      <c r="R175" s="30" t="s">
        <v>36</v>
      </c>
    </row>
    <row r="176" spans="1:18" ht="93" x14ac:dyDescent="0.25">
      <c r="A176" s="25" t="s">
        <v>473</v>
      </c>
      <c r="B176" s="26" t="s">
        <v>474</v>
      </c>
      <c r="C176" s="27"/>
      <c r="D176" s="27"/>
      <c r="E176" s="27"/>
      <c r="F176" s="31">
        <v>0</v>
      </c>
      <c r="G176" s="31">
        <v>0</v>
      </c>
      <c r="H176" s="31">
        <v>0</v>
      </c>
      <c r="I176" s="31">
        <v>0</v>
      </c>
      <c r="J176" s="31">
        <v>0</v>
      </c>
      <c r="K176" s="31">
        <v>0</v>
      </c>
      <c r="L176" s="31">
        <v>0</v>
      </c>
      <c r="M176" s="31">
        <v>0</v>
      </c>
      <c r="N176" s="31">
        <v>0</v>
      </c>
      <c r="O176" s="31">
        <v>0</v>
      </c>
      <c r="P176" s="27"/>
      <c r="Q176" s="29"/>
      <c r="R176" s="30"/>
    </row>
    <row r="177" spans="1:18" ht="67.5" x14ac:dyDescent="0.25">
      <c r="A177" s="13" t="s">
        <v>475</v>
      </c>
      <c r="B177" s="14" t="s">
        <v>476</v>
      </c>
      <c r="C177" s="15" t="s">
        <v>277</v>
      </c>
      <c r="D177" s="15" t="s">
        <v>281</v>
      </c>
      <c r="E177" s="15"/>
      <c r="F177" s="16">
        <f t="shared" ref="F177:O177" si="64">F178+F181</f>
        <v>13997.65</v>
      </c>
      <c r="G177" s="16">
        <f t="shared" si="64"/>
        <v>13997.65</v>
      </c>
      <c r="H177" s="16">
        <f t="shared" si="64"/>
        <v>0</v>
      </c>
      <c r="I177" s="16">
        <f t="shared" si="64"/>
        <v>0</v>
      </c>
      <c r="J177" s="16">
        <f t="shared" si="64"/>
        <v>0</v>
      </c>
      <c r="K177" s="16">
        <f t="shared" si="64"/>
        <v>0</v>
      </c>
      <c r="L177" s="16">
        <f t="shared" si="64"/>
        <v>0</v>
      </c>
      <c r="M177" s="16">
        <f t="shared" si="64"/>
        <v>0</v>
      </c>
      <c r="N177" s="16">
        <f t="shared" si="64"/>
        <v>0</v>
      </c>
      <c r="O177" s="16">
        <f t="shared" si="64"/>
        <v>0</v>
      </c>
      <c r="P177" s="15" t="s">
        <v>477</v>
      </c>
      <c r="Q177" s="17" t="s">
        <v>35</v>
      </c>
      <c r="R177" s="18" t="s">
        <v>48</v>
      </c>
    </row>
    <row r="178" spans="1:18" ht="90" x14ac:dyDescent="0.25">
      <c r="A178" s="19" t="s">
        <v>478</v>
      </c>
      <c r="B178" s="20" t="s">
        <v>479</v>
      </c>
      <c r="C178" s="21" t="s">
        <v>277</v>
      </c>
      <c r="D178" s="21" t="s">
        <v>281</v>
      </c>
      <c r="E178" s="21" t="s">
        <v>33</v>
      </c>
      <c r="F178" s="22">
        <f t="shared" ref="F178:O178" si="65">SUM(F179:F179)</f>
        <v>11677.65</v>
      </c>
      <c r="G178" s="22">
        <f t="shared" si="65"/>
        <v>11677.65</v>
      </c>
      <c r="H178" s="22">
        <f t="shared" si="65"/>
        <v>0</v>
      </c>
      <c r="I178" s="22">
        <f t="shared" si="65"/>
        <v>0</v>
      </c>
      <c r="J178" s="22">
        <f t="shared" si="65"/>
        <v>0</v>
      </c>
      <c r="K178" s="22">
        <f t="shared" si="65"/>
        <v>0</v>
      </c>
      <c r="L178" s="22">
        <f t="shared" si="65"/>
        <v>0</v>
      </c>
      <c r="M178" s="22">
        <f t="shared" si="65"/>
        <v>0</v>
      </c>
      <c r="N178" s="22">
        <f t="shared" si="65"/>
        <v>0</v>
      </c>
      <c r="O178" s="22">
        <f t="shared" si="65"/>
        <v>0</v>
      </c>
      <c r="P178" s="21" t="s">
        <v>480</v>
      </c>
      <c r="Q178" s="23" t="s">
        <v>35</v>
      </c>
      <c r="R178" s="24" t="s">
        <v>388</v>
      </c>
    </row>
    <row r="179" spans="1:18" ht="69.75" x14ac:dyDescent="0.25">
      <c r="A179" s="25" t="s">
        <v>481</v>
      </c>
      <c r="B179" s="26" t="s">
        <v>482</v>
      </c>
      <c r="C179" s="27" t="s">
        <v>277</v>
      </c>
      <c r="D179" s="27" t="s">
        <v>278</v>
      </c>
      <c r="E179" s="27" t="s">
        <v>40</v>
      </c>
      <c r="F179" s="28">
        <f>SUM(F180:F180)+11677.65</f>
        <v>11677.65</v>
      </c>
      <c r="G179" s="28">
        <f>SUM(G180:G180)+11677.65</f>
        <v>11677.65</v>
      </c>
      <c r="H179" s="28">
        <f t="shared" ref="H179:O179" si="66">SUM(H180:H180)</f>
        <v>0</v>
      </c>
      <c r="I179" s="28">
        <f t="shared" si="66"/>
        <v>0</v>
      </c>
      <c r="J179" s="28">
        <f t="shared" si="66"/>
        <v>0</v>
      </c>
      <c r="K179" s="28">
        <f t="shared" si="66"/>
        <v>0</v>
      </c>
      <c r="L179" s="28">
        <f t="shared" si="66"/>
        <v>0</v>
      </c>
      <c r="M179" s="28">
        <f t="shared" si="66"/>
        <v>0</v>
      </c>
      <c r="N179" s="28">
        <f t="shared" si="66"/>
        <v>0</v>
      </c>
      <c r="O179" s="28">
        <f t="shared" si="66"/>
        <v>0</v>
      </c>
      <c r="P179" s="27" t="s">
        <v>483</v>
      </c>
      <c r="Q179" s="29" t="s">
        <v>35</v>
      </c>
      <c r="R179" s="30" t="s">
        <v>388</v>
      </c>
    </row>
    <row r="180" spans="1:18" ht="69.75" x14ac:dyDescent="0.25">
      <c r="A180" s="25" t="s">
        <v>484</v>
      </c>
      <c r="B180" s="26" t="s">
        <v>485</v>
      </c>
      <c r="C180" s="27"/>
      <c r="D180" s="27"/>
      <c r="E180" s="27"/>
      <c r="F180" s="31">
        <v>0</v>
      </c>
      <c r="G180" s="31">
        <v>0</v>
      </c>
      <c r="H180" s="31">
        <v>0</v>
      </c>
      <c r="I180" s="31">
        <v>0</v>
      </c>
      <c r="J180" s="31">
        <v>0</v>
      </c>
      <c r="K180" s="31">
        <v>0</v>
      </c>
      <c r="L180" s="31">
        <v>0</v>
      </c>
      <c r="M180" s="31">
        <v>0</v>
      </c>
      <c r="N180" s="31">
        <v>0</v>
      </c>
      <c r="O180" s="31">
        <v>0</v>
      </c>
      <c r="P180" s="27"/>
      <c r="Q180" s="29"/>
      <c r="R180" s="30"/>
    </row>
    <row r="181" spans="1:18" ht="112.5" x14ac:dyDescent="0.25">
      <c r="A181" s="19" t="s">
        <v>486</v>
      </c>
      <c r="B181" s="20" t="s">
        <v>487</v>
      </c>
      <c r="C181" s="21" t="s">
        <v>277</v>
      </c>
      <c r="D181" s="21" t="s">
        <v>281</v>
      </c>
      <c r="E181" s="21" t="s">
        <v>33</v>
      </c>
      <c r="F181" s="22">
        <f t="shared" ref="F181:O181" si="67">SUM(F182:F182)</f>
        <v>2320</v>
      </c>
      <c r="G181" s="22">
        <f t="shared" si="67"/>
        <v>2320</v>
      </c>
      <c r="H181" s="22">
        <f t="shared" si="67"/>
        <v>0</v>
      </c>
      <c r="I181" s="22">
        <f t="shared" si="67"/>
        <v>0</v>
      </c>
      <c r="J181" s="22">
        <f t="shared" si="67"/>
        <v>0</v>
      </c>
      <c r="K181" s="22">
        <f t="shared" si="67"/>
        <v>0</v>
      </c>
      <c r="L181" s="22">
        <f t="shared" si="67"/>
        <v>0</v>
      </c>
      <c r="M181" s="22">
        <f t="shared" si="67"/>
        <v>0</v>
      </c>
      <c r="N181" s="22">
        <f t="shared" si="67"/>
        <v>0</v>
      </c>
      <c r="O181" s="22">
        <f t="shared" si="67"/>
        <v>0</v>
      </c>
      <c r="P181" s="21" t="s">
        <v>488</v>
      </c>
      <c r="Q181" s="23" t="s">
        <v>35</v>
      </c>
      <c r="R181" s="24" t="s">
        <v>48</v>
      </c>
    </row>
    <row r="182" spans="1:18" ht="69.75" x14ac:dyDescent="0.25">
      <c r="A182" s="25" t="s">
        <v>489</v>
      </c>
      <c r="B182" s="26" t="s">
        <v>490</v>
      </c>
      <c r="C182" s="27" t="s">
        <v>277</v>
      </c>
      <c r="D182" s="27" t="s">
        <v>281</v>
      </c>
      <c r="E182" s="27" t="s">
        <v>40</v>
      </c>
      <c r="F182" s="28">
        <f>SUM(F183:F183)+2320</f>
        <v>2320</v>
      </c>
      <c r="G182" s="28">
        <f>SUM(G183:G183)+2320</f>
        <v>2320</v>
      </c>
      <c r="H182" s="28">
        <f t="shared" ref="H182:O182" si="68">SUM(H183:H183)</f>
        <v>0</v>
      </c>
      <c r="I182" s="28">
        <f t="shared" si="68"/>
        <v>0</v>
      </c>
      <c r="J182" s="28">
        <f t="shared" si="68"/>
        <v>0</v>
      </c>
      <c r="K182" s="28">
        <f t="shared" si="68"/>
        <v>0</v>
      </c>
      <c r="L182" s="28">
        <f t="shared" si="68"/>
        <v>0</v>
      </c>
      <c r="M182" s="28">
        <f t="shared" si="68"/>
        <v>0</v>
      </c>
      <c r="N182" s="28">
        <f t="shared" si="68"/>
        <v>0</v>
      </c>
      <c r="O182" s="28">
        <f t="shared" si="68"/>
        <v>0</v>
      </c>
      <c r="P182" s="27" t="s">
        <v>491</v>
      </c>
      <c r="Q182" s="29" t="s">
        <v>35</v>
      </c>
      <c r="R182" s="30" t="s">
        <v>492</v>
      </c>
    </row>
    <row r="183" spans="1:18" ht="69.75" x14ac:dyDescent="0.25">
      <c r="A183" s="25" t="s">
        <v>493</v>
      </c>
      <c r="B183" s="26" t="s">
        <v>494</v>
      </c>
      <c r="C183" s="27"/>
      <c r="D183" s="27"/>
      <c r="E183" s="27"/>
      <c r="F183" s="31">
        <v>0</v>
      </c>
      <c r="G183" s="31">
        <v>0</v>
      </c>
      <c r="H183" s="31">
        <v>0</v>
      </c>
      <c r="I183" s="31">
        <v>0</v>
      </c>
      <c r="J183" s="31">
        <v>0</v>
      </c>
      <c r="K183" s="31">
        <v>0</v>
      </c>
      <c r="L183" s="31">
        <v>0</v>
      </c>
      <c r="M183" s="31">
        <v>0</v>
      </c>
      <c r="N183" s="31">
        <v>0</v>
      </c>
      <c r="O183" s="31">
        <v>0</v>
      </c>
      <c r="P183" s="27"/>
      <c r="Q183" s="29"/>
      <c r="R183" s="30"/>
    </row>
    <row r="184" spans="1:18" ht="67.5" x14ac:dyDescent="0.25">
      <c r="A184" s="13" t="s">
        <v>495</v>
      </c>
      <c r="B184" s="14" t="s">
        <v>496</v>
      </c>
      <c r="C184" s="15" t="s">
        <v>277</v>
      </c>
      <c r="D184" s="15" t="s">
        <v>281</v>
      </c>
      <c r="E184" s="15"/>
      <c r="F184" s="16">
        <f t="shared" ref="F184:O185" si="69">SUM(F185:F185)</f>
        <v>6309.73</v>
      </c>
      <c r="G184" s="16">
        <f t="shared" si="69"/>
        <v>0</v>
      </c>
      <c r="H184" s="16">
        <f t="shared" si="69"/>
        <v>0</v>
      </c>
      <c r="I184" s="16">
        <f t="shared" si="69"/>
        <v>0</v>
      </c>
      <c r="J184" s="16">
        <f t="shared" si="69"/>
        <v>0</v>
      </c>
      <c r="K184" s="16">
        <f t="shared" si="69"/>
        <v>0</v>
      </c>
      <c r="L184" s="16">
        <f t="shared" si="69"/>
        <v>6309.73</v>
      </c>
      <c r="M184" s="16">
        <f t="shared" si="69"/>
        <v>0</v>
      </c>
      <c r="N184" s="16">
        <f t="shared" si="69"/>
        <v>0</v>
      </c>
      <c r="O184" s="16">
        <f t="shared" si="69"/>
        <v>0</v>
      </c>
      <c r="P184" s="15" t="s">
        <v>497</v>
      </c>
      <c r="Q184" s="17" t="s">
        <v>29</v>
      </c>
      <c r="R184" s="18" t="s">
        <v>181</v>
      </c>
    </row>
    <row r="185" spans="1:18" ht="45" x14ac:dyDescent="0.25">
      <c r="A185" s="19" t="s">
        <v>498</v>
      </c>
      <c r="B185" s="20" t="s">
        <v>499</v>
      </c>
      <c r="C185" s="21" t="s">
        <v>277</v>
      </c>
      <c r="D185" s="21" t="s">
        <v>281</v>
      </c>
      <c r="E185" s="21" t="s">
        <v>33</v>
      </c>
      <c r="F185" s="22">
        <f t="shared" si="69"/>
        <v>6309.73</v>
      </c>
      <c r="G185" s="22">
        <f t="shared" si="69"/>
        <v>0</v>
      </c>
      <c r="H185" s="22">
        <f t="shared" si="69"/>
        <v>0</v>
      </c>
      <c r="I185" s="22">
        <f t="shared" si="69"/>
        <v>0</v>
      </c>
      <c r="J185" s="22">
        <f t="shared" si="69"/>
        <v>0</v>
      </c>
      <c r="K185" s="22">
        <f t="shared" si="69"/>
        <v>0</v>
      </c>
      <c r="L185" s="22">
        <f t="shared" si="69"/>
        <v>6309.73</v>
      </c>
      <c r="M185" s="22">
        <f t="shared" si="69"/>
        <v>0</v>
      </c>
      <c r="N185" s="22">
        <f t="shared" si="69"/>
        <v>0</v>
      </c>
      <c r="O185" s="22">
        <f t="shared" si="69"/>
        <v>0</v>
      </c>
      <c r="P185" s="21" t="s">
        <v>500</v>
      </c>
      <c r="Q185" s="23" t="s">
        <v>35</v>
      </c>
      <c r="R185" s="24" t="s">
        <v>181</v>
      </c>
    </row>
    <row r="186" spans="1:18" ht="93" x14ac:dyDescent="0.25">
      <c r="A186" s="25" t="s">
        <v>501</v>
      </c>
      <c r="B186" s="26" t="s">
        <v>502</v>
      </c>
      <c r="C186" s="27" t="s">
        <v>277</v>
      </c>
      <c r="D186" s="27" t="s">
        <v>326</v>
      </c>
      <c r="E186" s="27" t="s">
        <v>40</v>
      </c>
      <c r="F186" s="28">
        <f>SUM(F187:F187)+6309.73</f>
        <v>6309.73</v>
      </c>
      <c r="G186" s="28">
        <f>SUM(G187:G187)</f>
        <v>0</v>
      </c>
      <c r="H186" s="28">
        <f>SUM(H187:H187)</f>
        <v>0</v>
      </c>
      <c r="I186" s="28">
        <f>SUM(I187:I187)</f>
        <v>0</v>
      </c>
      <c r="J186" s="28">
        <f>SUM(J187:J187)</f>
        <v>0</v>
      </c>
      <c r="K186" s="28">
        <f>SUM(K187:K187)</f>
        <v>0</v>
      </c>
      <c r="L186" s="28">
        <f>SUM(L187:L187)+6309.73</f>
        <v>6309.73</v>
      </c>
      <c r="M186" s="28">
        <f>SUM(M187:M187)</f>
        <v>0</v>
      </c>
      <c r="N186" s="28">
        <f>SUM(N187:N187)</f>
        <v>0</v>
      </c>
      <c r="O186" s="28">
        <f>SUM(O187:O187)</f>
        <v>0</v>
      </c>
      <c r="P186" s="27"/>
      <c r="Q186" s="29"/>
      <c r="R186" s="30"/>
    </row>
    <row r="187" spans="1:18" ht="69.75" x14ac:dyDescent="0.25">
      <c r="A187" s="25" t="s">
        <v>503</v>
      </c>
      <c r="B187" s="26" t="s">
        <v>504</v>
      </c>
      <c r="C187" s="27"/>
      <c r="D187" s="27"/>
      <c r="E187" s="27"/>
      <c r="F187" s="31">
        <v>0</v>
      </c>
      <c r="G187" s="31">
        <v>0</v>
      </c>
      <c r="H187" s="31">
        <v>0</v>
      </c>
      <c r="I187" s="31">
        <v>0</v>
      </c>
      <c r="J187" s="31">
        <v>0</v>
      </c>
      <c r="K187" s="31">
        <v>0</v>
      </c>
      <c r="L187" s="31">
        <v>0</v>
      </c>
      <c r="M187" s="31">
        <v>0</v>
      </c>
      <c r="N187" s="31">
        <v>0</v>
      </c>
      <c r="O187" s="31">
        <v>0</v>
      </c>
      <c r="P187" s="27"/>
      <c r="Q187" s="29"/>
      <c r="R187" s="30"/>
    </row>
    <row r="188" spans="1:18" ht="45" x14ac:dyDescent="0.25">
      <c r="A188" s="13" t="s">
        <v>505</v>
      </c>
      <c r="B188" s="14" t="s">
        <v>506</v>
      </c>
      <c r="C188" s="15" t="s">
        <v>277</v>
      </c>
      <c r="D188" s="15"/>
      <c r="E188" s="15"/>
      <c r="F188" s="16">
        <f t="shared" ref="F188:O189" si="70">SUM(F189:F189)</f>
        <v>122131.17</v>
      </c>
      <c r="G188" s="16">
        <f t="shared" si="70"/>
        <v>41860.910000000003</v>
      </c>
      <c r="H188" s="16">
        <f t="shared" si="70"/>
        <v>0</v>
      </c>
      <c r="I188" s="16">
        <f t="shared" si="70"/>
        <v>0</v>
      </c>
      <c r="J188" s="16">
        <f t="shared" si="70"/>
        <v>0</v>
      </c>
      <c r="K188" s="16">
        <f t="shared" si="70"/>
        <v>0</v>
      </c>
      <c r="L188" s="16">
        <f t="shared" si="70"/>
        <v>80270.259999999995</v>
      </c>
      <c r="M188" s="16">
        <f t="shared" si="70"/>
        <v>0</v>
      </c>
      <c r="N188" s="16">
        <f t="shared" si="70"/>
        <v>0</v>
      </c>
      <c r="O188" s="16">
        <f t="shared" si="70"/>
        <v>0</v>
      </c>
      <c r="P188" s="15" t="s">
        <v>507</v>
      </c>
      <c r="Q188" s="17" t="s">
        <v>35</v>
      </c>
      <c r="R188" s="18" t="s">
        <v>508</v>
      </c>
    </row>
    <row r="189" spans="1:18" ht="45" x14ac:dyDescent="0.25">
      <c r="A189" s="19" t="s">
        <v>509</v>
      </c>
      <c r="B189" s="20" t="s">
        <v>510</v>
      </c>
      <c r="C189" s="21" t="s">
        <v>277</v>
      </c>
      <c r="D189" s="21" t="s">
        <v>281</v>
      </c>
      <c r="E189" s="21" t="s">
        <v>33</v>
      </c>
      <c r="F189" s="22">
        <f t="shared" si="70"/>
        <v>122131.17</v>
      </c>
      <c r="G189" s="22">
        <f t="shared" si="70"/>
        <v>41860.910000000003</v>
      </c>
      <c r="H189" s="22">
        <f t="shared" si="70"/>
        <v>0</v>
      </c>
      <c r="I189" s="22">
        <f t="shared" si="70"/>
        <v>0</v>
      </c>
      <c r="J189" s="22">
        <f t="shared" si="70"/>
        <v>0</v>
      </c>
      <c r="K189" s="22">
        <f t="shared" si="70"/>
        <v>0</v>
      </c>
      <c r="L189" s="22">
        <f t="shared" si="70"/>
        <v>80270.259999999995</v>
      </c>
      <c r="M189" s="22">
        <f t="shared" si="70"/>
        <v>0</v>
      </c>
      <c r="N189" s="22">
        <f t="shared" si="70"/>
        <v>0</v>
      </c>
      <c r="O189" s="22">
        <f t="shared" si="70"/>
        <v>0</v>
      </c>
      <c r="P189" s="21" t="s">
        <v>511</v>
      </c>
      <c r="Q189" s="23" t="s">
        <v>35</v>
      </c>
      <c r="R189" s="24" t="s">
        <v>36</v>
      </c>
    </row>
    <row r="190" spans="1:18" ht="69.75" x14ac:dyDescent="0.25">
      <c r="A190" s="25" t="s">
        <v>512</v>
      </c>
      <c r="B190" s="26" t="s">
        <v>513</v>
      </c>
      <c r="C190" s="27" t="s">
        <v>277</v>
      </c>
      <c r="D190" s="27" t="s">
        <v>326</v>
      </c>
      <c r="E190" s="27" t="s">
        <v>40</v>
      </c>
      <c r="F190" s="28">
        <f>SUM(F191:F191)+122131.17</f>
        <v>122131.17</v>
      </c>
      <c r="G190" s="28">
        <f>SUM(G191:G191)+41860.91</f>
        <v>41860.910000000003</v>
      </c>
      <c r="H190" s="28">
        <f>SUM(H191:H191)</f>
        <v>0</v>
      </c>
      <c r="I190" s="28">
        <f>SUM(I191:I191)</f>
        <v>0</v>
      </c>
      <c r="J190" s="28">
        <f>SUM(J191:J191)</f>
        <v>0</v>
      </c>
      <c r="K190" s="28">
        <f>SUM(K191:K191)</f>
        <v>0</v>
      </c>
      <c r="L190" s="28">
        <f>SUM(L191:L191)+80270.26</f>
        <v>80270.259999999995</v>
      </c>
      <c r="M190" s="28">
        <f>SUM(M191:M191)</f>
        <v>0</v>
      </c>
      <c r="N190" s="28">
        <f>SUM(N191:N191)</f>
        <v>0</v>
      </c>
      <c r="O190" s="28">
        <f>SUM(O191:O191)</f>
        <v>0</v>
      </c>
      <c r="P190" s="27" t="s">
        <v>511</v>
      </c>
      <c r="Q190" s="29" t="s">
        <v>35</v>
      </c>
      <c r="R190" s="30" t="s">
        <v>36</v>
      </c>
    </row>
    <row r="191" spans="1:18" ht="186" x14ac:dyDescent="0.25">
      <c r="A191" s="25" t="s">
        <v>514</v>
      </c>
      <c r="B191" s="26" t="s">
        <v>515</v>
      </c>
      <c r="C191" s="27"/>
      <c r="D191" s="27"/>
      <c r="E191" s="27"/>
      <c r="F191" s="31">
        <v>0</v>
      </c>
      <c r="G191" s="31">
        <v>0</v>
      </c>
      <c r="H191" s="31">
        <v>0</v>
      </c>
      <c r="I191" s="31">
        <v>0</v>
      </c>
      <c r="J191" s="31">
        <v>0</v>
      </c>
      <c r="K191" s="31">
        <v>0</v>
      </c>
      <c r="L191" s="31">
        <v>0</v>
      </c>
      <c r="M191" s="31">
        <v>0</v>
      </c>
      <c r="N191" s="31">
        <v>0</v>
      </c>
      <c r="O191" s="31">
        <v>0</v>
      </c>
      <c r="P191" s="27"/>
      <c r="Q191" s="29"/>
      <c r="R191" s="30"/>
    </row>
    <row r="192" spans="1:18" ht="45" x14ac:dyDescent="0.25">
      <c r="A192" s="13" t="s">
        <v>516</v>
      </c>
      <c r="B192" s="14" t="s">
        <v>517</v>
      </c>
      <c r="C192" s="15" t="s">
        <v>277</v>
      </c>
      <c r="D192" s="15" t="s">
        <v>281</v>
      </c>
      <c r="E192" s="15"/>
      <c r="F192" s="16">
        <f t="shared" ref="F192:O193" si="71">SUM(F193:F193)</f>
        <v>13000</v>
      </c>
      <c r="G192" s="16">
        <f t="shared" si="71"/>
        <v>13000</v>
      </c>
      <c r="H192" s="16">
        <f t="shared" si="71"/>
        <v>0</v>
      </c>
      <c r="I192" s="16">
        <f t="shared" si="71"/>
        <v>0</v>
      </c>
      <c r="J192" s="16">
        <f t="shared" si="71"/>
        <v>0</v>
      </c>
      <c r="K192" s="16">
        <f t="shared" si="71"/>
        <v>0</v>
      </c>
      <c r="L192" s="16">
        <f t="shared" si="71"/>
        <v>0</v>
      </c>
      <c r="M192" s="16">
        <f t="shared" si="71"/>
        <v>0</v>
      </c>
      <c r="N192" s="16">
        <f t="shared" si="71"/>
        <v>0</v>
      </c>
      <c r="O192" s="16">
        <f t="shared" si="71"/>
        <v>0</v>
      </c>
      <c r="P192" s="15" t="s">
        <v>518</v>
      </c>
      <c r="Q192" s="17" t="s">
        <v>29</v>
      </c>
      <c r="R192" s="18" t="s">
        <v>519</v>
      </c>
    </row>
    <row r="193" spans="1:18" ht="45" x14ac:dyDescent="0.25">
      <c r="A193" s="19" t="s">
        <v>520</v>
      </c>
      <c r="B193" s="20" t="s">
        <v>521</v>
      </c>
      <c r="C193" s="21" t="s">
        <v>277</v>
      </c>
      <c r="D193" s="21" t="s">
        <v>281</v>
      </c>
      <c r="E193" s="21" t="s">
        <v>33</v>
      </c>
      <c r="F193" s="22">
        <f t="shared" si="71"/>
        <v>13000</v>
      </c>
      <c r="G193" s="22">
        <f t="shared" si="71"/>
        <v>13000</v>
      </c>
      <c r="H193" s="22">
        <f t="shared" si="71"/>
        <v>0</v>
      </c>
      <c r="I193" s="22">
        <f t="shared" si="71"/>
        <v>0</v>
      </c>
      <c r="J193" s="22">
        <f t="shared" si="71"/>
        <v>0</v>
      </c>
      <c r="K193" s="22">
        <f t="shared" si="71"/>
        <v>0</v>
      </c>
      <c r="L193" s="22">
        <f t="shared" si="71"/>
        <v>0</v>
      </c>
      <c r="M193" s="22">
        <f t="shared" si="71"/>
        <v>0</v>
      </c>
      <c r="N193" s="22">
        <f t="shared" si="71"/>
        <v>0</v>
      </c>
      <c r="O193" s="22">
        <f t="shared" si="71"/>
        <v>0</v>
      </c>
      <c r="P193" s="21" t="s">
        <v>522</v>
      </c>
      <c r="Q193" s="23" t="s">
        <v>35</v>
      </c>
      <c r="R193" s="24" t="s">
        <v>88</v>
      </c>
    </row>
    <row r="194" spans="1:18" ht="46.5" x14ac:dyDescent="0.25">
      <c r="A194" s="25" t="s">
        <v>523</v>
      </c>
      <c r="B194" s="26" t="s">
        <v>524</v>
      </c>
      <c r="C194" s="27" t="s">
        <v>277</v>
      </c>
      <c r="D194" s="27" t="s">
        <v>335</v>
      </c>
      <c r="E194" s="27" t="s">
        <v>40</v>
      </c>
      <c r="F194" s="28">
        <f>SUM(F195:F195)+13000</f>
        <v>13000</v>
      </c>
      <c r="G194" s="28">
        <f>SUM(G195:G195)+13000</f>
        <v>13000</v>
      </c>
      <c r="H194" s="28">
        <f t="shared" ref="H194:O194" si="72">SUM(H195:H195)</f>
        <v>0</v>
      </c>
      <c r="I194" s="28">
        <f t="shared" si="72"/>
        <v>0</v>
      </c>
      <c r="J194" s="28">
        <f t="shared" si="72"/>
        <v>0</v>
      </c>
      <c r="K194" s="28">
        <f t="shared" si="72"/>
        <v>0</v>
      </c>
      <c r="L194" s="28">
        <f t="shared" si="72"/>
        <v>0</v>
      </c>
      <c r="M194" s="28">
        <f t="shared" si="72"/>
        <v>0</v>
      </c>
      <c r="N194" s="28">
        <f t="shared" si="72"/>
        <v>0</v>
      </c>
      <c r="O194" s="28">
        <f t="shared" si="72"/>
        <v>0</v>
      </c>
      <c r="P194" s="27" t="s">
        <v>525</v>
      </c>
      <c r="Q194" s="29" t="s">
        <v>35</v>
      </c>
      <c r="R194" s="30" t="s">
        <v>88</v>
      </c>
    </row>
    <row r="195" spans="1:18" ht="46.5" x14ac:dyDescent="0.25">
      <c r="A195" s="25" t="s">
        <v>526</v>
      </c>
      <c r="B195" s="26" t="s">
        <v>527</v>
      </c>
      <c r="C195" s="27"/>
      <c r="D195" s="27"/>
      <c r="E195" s="27"/>
      <c r="F195" s="31">
        <v>0</v>
      </c>
      <c r="G195" s="31">
        <v>0</v>
      </c>
      <c r="H195" s="31">
        <v>0</v>
      </c>
      <c r="I195" s="31">
        <v>0</v>
      </c>
      <c r="J195" s="31">
        <v>0</v>
      </c>
      <c r="K195" s="31">
        <v>0</v>
      </c>
      <c r="L195" s="31">
        <v>0</v>
      </c>
      <c r="M195" s="31">
        <v>0</v>
      </c>
      <c r="N195" s="31">
        <v>0</v>
      </c>
      <c r="O195" s="31">
        <v>0</v>
      </c>
      <c r="P195" s="27"/>
      <c r="Q195" s="29"/>
      <c r="R195" s="30"/>
    </row>
    <row r="196" spans="1:18" ht="90" x14ac:dyDescent="0.25">
      <c r="A196" s="13" t="s">
        <v>528</v>
      </c>
      <c r="B196" s="14" t="s">
        <v>529</v>
      </c>
      <c r="C196" s="15" t="s">
        <v>277</v>
      </c>
      <c r="D196" s="15" t="s">
        <v>281</v>
      </c>
      <c r="E196" s="15"/>
      <c r="F196" s="16">
        <f t="shared" ref="F196:O197" si="73">SUM(F197:F197)</f>
        <v>22410</v>
      </c>
      <c r="G196" s="16">
        <f t="shared" si="73"/>
        <v>6800</v>
      </c>
      <c r="H196" s="16">
        <f t="shared" si="73"/>
        <v>0</v>
      </c>
      <c r="I196" s="16">
        <f t="shared" si="73"/>
        <v>0</v>
      </c>
      <c r="J196" s="16">
        <f t="shared" si="73"/>
        <v>0</v>
      </c>
      <c r="K196" s="16">
        <f t="shared" si="73"/>
        <v>0</v>
      </c>
      <c r="L196" s="16">
        <f t="shared" si="73"/>
        <v>0</v>
      </c>
      <c r="M196" s="16">
        <f t="shared" si="73"/>
        <v>15610</v>
      </c>
      <c r="N196" s="16">
        <f t="shared" si="73"/>
        <v>0</v>
      </c>
      <c r="O196" s="16">
        <f t="shared" si="73"/>
        <v>0</v>
      </c>
      <c r="P196" s="15" t="s">
        <v>530</v>
      </c>
      <c r="Q196" s="17" t="s">
        <v>29</v>
      </c>
      <c r="R196" s="18" t="s">
        <v>531</v>
      </c>
    </row>
    <row r="197" spans="1:18" ht="90" x14ac:dyDescent="0.25">
      <c r="A197" s="19" t="s">
        <v>532</v>
      </c>
      <c r="B197" s="20" t="s">
        <v>533</v>
      </c>
      <c r="C197" s="21" t="s">
        <v>277</v>
      </c>
      <c r="D197" s="21" t="s">
        <v>281</v>
      </c>
      <c r="E197" s="21" t="s">
        <v>33</v>
      </c>
      <c r="F197" s="22">
        <f t="shared" si="73"/>
        <v>22410</v>
      </c>
      <c r="G197" s="22">
        <f t="shared" si="73"/>
        <v>6800</v>
      </c>
      <c r="H197" s="22">
        <f t="shared" si="73"/>
        <v>0</v>
      </c>
      <c r="I197" s="22">
        <f t="shared" si="73"/>
        <v>0</v>
      </c>
      <c r="J197" s="22">
        <f t="shared" si="73"/>
        <v>0</v>
      </c>
      <c r="K197" s="22">
        <f t="shared" si="73"/>
        <v>0</v>
      </c>
      <c r="L197" s="22">
        <f t="shared" si="73"/>
        <v>0</v>
      </c>
      <c r="M197" s="22">
        <f t="shared" si="73"/>
        <v>15610</v>
      </c>
      <c r="N197" s="22">
        <f t="shared" si="73"/>
        <v>0</v>
      </c>
      <c r="O197" s="22">
        <f t="shared" si="73"/>
        <v>0</v>
      </c>
      <c r="P197" s="21" t="s">
        <v>534</v>
      </c>
      <c r="Q197" s="23" t="s">
        <v>35</v>
      </c>
      <c r="R197" s="24" t="s">
        <v>48</v>
      </c>
    </row>
    <row r="198" spans="1:18" ht="116.25" x14ac:dyDescent="0.25">
      <c r="A198" s="25" t="s">
        <v>535</v>
      </c>
      <c r="B198" s="26" t="s">
        <v>536</v>
      </c>
      <c r="C198" s="27" t="s">
        <v>277</v>
      </c>
      <c r="D198" s="27" t="s">
        <v>326</v>
      </c>
      <c r="E198" s="27"/>
      <c r="F198" s="28">
        <f>SUM(F199:F199)+22410</f>
        <v>22410</v>
      </c>
      <c r="G198" s="28">
        <f>SUM(G199:G199)+6800</f>
        <v>6800</v>
      </c>
      <c r="H198" s="28">
        <f>SUM(H199:H199)</f>
        <v>0</v>
      </c>
      <c r="I198" s="28">
        <f>SUM(I199:I199)</f>
        <v>0</v>
      </c>
      <c r="J198" s="28">
        <f>SUM(J199:J199)</f>
        <v>0</v>
      </c>
      <c r="K198" s="28">
        <f>SUM(K199:K199)</f>
        <v>0</v>
      </c>
      <c r="L198" s="28">
        <f>SUM(L199:L199)</f>
        <v>0</v>
      </c>
      <c r="M198" s="28">
        <f>SUM(M199:M199)+15610</f>
        <v>15610</v>
      </c>
      <c r="N198" s="28">
        <f>SUM(N199:N199)</f>
        <v>0</v>
      </c>
      <c r="O198" s="28">
        <f>SUM(O199:O199)</f>
        <v>0</v>
      </c>
      <c r="P198" s="27" t="s">
        <v>537</v>
      </c>
      <c r="Q198" s="29" t="s">
        <v>35</v>
      </c>
      <c r="R198" s="30" t="s">
        <v>48</v>
      </c>
    </row>
    <row r="199" spans="1:18" ht="93" x14ac:dyDescent="0.25">
      <c r="A199" s="25" t="s">
        <v>538</v>
      </c>
      <c r="B199" s="26" t="s">
        <v>539</v>
      </c>
      <c r="C199" s="27"/>
      <c r="D199" s="27"/>
      <c r="E199" s="27"/>
      <c r="F199" s="31">
        <v>0</v>
      </c>
      <c r="G199" s="31">
        <v>0</v>
      </c>
      <c r="H199" s="31">
        <v>0</v>
      </c>
      <c r="I199" s="31">
        <v>0</v>
      </c>
      <c r="J199" s="31">
        <v>0</v>
      </c>
      <c r="K199" s="31">
        <v>0</v>
      </c>
      <c r="L199" s="31">
        <v>0</v>
      </c>
      <c r="M199" s="31">
        <v>0</v>
      </c>
      <c r="N199" s="31">
        <v>0</v>
      </c>
      <c r="O199" s="31">
        <v>0</v>
      </c>
      <c r="P199" s="27"/>
      <c r="Q199" s="29"/>
      <c r="R199" s="30"/>
    </row>
    <row r="200" spans="1:18" ht="45" x14ac:dyDescent="0.25">
      <c r="A200" s="7" t="s">
        <v>540</v>
      </c>
      <c r="B200" s="8" t="s">
        <v>541</v>
      </c>
      <c r="C200" s="9" t="s">
        <v>23</v>
      </c>
      <c r="D200" s="9" t="s">
        <v>542</v>
      </c>
      <c r="E200" s="9"/>
      <c r="F200" s="10">
        <f t="shared" ref="F200:O200" si="74">F201+F210+F224+F236+F246</f>
        <v>229900</v>
      </c>
      <c r="G200" s="10">
        <f t="shared" si="74"/>
        <v>229900</v>
      </c>
      <c r="H200" s="10">
        <f t="shared" si="74"/>
        <v>0</v>
      </c>
      <c r="I200" s="10">
        <f t="shared" si="74"/>
        <v>0</v>
      </c>
      <c r="J200" s="10">
        <f t="shared" si="74"/>
        <v>0</v>
      </c>
      <c r="K200" s="10">
        <f t="shared" si="74"/>
        <v>0</v>
      </c>
      <c r="L200" s="10">
        <f t="shared" si="74"/>
        <v>0</v>
      </c>
      <c r="M200" s="10">
        <f t="shared" si="74"/>
        <v>0</v>
      </c>
      <c r="N200" s="10">
        <f t="shared" si="74"/>
        <v>0</v>
      </c>
      <c r="O200" s="10">
        <f t="shared" si="74"/>
        <v>0</v>
      </c>
      <c r="P200" s="9"/>
      <c r="Q200" s="11"/>
      <c r="R200" s="12"/>
    </row>
    <row r="201" spans="1:18" ht="90" x14ac:dyDescent="0.25">
      <c r="A201" s="13" t="s">
        <v>543</v>
      </c>
      <c r="B201" s="14" t="s">
        <v>544</v>
      </c>
      <c r="C201" s="15" t="s">
        <v>23</v>
      </c>
      <c r="D201" s="15" t="s">
        <v>545</v>
      </c>
      <c r="E201" s="15"/>
      <c r="F201" s="16">
        <f t="shared" ref="F201:O201" si="75">F202+F205</f>
        <v>9000</v>
      </c>
      <c r="G201" s="16">
        <f t="shared" si="75"/>
        <v>9000</v>
      </c>
      <c r="H201" s="16">
        <f t="shared" si="75"/>
        <v>0</v>
      </c>
      <c r="I201" s="16">
        <f t="shared" si="75"/>
        <v>0</v>
      </c>
      <c r="J201" s="16">
        <f t="shared" si="75"/>
        <v>0</v>
      </c>
      <c r="K201" s="16">
        <f t="shared" si="75"/>
        <v>0</v>
      </c>
      <c r="L201" s="16">
        <f t="shared" si="75"/>
        <v>0</v>
      </c>
      <c r="M201" s="16">
        <f t="shared" si="75"/>
        <v>0</v>
      </c>
      <c r="N201" s="16">
        <f t="shared" si="75"/>
        <v>0</v>
      </c>
      <c r="O201" s="16">
        <f t="shared" si="75"/>
        <v>0</v>
      </c>
      <c r="P201" s="15" t="s">
        <v>546</v>
      </c>
      <c r="Q201" s="17" t="s">
        <v>29</v>
      </c>
      <c r="R201" s="18" t="s">
        <v>264</v>
      </c>
    </row>
    <row r="202" spans="1:18" ht="90" x14ac:dyDescent="0.25">
      <c r="A202" s="19" t="s">
        <v>547</v>
      </c>
      <c r="B202" s="20" t="s">
        <v>548</v>
      </c>
      <c r="C202" s="21"/>
      <c r="D202" s="21" t="s">
        <v>545</v>
      </c>
      <c r="E202" s="21" t="s">
        <v>33</v>
      </c>
      <c r="F202" s="22">
        <f t="shared" ref="F202:O202" si="76">SUM(F203:F203)</f>
        <v>7500</v>
      </c>
      <c r="G202" s="22">
        <f t="shared" si="76"/>
        <v>7500</v>
      </c>
      <c r="H202" s="22">
        <f t="shared" si="76"/>
        <v>0</v>
      </c>
      <c r="I202" s="22">
        <f t="shared" si="76"/>
        <v>0</v>
      </c>
      <c r="J202" s="22">
        <f t="shared" si="76"/>
        <v>0</v>
      </c>
      <c r="K202" s="22">
        <f t="shared" si="76"/>
        <v>0</v>
      </c>
      <c r="L202" s="22">
        <f t="shared" si="76"/>
        <v>0</v>
      </c>
      <c r="M202" s="22">
        <f t="shared" si="76"/>
        <v>0</v>
      </c>
      <c r="N202" s="22">
        <f t="shared" si="76"/>
        <v>0</v>
      </c>
      <c r="O202" s="22">
        <f t="shared" si="76"/>
        <v>0</v>
      </c>
      <c r="P202" s="21" t="s">
        <v>549</v>
      </c>
      <c r="Q202" s="23" t="s">
        <v>35</v>
      </c>
      <c r="R202" s="24" t="s">
        <v>388</v>
      </c>
    </row>
    <row r="203" spans="1:18" ht="209.25" x14ac:dyDescent="0.25">
      <c r="A203" s="25" t="s">
        <v>550</v>
      </c>
      <c r="B203" s="26" t="s">
        <v>551</v>
      </c>
      <c r="C203" s="27" t="s">
        <v>23</v>
      </c>
      <c r="D203" s="27" t="s">
        <v>545</v>
      </c>
      <c r="E203" s="27" t="s">
        <v>40</v>
      </c>
      <c r="F203" s="28">
        <f>SUM(F204:F204)+7500</f>
        <v>7500</v>
      </c>
      <c r="G203" s="28">
        <f>SUM(G204:G204)+7500</f>
        <v>7500</v>
      </c>
      <c r="H203" s="28">
        <f t="shared" ref="H203:O203" si="77">SUM(H204:H204)</f>
        <v>0</v>
      </c>
      <c r="I203" s="28">
        <f t="shared" si="77"/>
        <v>0</v>
      </c>
      <c r="J203" s="28">
        <f t="shared" si="77"/>
        <v>0</v>
      </c>
      <c r="K203" s="28">
        <f t="shared" si="77"/>
        <v>0</v>
      </c>
      <c r="L203" s="28">
        <f t="shared" si="77"/>
        <v>0</v>
      </c>
      <c r="M203" s="28">
        <f t="shared" si="77"/>
        <v>0</v>
      </c>
      <c r="N203" s="28">
        <f t="shared" si="77"/>
        <v>0</v>
      </c>
      <c r="O203" s="28">
        <f t="shared" si="77"/>
        <v>0</v>
      </c>
      <c r="P203" s="27" t="s">
        <v>552</v>
      </c>
      <c r="Q203" s="29" t="s">
        <v>35</v>
      </c>
      <c r="R203" s="30" t="s">
        <v>388</v>
      </c>
    </row>
    <row r="204" spans="1:18" ht="46.5" x14ac:dyDescent="0.25">
      <c r="A204" s="25" t="s">
        <v>553</v>
      </c>
      <c r="B204" s="26" t="s">
        <v>554</v>
      </c>
      <c r="C204" s="27"/>
      <c r="D204" s="27"/>
      <c r="E204" s="27"/>
      <c r="F204" s="31">
        <v>0</v>
      </c>
      <c r="G204" s="31">
        <v>0</v>
      </c>
      <c r="H204" s="31">
        <v>0</v>
      </c>
      <c r="I204" s="31">
        <v>0</v>
      </c>
      <c r="J204" s="31">
        <v>0</v>
      </c>
      <c r="K204" s="31">
        <v>0</v>
      </c>
      <c r="L204" s="31">
        <v>0</v>
      </c>
      <c r="M204" s="31">
        <v>0</v>
      </c>
      <c r="N204" s="31">
        <v>0</v>
      </c>
      <c r="O204" s="31">
        <v>0</v>
      </c>
      <c r="P204" s="27"/>
      <c r="Q204" s="29"/>
      <c r="R204" s="30"/>
    </row>
    <row r="205" spans="1:18" ht="90" x14ac:dyDescent="0.25">
      <c r="A205" s="19" t="s">
        <v>555</v>
      </c>
      <c r="B205" s="20" t="s">
        <v>556</v>
      </c>
      <c r="C205" s="21"/>
      <c r="D205" s="21" t="s">
        <v>545</v>
      </c>
      <c r="E205" s="21" t="s">
        <v>33</v>
      </c>
      <c r="F205" s="22">
        <f t="shared" ref="F205:O205" si="78">SUM(F206:F206)</f>
        <v>1500</v>
      </c>
      <c r="G205" s="22">
        <f t="shared" si="78"/>
        <v>1500</v>
      </c>
      <c r="H205" s="22">
        <f t="shared" si="78"/>
        <v>0</v>
      </c>
      <c r="I205" s="22">
        <f t="shared" si="78"/>
        <v>0</v>
      </c>
      <c r="J205" s="22">
        <f t="shared" si="78"/>
        <v>0</v>
      </c>
      <c r="K205" s="22">
        <f t="shared" si="78"/>
        <v>0</v>
      </c>
      <c r="L205" s="22">
        <f t="shared" si="78"/>
        <v>0</v>
      </c>
      <c r="M205" s="22">
        <f t="shared" si="78"/>
        <v>0</v>
      </c>
      <c r="N205" s="22">
        <f t="shared" si="78"/>
        <v>0</v>
      </c>
      <c r="O205" s="22">
        <f t="shared" si="78"/>
        <v>0</v>
      </c>
      <c r="P205" s="21" t="s">
        <v>557</v>
      </c>
      <c r="Q205" s="23" t="s">
        <v>35</v>
      </c>
      <c r="R205" s="24" t="s">
        <v>68</v>
      </c>
    </row>
    <row r="206" spans="1:18" ht="46.5" x14ac:dyDescent="0.25">
      <c r="A206" s="25" t="s">
        <v>558</v>
      </c>
      <c r="B206" s="26" t="s">
        <v>559</v>
      </c>
      <c r="C206" s="27" t="s">
        <v>23</v>
      </c>
      <c r="D206" s="27" t="s">
        <v>545</v>
      </c>
      <c r="E206" s="27" t="s">
        <v>40</v>
      </c>
      <c r="F206" s="28">
        <f>SUM(F207:F209)+1500</f>
        <v>1500</v>
      </c>
      <c r="G206" s="28">
        <f>SUM(G207:G209)+1500</f>
        <v>1500</v>
      </c>
      <c r="H206" s="28">
        <f t="shared" ref="H206:O206" si="79">SUM(H207:H209)</f>
        <v>0</v>
      </c>
      <c r="I206" s="28">
        <f t="shared" si="79"/>
        <v>0</v>
      </c>
      <c r="J206" s="28">
        <f t="shared" si="79"/>
        <v>0</v>
      </c>
      <c r="K206" s="28">
        <f t="shared" si="79"/>
        <v>0</v>
      </c>
      <c r="L206" s="28">
        <f t="shared" si="79"/>
        <v>0</v>
      </c>
      <c r="M206" s="28">
        <f t="shared" si="79"/>
        <v>0</v>
      </c>
      <c r="N206" s="28">
        <f t="shared" si="79"/>
        <v>0</v>
      </c>
      <c r="O206" s="28">
        <f t="shared" si="79"/>
        <v>0</v>
      </c>
      <c r="P206" s="27" t="s">
        <v>560</v>
      </c>
      <c r="Q206" s="29" t="s">
        <v>35</v>
      </c>
      <c r="R206" s="30" t="s">
        <v>36</v>
      </c>
    </row>
    <row r="207" spans="1:18" ht="46.5" x14ac:dyDescent="0.25">
      <c r="A207" s="32"/>
      <c r="B207" s="33"/>
      <c r="C207" s="34"/>
      <c r="D207" s="34"/>
      <c r="E207" s="34"/>
      <c r="F207" s="35">
        <v>0</v>
      </c>
      <c r="G207" s="35">
        <v>0</v>
      </c>
      <c r="H207" s="35">
        <v>0</v>
      </c>
      <c r="I207" s="35">
        <v>0</v>
      </c>
      <c r="J207" s="35">
        <v>0</v>
      </c>
      <c r="K207" s="35">
        <v>0</v>
      </c>
      <c r="L207" s="35">
        <v>0</v>
      </c>
      <c r="M207" s="35">
        <v>0</v>
      </c>
      <c r="N207" s="35">
        <v>0</v>
      </c>
      <c r="O207" s="35">
        <v>0</v>
      </c>
      <c r="P207" s="34" t="s">
        <v>561</v>
      </c>
      <c r="Q207" s="36" t="s">
        <v>35</v>
      </c>
      <c r="R207" s="37" t="s">
        <v>36</v>
      </c>
    </row>
    <row r="208" spans="1:18" x14ac:dyDescent="0.25">
      <c r="A208" s="25" t="s">
        <v>562</v>
      </c>
      <c r="B208" s="26" t="s">
        <v>563</v>
      </c>
      <c r="C208" s="27"/>
      <c r="D208" s="27"/>
      <c r="E208" s="27"/>
      <c r="F208" s="31">
        <v>0</v>
      </c>
      <c r="G208" s="31">
        <v>0</v>
      </c>
      <c r="H208" s="31">
        <v>0</v>
      </c>
      <c r="I208" s="31">
        <v>0</v>
      </c>
      <c r="J208" s="31">
        <v>0</v>
      </c>
      <c r="K208" s="31">
        <v>0</v>
      </c>
      <c r="L208" s="31">
        <v>0</v>
      </c>
      <c r="M208" s="31">
        <v>0</v>
      </c>
      <c r="N208" s="31">
        <v>0</v>
      </c>
      <c r="O208" s="31">
        <v>0</v>
      </c>
      <c r="P208" s="27"/>
      <c r="Q208" s="29"/>
      <c r="R208" s="30"/>
    </row>
    <row r="209" spans="1:18" ht="46.5" x14ac:dyDescent="0.25">
      <c r="A209" s="25" t="s">
        <v>564</v>
      </c>
      <c r="B209" s="26" t="s">
        <v>565</v>
      </c>
      <c r="C209" s="27"/>
      <c r="D209" s="27"/>
      <c r="E209" s="27"/>
      <c r="F209" s="31">
        <v>0</v>
      </c>
      <c r="G209" s="31">
        <v>0</v>
      </c>
      <c r="H209" s="31">
        <v>0</v>
      </c>
      <c r="I209" s="31">
        <v>0</v>
      </c>
      <c r="J209" s="31">
        <v>0</v>
      </c>
      <c r="K209" s="31">
        <v>0</v>
      </c>
      <c r="L209" s="31">
        <v>0</v>
      </c>
      <c r="M209" s="31">
        <v>0</v>
      </c>
      <c r="N209" s="31">
        <v>0</v>
      </c>
      <c r="O209" s="31">
        <v>0</v>
      </c>
      <c r="P209" s="27"/>
      <c r="Q209" s="29"/>
      <c r="R209" s="30"/>
    </row>
    <row r="210" spans="1:18" ht="90" x14ac:dyDescent="0.25">
      <c r="A210" s="13" t="s">
        <v>566</v>
      </c>
      <c r="B210" s="14" t="s">
        <v>567</v>
      </c>
      <c r="C210" s="15"/>
      <c r="D210" s="15" t="s">
        <v>568</v>
      </c>
      <c r="E210" s="15"/>
      <c r="F210" s="16">
        <f t="shared" ref="F210:O210" si="80">F211+F219</f>
        <v>134000</v>
      </c>
      <c r="G210" s="16">
        <f t="shared" si="80"/>
        <v>134000</v>
      </c>
      <c r="H210" s="16">
        <f t="shared" si="80"/>
        <v>0</v>
      </c>
      <c r="I210" s="16">
        <f t="shared" si="80"/>
        <v>0</v>
      </c>
      <c r="J210" s="16">
        <f t="shared" si="80"/>
        <v>0</v>
      </c>
      <c r="K210" s="16">
        <f t="shared" si="80"/>
        <v>0</v>
      </c>
      <c r="L210" s="16">
        <f t="shared" si="80"/>
        <v>0</v>
      </c>
      <c r="M210" s="16">
        <f t="shared" si="80"/>
        <v>0</v>
      </c>
      <c r="N210" s="16">
        <f t="shared" si="80"/>
        <v>0</v>
      </c>
      <c r="O210" s="16">
        <f t="shared" si="80"/>
        <v>0</v>
      </c>
      <c r="P210" s="15" t="s">
        <v>530</v>
      </c>
      <c r="Q210" s="17" t="s">
        <v>29</v>
      </c>
      <c r="R210" s="18" t="s">
        <v>569</v>
      </c>
    </row>
    <row r="211" spans="1:18" ht="112.5" x14ac:dyDescent="0.25">
      <c r="A211" s="19" t="s">
        <v>570</v>
      </c>
      <c r="B211" s="20" t="s">
        <v>571</v>
      </c>
      <c r="C211" s="21"/>
      <c r="D211" s="21" t="s">
        <v>568</v>
      </c>
      <c r="E211" s="21" t="s">
        <v>248</v>
      </c>
      <c r="F211" s="22">
        <f t="shared" ref="F211:O211" si="81">F212+F215+F217</f>
        <v>115000</v>
      </c>
      <c r="G211" s="22">
        <f t="shared" si="81"/>
        <v>115000</v>
      </c>
      <c r="H211" s="22">
        <f t="shared" si="81"/>
        <v>0</v>
      </c>
      <c r="I211" s="22">
        <f t="shared" si="81"/>
        <v>0</v>
      </c>
      <c r="J211" s="22">
        <f t="shared" si="81"/>
        <v>0</v>
      </c>
      <c r="K211" s="22">
        <f t="shared" si="81"/>
        <v>0</v>
      </c>
      <c r="L211" s="22">
        <f t="shared" si="81"/>
        <v>0</v>
      </c>
      <c r="M211" s="22">
        <f t="shared" si="81"/>
        <v>0</v>
      </c>
      <c r="N211" s="22">
        <f t="shared" si="81"/>
        <v>0</v>
      </c>
      <c r="O211" s="22">
        <f t="shared" si="81"/>
        <v>0</v>
      </c>
      <c r="P211" s="21" t="s">
        <v>572</v>
      </c>
      <c r="Q211" s="23" t="s">
        <v>35</v>
      </c>
      <c r="R211" s="24" t="s">
        <v>573</v>
      </c>
    </row>
    <row r="212" spans="1:18" ht="69.75" x14ac:dyDescent="0.25">
      <c r="A212" s="25" t="s">
        <v>574</v>
      </c>
      <c r="B212" s="26" t="s">
        <v>575</v>
      </c>
      <c r="C212" s="27" t="s">
        <v>23</v>
      </c>
      <c r="D212" s="27" t="s">
        <v>568</v>
      </c>
      <c r="E212" s="27"/>
      <c r="F212" s="28">
        <f>SUM(F213:F214)+43000</f>
        <v>43000</v>
      </c>
      <c r="G212" s="28">
        <f>SUM(G213:G214)+43000</f>
        <v>43000</v>
      </c>
      <c r="H212" s="28">
        <f t="shared" ref="H212:O212" si="82">SUM(H213:H214)</f>
        <v>0</v>
      </c>
      <c r="I212" s="28">
        <f t="shared" si="82"/>
        <v>0</v>
      </c>
      <c r="J212" s="28">
        <f t="shared" si="82"/>
        <v>0</v>
      </c>
      <c r="K212" s="28">
        <f t="shared" si="82"/>
        <v>0</v>
      </c>
      <c r="L212" s="28">
        <f t="shared" si="82"/>
        <v>0</v>
      </c>
      <c r="M212" s="28">
        <f t="shared" si="82"/>
        <v>0</v>
      </c>
      <c r="N212" s="28">
        <f t="shared" si="82"/>
        <v>0</v>
      </c>
      <c r="O212" s="28">
        <f t="shared" si="82"/>
        <v>0</v>
      </c>
      <c r="P212" s="27" t="s">
        <v>576</v>
      </c>
      <c r="Q212" s="29" t="s">
        <v>35</v>
      </c>
      <c r="R212" s="30" t="s">
        <v>181</v>
      </c>
    </row>
    <row r="213" spans="1:18" ht="46.5" x14ac:dyDescent="0.25">
      <c r="A213" s="32"/>
      <c r="B213" s="33"/>
      <c r="C213" s="34"/>
      <c r="D213" s="34"/>
      <c r="E213" s="34"/>
      <c r="F213" s="35">
        <v>0</v>
      </c>
      <c r="G213" s="35">
        <v>0</v>
      </c>
      <c r="H213" s="35">
        <v>0</v>
      </c>
      <c r="I213" s="35">
        <v>0</v>
      </c>
      <c r="J213" s="35">
        <v>0</v>
      </c>
      <c r="K213" s="35">
        <v>0</v>
      </c>
      <c r="L213" s="35">
        <v>0</v>
      </c>
      <c r="M213" s="35">
        <v>0</v>
      </c>
      <c r="N213" s="35">
        <v>0</v>
      </c>
      <c r="O213" s="35">
        <v>0</v>
      </c>
      <c r="P213" s="34" t="s">
        <v>577</v>
      </c>
      <c r="Q213" s="36" t="s">
        <v>35</v>
      </c>
      <c r="R213" s="37" t="s">
        <v>36</v>
      </c>
    </row>
    <row r="214" spans="1:18" ht="93" x14ac:dyDescent="0.25">
      <c r="A214" s="25" t="s">
        <v>578</v>
      </c>
      <c r="B214" s="26" t="s">
        <v>579</v>
      </c>
      <c r="C214" s="27"/>
      <c r="D214" s="27"/>
      <c r="E214" s="27"/>
      <c r="F214" s="31">
        <v>0</v>
      </c>
      <c r="G214" s="31">
        <v>0</v>
      </c>
      <c r="H214" s="31">
        <v>0</v>
      </c>
      <c r="I214" s="31">
        <v>0</v>
      </c>
      <c r="J214" s="31">
        <v>0</v>
      </c>
      <c r="K214" s="31">
        <v>0</v>
      </c>
      <c r="L214" s="31">
        <v>0</v>
      </c>
      <c r="M214" s="31">
        <v>0</v>
      </c>
      <c r="N214" s="31">
        <v>0</v>
      </c>
      <c r="O214" s="31">
        <v>0</v>
      </c>
      <c r="P214" s="27"/>
      <c r="Q214" s="29"/>
      <c r="R214" s="30"/>
    </row>
    <row r="215" spans="1:18" ht="46.5" x14ac:dyDescent="0.25">
      <c r="A215" s="25" t="s">
        <v>580</v>
      </c>
      <c r="B215" s="26" t="s">
        <v>581</v>
      </c>
      <c r="C215" s="27"/>
      <c r="D215" s="27" t="s">
        <v>568</v>
      </c>
      <c r="E215" s="27" t="s">
        <v>16</v>
      </c>
      <c r="F215" s="28">
        <f>SUM(F216:F216)+60000</f>
        <v>60000</v>
      </c>
      <c r="G215" s="28">
        <f>SUM(G216:G216)+60000</f>
        <v>60000</v>
      </c>
      <c r="H215" s="28">
        <f t="shared" ref="H215:O215" si="83">SUM(H216:H216)</f>
        <v>0</v>
      </c>
      <c r="I215" s="28">
        <f t="shared" si="83"/>
        <v>0</v>
      </c>
      <c r="J215" s="28">
        <f t="shared" si="83"/>
        <v>0</v>
      </c>
      <c r="K215" s="28">
        <f t="shared" si="83"/>
        <v>0</v>
      </c>
      <c r="L215" s="28">
        <f t="shared" si="83"/>
        <v>0</v>
      </c>
      <c r="M215" s="28">
        <f t="shared" si="83"/>
        <v>0</v>
      </c>
      <c r="N215" s="28">
        <f t="shared" si="83"/>
        <v>0</v>
      </c>
      <c r="O215" s="28">
        <f t="shared" si="83"/>
        <v>0</v>
      </c>
      <c r="P215" s="27" t="s">
        <v>582</v>
      </c>
      <c r="Q215" s="29" t="s">
        <v>35</v>
      </c>
      <c r="R215" s="30" t="s">
        <v>48</v>
      </c>
    </row>
    <row r="216" spans="1:18" ht="69.75" x14ac:dyDescent="0.25">
      <c r="A216" s="25" t="s">
        <v>583</v>
      </c>
      <c r="B216" s="26" t="s">
        <v>584</v>
      </c>
      <c r="C216" s="27"/>
      <c r="D216" s="27"/>
      <c r="E216" s="27"/>
      <c r="F216" s="31">
        <v>0</v>
      </c>
      <c r="G216" s="31">
        <v>0</v>
      </c>
      <c r="H216" s="31">
        <v>0</v>
      </c>
      <c r="I216" s="31">
        <v>0</v>
      </c>
      <c r="J216" s="31">
        <v>0</v>
      </c>
      <c r="K216" s="31">
        <v>0</v>
      </c>
      <c r="L216" s="31">
        <v>0</v>
      </c>
      <c r="M216" s="31">
        <v>0</v>
      </c>
      <c r="N216" s="31">
        <v>0</v>
      </c>
      <c r="O216" s="31">
        <v>0</v>
      </c>
      <c r="P216" s="27"/>
      <c r="Q216" s="29"/>
      <c r="R216" s="30"/>
    </row>
    <row r="217" spans="1:18" ht="69.75" x14ac:dyDescent="0.25">
      <c r="A217" s="25" t="s">
        <v>585</v>
      </c>
      <c r="B217" s="26" t="s">
        <v>586</v>
      </c>
      <c r="C217" s="27" t="s">
        <v>23</v>
      </c>
      <c r="D217" s="27" t="s">
        <v>568</v>
      </c>
      <c r="E217" s="27" t="s">
        <v>16</v>
      </c>
      <c r="F217" s="28">
        <f>SUM(F218:F218)+12000</f>
        <v>12000</v>
      </c>
      <c r="G217" s="28">
        <f>SUM(G218:G218)+12000</f>
        <v>12000</v>
      </c>
      <c r="H217" s="28">
        <f t="shared" ref="H217:O217" si="84">SUM(H218:H218)</f>
        <v>0</v>
      </c>
      <c r="I217" s="28">
        <f t="shared" si="84"/>
        <v>0</v>
      </c>
      <c r="J217" s="28">
        <f t="shared" si="84"/>
        <v>0</v>
      </c>
      <c r="K217" s="28">
        <f t="shared" si="84"/>
        <v>0</v>
      </c>
      <c r="L217" s="28">
        <f t="shared" si="84"/>
        <v>0</v>
      </c>
      <c r="M217" s="28">
        <f t="shared" si="84"/>
        <v>0</v>
      </c>
      <c r="N217" s="28">
        <f t="shared" si="84"/>
        <v>0</v>
      </c>
      <c r="O217" s="28">
        <f t="shared" si="84"/>
        <v>0</v>
      </c>
      <c r="P217" s="27" t="s">
        <v>587</v>
      </c>
      <c r="Q217" s="29" t="s">
        <v>35</v>
      </c>
      <c r="R217" s="30" t="s">
        <v>36</v>
      </c>
    </row>
    <row r="218" spans="1:18" ht="69.75" x14ac:dyDescent="0.25">
      <c r="A218" s="25" t="s">
        <v>588</v>
      </c>
      <c r="B218" s="26" t="s">
        <v>589</v>
      </c>
      <c r="C218" s="27"/>
      <c r="D218" s="27"/>
      <c r="E218" s="27"/>
      <c r="F218" s="31">
        <v>0</v>
      </c>
      <c r="G218" s="31">
        <v>0</v>
      </c>
      <c r="H218" s="31">
        <v>0</v>
      </c>
      <c r="I218" s="31">
        <v>0</v>
      </c>
      <c r="J218" s="31">
        <v>0</v>
      </c>
      <c r="K218" s="31">
        <v>0</v>
      </c>
      <c r="L218" s="31">
        <v>0</v>
      </c>
      <c r="M218" s="31">
        <v>0</v>
      </c>
      <c r="N218" s="31">
        <v>0</v>
      </c>
      <c r="O218" s="31">
        <v>0</v>
      </c>
      <c r="P218" s="27"/>
      <c r="Q218" s="29"/>
      <c r="R218" s="30"/>
    </row>
    <row r="219" spans="1:18" ht="67.5" x14ac:dyDescent="0.25">
      <c r="A219" s="19" t="s">
        <v>590</v>
      </c>
      <c r="B219" s="20" t="s">
        <v>591</v>
      </c>
      <c r="C219" s="21"/>
      <c r="D219" s="21" t="s">
        <v>568</v>
      </c>
      <c r="E219" s="21"/>
      <c r="F219" s="22">
        <f t="shared" ref="F219:O219" si="85">SUM(F220:F220)</f>
        <v>19000</v>
      </c>
      <c r="G219" s="22">
        <f t="shared" si="85"/>
        <v>19000</v>
      </c>
      <c r="H219" s="22">
        <f t="shared" si="85"/>
        <v>0</v>
      </c>
      <c r="I219" s="22">
        <f t="shared" si="85"/>
        <v>0</v>
      </c>
      <c r="J219" s="22">
        <f t="shared" si="85"/>
        <v>0</v>
      </c>
      <c r="K219" s="22">
        <f t="shared" si="85"/>
        <v>0</v>
      </c>
      <c r="L219" s="22">
        <f t="shared" si="85"/>
        <v>0</v>
      </c>
      <c r="M219" s="22">
        <f t="shared" si="85"/>
        <v>0</v>
      </c>
      <c r="N219" s="22">
        <f t="shared" si="85"/>
        <v>0</v>
      </c>
      <c r="O219" s="22">
        <f t="shared" si="85"/>
        <v>0</v>
      </c>
      <c r="P219" s="21" t="s">
        <v>592</v>
      </c>
      <c r="Q219" s="23" t="s">
        <v>35</v>
      </c>
      <c r="R219" s="24" t="s">
        <v>48</v>
      </c>
    </row>
    <row r="220" spans="1:18" ht="69.75" x14ac:dyDescent="0.25">
      <c r="A220" s="25" t="s">
        <v>593</v>
      </c>
      <c r="B220" s="26" t="s">
        <v>594</v>
      </c>
      <c r="C220" s="27" t="s">
        <v>23</v>
      </c>
      <c r="D220" s="27" t="s">
        <v>568</v>
      </c>
      <c r="E220" s="27" t="s">
        <v>40</v>
      </c>
      <c r="F220" s="28">
        <f>SUM(F221:F223)+19000</f>
        <v>19000</v>
      </c>
      <c r="G220" s="28">
        <f>SUM(G221:G223)+19000</f>
        <v>19000</v>
      </c>
      <c r="H220" s="28">
        <f t="shared" ref="H220:O220" si="86">SUM(H221:H223)</f>
        <v>0</v>
      </c>
      <c r="I220" s="28">
        <f t="shared" si="86"/>
        <v>0</v>
      </c>
      <c r="J220" s="28">
        <f t="shared" si="86"/>
        <v>0</v>
      </c>
      <c r="K220" s="28">
        <f t="shared" si="86"/>
        <v>0</v>
      </c>
      <c r="L220" s="28">
        <f t="shared" si="86"/>
        <v>0</v>
      </c>
      <c r="M220" s="28">
        <f t="shared" si="86"/>
        <v>0</v>
      </c>
      <c r="N220" s="28">
        <f t="shared" si="86"/>
        <v>0</v>
      </c>
      <c r="O220" s="28">
        <f t="shared" si="86"/>
        <v>0</v>
      </c>
      <c r="P220" s="27" t="s">
        <v>595</v>
      </c>
      <c r="Q220" s="29" t="s">
        <v>35</v>
      </c>
      <c r="R220" s="30" t="s">
        <v>36</v>
      </c>
    </row>
    <row r="221" spans="1:18" x14ac:dyDescent="0.25">
      <c r="A221" s="32"/>
      <c r="B221" s="33"/>
      <c r="C221" s="34"/>
      <c r="D221" s="34"/>
      <c r="E221" s="34"/>
      <c r="F221" s="35">
        <v>0</v>
      </c>
      <c r="G221" s="35">
        <v>0</v>
      </c>
      <c r="H221" s="35">
        <v>0</v>
      </c>
      <c r="I221" s="35">
        <v>0</v>
      </c>
      <c r="J221" s="35">
        <v>0</v>
      </c>
      <c r="K221" s="35">
        <v>0</v>
      </c>
      <c r="L221" s="35">
        <v>0</v>
      </c>
      <c r="M221" s="35">
        <v>0</v>
      </c>
      <c r="N221" s="35">
        <v>0</v>
      </c>
      <c r="O221" s="35">
        <v>0</v>
      </c>
      <c r="P221" s="34" t="s">
        <v>596</v>
      </c>
      <c r="Q221" s="36" t="s">
        <v>35</v>
      </c>
      <c r="R221" s="37" t="s">
        <v>144</v>
      </c>
    </row>
    <row r="222" spans="1:18" ht="46.5" x14ac:dyDescent="0.25">
      <c r="A222" s="25" t="s">
        <v>597</v>
      </c>
      <c r="B222" s="26" t="s">
        <v>598</v>
      </c>
      <c r="C222" s="27"/>
      <c r="D222" s="27"/>
      <c r="E222" s="27"/>
      <c r="F222" s="31">
        <v>0</v>
      </c>
      <c r="G222" s="31">
        <v>0</v>
      </c>
      <c r="H222" s="31">
        <v>0</v>
      </c>
      <c r="I222" s="31">
        <v>0</v>
      </c>
      <c r="J222" s="31">
        <v>0</v>
      </c>
      <c r="K222" s="31">
        <v>0</v>
      </c>
      <c r="L222" s="31">
        <v>0</v>
      </c>
      <c r="M222" s="31">
        <v>0</v>
      </c>
      <c r="N222" s="31">
        <v>0</v>
      </c>
      <c r="O222" s="31">
        <v>0</v>
      </c>
      <c r="P222" s="27"/>
      <c r="Q222" s="29"/>
      <c r="R222" s="30"/>
    </row>
    <row r="223" spans="1:18" ht="69.75" x14ac:dyDescent="0.25">
      <c r="A223" s="25" t="s">
        <v>599</v>
      </c>
      <c r="B223" s="26" t="s">
        <v>600</v>
      </c>
      <c r="C223" s="27"/>
      <c r="D223" s="27"/>
      <c r="E223" s="27"/>
      <c r="F223" s="31">
        <v>0</v>
      </c>
      <c r="G223" s="31">
        <v>0</v>
      </c>
      <c r="H223" s="31">
        <v>0</v>
      </c>
      <c r="I223" s="31">
        <v>0</v>
      </c>
      <c r="J223" s="31">
        <v>0</v>
      </c>
      <c r="K223" s="31">
        <v>0</v>
      </c>
      <c r="L223" s="31">
        <v>0</v>
      </c>
      <c r="M223" s="31">
        <v>0</v>
      </c>
      <c r="N223" s="31">
        <v>0</v>
      </c>
      <c r="O223" s="31">
        <v>0</v>
      </c>
      <c r="P223" s="27"/>
      <c r="Q223" s="29"/>
      <c r="R223" s="30"/>
    </row>
    <row r="224" spans="1:18" ht="90" x14ac:dyDescent="0.25">
      <c r="A224" s="13" t="s">
        <v>601</v>
      </c>
      <c r="B224" s="14" t="s">
        <v>602</v>
      </c>
      <c r="C224" s="15"/>
      <c r="D224" s="15" t="s">
        <v>603</v>
      </c>
      <c r="E224" s="15"/>
      <c r="F224" s="16">
        <f t="shared" ref="F224:O224" si="87">F225+F233</f>
        <v>36900</v>
      </c>
      <c r="G224" s="16">
        <f t="shared" si="87"/>
        <v>36900</v>
      </c>
      <c r="H224" s="16">
        <f t="shared" si="87"/>
        <v>0</v>
      </c>
      <c r="I224" s="16">
        <f t="shared" si="87"/>
        <v>0</v>
      </c>
      <c r="J224" s="16">
        <f t="shared" si="87"/>
        <v>0</v>
      </c>
      <c r="K224" s="16">
        <f t="shared" si="87"/>
        <v>0</v>
      </c>
      <c r="L224" s="16">
        <f t="shared" si="87"/>
        <v>0</v>
      </c>
      <c r="M224" s="16">
        <f t="shared" si="87"/>
        <v>0</v>
      </c>
      <c r="N224" s="16">
        <f t="shared" si="87"/>
        <v>0</v>
      </c>
      <c r="O224" s="16">
        <f t="shared" si="87"/>
        <v>0</v>
      </c>
      <c r="P224" s="15" t="s">
        <v>604</v>
      </c>
      <c r="Q224" s="17" t="s">
        <v>29</v>
      </c>
      <c r="R224" s="18" t="s">
        <v>135</v>
      </c>
    </row>
    <row r="225" spans="1:18" ht="90" x14ac:dyDescent="0.25">
      <c r="A225" s="19" t="s">
        <v>605</v>
      </c>
      <c r="B225" s="20" t="s">
        <v>606</v>
      </c>
      <c r="C225" s="21" t="s">
        <v>23</v>
      </c>
      <c r="D225" s="21" t="s">
        <v>603</v>
      </c>
      <c r="E225" s="21" t="s">
        <v>33</v>
      </c>
      <c r="F225" s="22">
        <f t="shared" ref="F225:O225" si="88">F226+F227+F229+F231</f>
        <v>27900</v>
      </c>
      <c r="G225" s="22">
        <f t="shared" si="88"/>
        <v>27900</v>
      </c>
      <c r="H225" s="22">
        <f t="shared" si="88"/>
        <v>0</v>
      </c>
      <c r="I225" s="22">
        <f t="shared" si="88"/>
        <v>0</v>
      </c>
      <c r="J225" s="22">
        <f t="shared" si="88"/>
        <v>0</v>
      </c>
      <c r="K225" s="22">
        <f t="shared" si="88"/>
        <v>0</v>
      </c>
      <c r="L225" s="22">
        <f t="shared" si="88"/>
        <v>0</v>
      </c>
      <c r="M225" s="22">
        <f t="shared" si="88"/>
        <v>0</v>
      </c>
      <c r="N225" s="22">
        <f t="shared" si="88"/>
        <v>0</v>
      </c>
      <c r="O225" s="22">
        <f t="shared" si="88"/>
        <v>0</v>
      </c>
      <c r="P225" s="21" t="s">
        <v>607</v>
      </c>
      <c r="Q225" s="23" t="s">
        <v>35</v>
      </c>
      <c r="R225" s="24" t="s">
        <v>144</v>
      </c>
    </row>
    <row r="226" spans="1:18" x14ac:dyDescent="0.25">
      <c r="A226" s="32"/>
      <c r="B226" s="33"/>
      <c r="C226" s="34"/>
      <c r="D226" s="34"/>
      <c r="E226" s="34"/>
      <c r="F226" s="35">
        <v>0</v>
      </c>
      <c r="G226" s="35">
        <v>0</v>
      </c>
      <c r="H226" s="35">
        <v>0</v>
      </c>
      <c r="I226" s="35">
        <v>0</v>
      </c>
      <c r="J226" s="35">
        <v>0</v>
      </c>
      <c r="K226" s="35">
        <v>0</v>
      </c>
      <c r="L226" s="35">
        <v>0</v>
      </c>
      <c r="M226" s="35">
        <v>0</v>
      </c>
      <c r="N226" s="35">
        <v>0</v>
      </c>
      <c r="O226" s="35">
        <v>0</v>
      </c>
      <c r="P226" s="34" t="s">
        <v>608</v>
      </c>
      <c r="Q226" s="36" t="s">
        <v>35</v>
      </c>
      <c r="R226" s="37" t="s">
        <v>264</v>
      </c>
    </row>
    <row r="227" spans="1:18" ht="46.5" x14ac:dyDescent="0.25">
      <c r="A227" s="25" t="s">
        <v>609</v>
      </c>
      <c r="B227" s="26" t="s">
        <v>610</v>
      </c>
      <c r="C227" s="27" t="s">
        <v>23</v>
      </c>
      <c r="D227" s="27" t="s">
        <v>603</v>
      </c>
      <c r="E227" s="27" t="s">
        <v>40</v>
      </c>
      <c r="F227" s="28">
        <f>SUM(F228:F228)+18900</f>
        <v>18900</v>
      </c>
      <c r="G227" s="28">
        <f>SUM(G228:G228)+18900</f>
        <v>18900</v>
      </c>
      <c r="H227" s="28">
        <f t="shared" ref="H227:O227" si="89">SUM(H228:H228)</f>
        <v>0</v>
      </c>
      <c r="I227" s="28">
        <f t="shared" si="89"/>
        <v>0</v>
      </c>
      <c r="J227" s="28">
        <f t="shared" si="89"/>
        <v>0</v>
      </c>
      <c r="K227" s="28">
        <f t="shared" si="89"/>
        <v>0</v>
      </c>
      <c r="L227" s="28">
        <f t="shared" si="89"/>
        <v>0</v>
      </c>
      <c r="M227" s="28">
        <f t="shared" si="89"/>
        <v>0</v>
      </c>
      <c r="N227" s="28">
        <f t="shared" si="89"/>
        <v>0</v>
      </c>
      <c r="O227" s="28">
        <f t="shared" si="89"/>
        <v>0</v>
      </c>
      <c r="P227" s="27" t="s">
        <v>595</v>
      </c>
      <c r="Q227" s="29" t="s">
        <v>35</v>
      </c>
      <c r="R227" s="30" t="s">
        <v>88</v>
      </c>
    </row>
    <row r="228" spans="1:18" ht="46.5" x14ac:dyDescent="0.25">
      <c r="A228" s="25" t="s">
        <v>611</v>
      </c>
      <c r="B228" s="26" t="s">
        <v>612</v>
      </c>
      <c r="C228" s="27"/>
      <c r="D228" s="27"/>
      <c r="E228" s="27"/>
      <c r="F228" s="31">
        <v>0</v>
      </c>
      <c r="G228" s="31">
        <v>0</v>
      </c>
      <c r="H228" s="31">
        <v>0</v>
      </c>
      <c r="I228" s="31">
        <v>0</v>
      </c>
      <c r="J228" s="31">
        <v>0</v>
      </c>
      <c r="K228" s="31">
        <v>0</v>
      </c>
      <c r="L228" s="31">
        <v>0</v>
      </c>
      <c r="M228" s="31">
        <v>0</v>
      </c>
      <c r="N228" s="31">
        <v>0</v>
      </c>
      <c r="O228" s="31">
        <v>0</v>
      </c>
      <c r="P228" s="27"/>
      <c r="Q228" s="29"/>
      <c r="R228" s="30"/>
    </row>
    <row r="229" spans="1:18" ht="46.5" x14ac:dyDescent="0.25">
      <c r="A229" s="25" t="s">
        <v>613</v>
      </c>
      <c r="B229" s="26" t="s">
        <v>614</v>
      </c>
      <c r="C229" s="27" t="s">
        <v>23</v>
      </c>
      <c r="D229" s="27" t="s">
        <v>603</v>
      </c>
      <c r="E229" s="27" t="s">
        <v>40</v>
      </c>
      <c r="F229" s="28">
        <f>SUM(F230:F230)+1000</f>
        <v>1000</v>
      </c>
      <c r="G229" s="28">
        <f>SUM(G230:G230)+1000</f>
        <v>1000</v>
      </c>
      <c r="H229" s="28">
        <f t="shared" ref="H229:O229" si="90">SUM(H230:H230)</f>
        <v>0</v>
      </c>
      <c r="I229" s="28">
        <f t="shared" si="90"/>
        <v>0</v>
      </c>
      <c r="J229" s="28">
        <f t="shared" si="90"/>
        <v>0</v>
      </c>
      <c r="K229" s="28">
        <f t="shared" si="90"/>
        <v>0</v>
      </c>
      <c r="L229" s="28">
        <f t="shared" si="90"/>
        <v>0</v>
      </c>
      <c r="M229" s="28">
        <f t="shared" si="90"/>
        <v>0</v>
      </c>
      <c r="N229" s="28">
        <f t="shared" si="90"/>
        <v>0</v>
      </c>
      <c r="O229" s="28">
        <f t="shared" si="90"/>
        <v>0</v>
      </c>
      <c r="P229" s="27" t="s">
        <v>615</v>
      </c>
      <c r="Q229" s="29" t="s">
        <v>35</v>
      </c>
      <c r="R229" s="30" t="s">
        <v>48</v>
      </c>
    </row>
    <row r="230" spans="1:18" ht="46.5" x14ac:dyDescent="0.25">
      <c r="A230" s="25" t="s">
        <v>616</v>
      </c>
      <c r="B230" s="26" t="s">
        <v>617</v>
      </c>
      <c r="C230" s="27"/>
      <c r="D230" s="27"/>
      <c r="E230" s="27"/>
      <c r="F230" s="31">
        <v>0</v>
      </c>
      <c r="G230" s="31">
        <v>0</v>
      </c>
      <c r="H230" s="31">
        <v>0</v>
      </c>
      <c r="I230" s="31">
        <v>0</v>
      </c>
      <c r="J230" s="31">
        <v>0</v>
      </c>
      <c r="K230" s="31">
        <v>0</v>
      </c>
      <c r="L230" s="31">
        <v>0</v>
      </c>
      <c r="M230" s="31">
        <v>0</v>
      </c>
      <c r="N230" s="31">
        <v>0</v>
      </c>
      <c r="O230" s="31">
        <v>0</v>
      </c>
      <c r="P230" s="27"/>
      <c r="Q230" s="29"/>
      <c r="R230" s="30"/>
    </row>
    <row r="231" spans="1:18" ht="46.5" x14ac:dyDescent="0.25">
      <c r="A231" s="25" t="s">
        <v>618</v>
      </c>
      <c r="B231" s="26" t="s">
        <v>619</v>
      </c>
      <c r="C231" s="27" t="s">
        <v>23</v>
      </c>
      <c r="D231" s="27" t="s">
        <v>603</v>
      </c>
      <c r="E231" s="27" t="s">
        <v>40</v>
      </c>
      <c r="F231" s="28">
        <f>SUM(F232:F232)+8000</f>
        <v>8000</v>
      </c>
      <c r="G231" s="28">
        <f>SUM(G232:G232)+8000</f>
        <v>8000</v>
      </c>
      <c r="H231" s="28">
        <f t="shared" ref="H231:O231" si="91">SUM(H232:H232)</f>
        <v>0</v>
      </c>
      <c r="I231" s="28">
        <f t="shared" si="91"/>
        <v>0</v>
      </c>
      <c r="J231" s="28">
        <f t="shared" si="91"/>
        <v>0</v>
      </c>
      <c r="K231" s="28">
        <f t="shared" si="91"/>
        <v>0</v>
      </c>
      <c r="L231" s="28">
        <f t="shared" si="91"/>
        <v>0</v>
      </c>
      <c r="M231" s="28">
        <f t="shared" si="91"/>
        <v>0</v>
      </c>
      <c r="N231" s="28">
        <f t="shared" si="91"/>
        <v>0</v>
      </c>
      <c r="O231" s="28">
        <f t="shared" si="91"/>
        <v>0</v>
      </c>
      <c r="P231" s="27" t="s">
        <v>620</v>
      </c>
      <c r="Q231" s="29" t="s">
        <v>35</v>
      </c>
      <c r="R231" s="30" t="s">
        <v>36</v>
      </c>
    </row>
    <row r="232" spans="1:18" ht="46.5" x14ac:dyDescent="0.25">
      <c r="A232" s="25" t="s">
        <v>621</v>
      </c>
      <c r="B232" s="26" t="s">
        <v>622</v>
      </c>
      <c r="C232" s="27"/>
      <c r="D232" s="27"/>
      <c r="E232" s="27"/>
      <c r="F232" s="31">
        <v>0</v>
      </c>
      <c r="G232" s="31">
        <v>0</v>
      </c>
      <c r="H232" s="31">
        <v>0</v>
      </c>
      <c r="I232" s="31">
        <v>0</v>
      </c>
      <c r="J232" s="31">
        <v>0</v>
      </c>
      <c r="K232" s="31">
        <v>0</v>
      </c>
      <c r="L232" s="31">
        <v>0</v>
      </c>
      <c r="M232" s="31">
        <v>0</v>
      </c>
      <c r="N232" s="31">
        <v>0</v>
      </c>
      <c r="O232" s="31">
        <v>0</v>
      </c>
      <c r="P232" s="27"/>
      <c r="Q232" s="29"/>
      <c r="R232" s="30"/>
    </row>
    <row r="233" spans="1:18" ht="67.5" x14ac:dyDescent="0.25">
      <c r="A233" s="19" t="s">
        <v>623</v>
      </c>
      <c r="B233" s="20" t="s">
        <v>624</v>
      </c>
      <c r="C233" s="21"/>
      <c r="D233" s="21" t="s">
        <v>603</v>
      </c>
      <c r="E233" s="21" t="s">
        <v>33</v>
      </c>
      <c r="F233" s="22">
        <f t="shared" ref="F233:O233" si="92">SUM(F234:F234)</f>
        <v>9000</v>
      </c>
      <c r="G233" s="22">
        <f t="shared" si="92"/>
        <v>9000</v>
      </c>
      <c r="H233" s="22">
        <f t="shared" si="92"/>
        <v>0</v>
      </c>
      <c r="I233" s="22">
        <f t="shared" si="92"/>
        <v>0</v>
      </c>
      <c r="J233" s="22">
        <f t="shared" si="92"/>
        <v>0</v>
      </c>
      <c r="K233" s="22">
        <f t="shared" si="92"/>
        <v>0</v>
      </c>
      <c r="L233" s="22">
        <f t="shared" si="92"/>
        <v>0</v>
      </c>
      <c r="M233" s="22">
        <f t="shared" si="92"/>
        <v>0</v>
      </c>
      <c r="N233" s="22">
        <f t="shared" si="92"/>
        <v>0</v>
      </c>
      <c r="O233" s="22">
        <f t="shared" si="92"/>
        <v>0</v>
      </c>
      <c r="P233" s="21" t="s">
        <v>625</v>
      </c>
      <c r="Q233" s="23" t="s">
        <v>35</v>
      </c>
      <c r="R233" s="24" t="s">
        <v>150</v>
      </c>
    </row>
    <row r="234" spans="1:18" ht="46.5" x14ac:dyDescent="0.25">
      <c r="A234" s="25" t="s">
        <v>626</v>
      </c>
      <c r="B234" s="26" t="s">
        <v>627</v>
      </c>
      <c r="C234" s="27" t="s">
        <v>23</v>
      </c>
      <c r="D234" s="27" t="s">
        <v>603</v>
      </c>
      <c r="E234" s="27" t="s">
        <v>40</v>
      </c>
      <c r="F234" s="28">
        <f>SUM(F235:F235)+9000</f>
        <v>9000</v>
      </c>
      <c r="G234" s="28">
        <f>SUM(G235:G235)+9000</f>
        <v>9000</v>
      </c>
      <c r="H234" s="28">
        <f t="shared" ref="H234:O234" si="93">SUM(H235:H235)</f>
        <v>0</v>
      </c>
      <c r="I234" s="28">
        <f t="shared" si="93"/>
        <v>0</v>
      </c>
      <c r="J234" s="28">
        <f t="shared" si="93"/>
        <v>0</v>
      </c>
      <c r="K234" s="28">
        <f t="shared" si="93"/>
        <v>0</v>
      </c>
      <c r="L234" s="28">
        <f t="shared" si="93"/>
        <v>0</v>
      </c>
      <c r="M234" s="28">
        <f t="shared" si="93"/>
        <v>0</v>
      </c>
      <c r="N234" s="28">
        <f t="shared" si="93"/>
        <v>0</v>
      </c>
      <c r="O234" s="28">
        <f t="shared" si="93"/>
        <v>0</v>
      </c>
      <c r="P234" s="27" t="s">
        <v>628</v>
      </c>
      <c r="Q234" s="29" t="s">
        <v>35</v>
      </c>
      <c r="R234" s="30" t="s">
        <v>150</v>
      </c>
    </row>
    <row r="235" spans="1:18" x14ac:dyDescent="0.25">
      <c r="A235" s="25" t="s">
        <v>629</v>
      </c>
      <c r="B235" s="26" t="s">
        <v>630</v>
      </c>
      <c r="C235" s="27"/>
      <c r="D235" s="27"/>
      <c r="E235" s="27"/>
      <c r="F235" s="31">
        <v>0</v>
      </c>
      <c r="G235" s="31">
        <v>0</v>
      </c>
      <c r="H235" s="31">
        <v>0</v>
      </c>
      <c r="I235" s="31">
        <v>0</v>
      </c>
      <c r="J235" s="31">
        <v>0</v>
      </c>
      <c r="K235" s="31">
        <v>0</v>
      </c>
      <c r="L235" s="31">
        <v>0</v>
      </c>
      <c r="M235" s="31">
        <v>0</v>
      </c>
      <c r="N235" s="31">
        <v>0</v>
      </c>
      <c r="O235" s="31">
        <v>0</v>
      </c>
      <c r="P235" s="27"/>
      <c r="Q235" s="29"/>
      <c r="R235" s="30"/>
    </row>
    <row r="236" spans="1:18" ht="67.5" x14ac:dyDescent="0.25">
      <c r="A236" s="13" t="s">
        <v>631</v>
      </c>
      <c r="B236" s="14" t="s">
        <v>632</v>
      </c>
      <c r="C236" s="15" t="s">
        <v>633</v>
      </c>
      <c r="D236" s="15" t="s">
        <v>634</v>
      </c>
      <c r="E236" s="15"/>
      <c r="F236" s="16">
        <f t="shared" ref="F236:O237" si="94">SUM(F237:F237)</f>
        <v>35000</v>
      </c>
      <c r="G236" s="16">
        <f t="shared" si="94"/>
        <v>35000</v>
      </c>
      <c r="H236" s="16">
        <f t="shared" si="94"/>
        <v>0</v>
      </c>
      <c r="I236" s="16">
        <f t="shared" si="94"/>
        <v>0</v>
      </c>
      <c r="J236" s="16">
        <f t="shared" si="94"/>
        <v>0</v>
      </c>
      <c r="K236" s="16">
        <f t="shared" si="94"/>
        <v>0</v>
      </c>
      <c r="L236" s="16">
        <f t="shared" si="94"/>
        <v>0</v>
      </c>
      <c r="M236" s="16">
        <f t="shared" si="94"/>
        <v>0</v>
      </c>
      <c r="N236" s="16">
        <f t="shared" si="94"/>
        <v>0</v>
      </c>
      <c r="O236" s="16">
        <f t="shared" si="94"/>
        <v>0</v>
      </c>
      <c r="P236" s="15" t="s">
        <v>635</v>
      </c>
      <c r="Q236" s="17" t="s">
        <v>29</v>
      </c>
      <c r="R236" s="18" t="s">
        <v>86</v>
      </c>
    </row>
    <row r="237" spans="1:18" ht="45" x14ac:dyDescent="0.25">
      <c r="A237" s="19" t="s">
        <v>636</v>
      </c>
      <c r="B237" s="20" t="s">
        <v>637</v>
      </c>
      <c r="C237" s="21" t="s">
        <v>633</v>
      </c>
      <c r="D237" s="21" t="s">
        <v>634</v>
      </c>
      <c r="E237" s="21" t="s">
        <v>33</v>
      </c>
      <c r="F237" s="22">
        <f t="shared" si="94"/>
        <v>35000</v>
      </c>
      <c r="G237" s="22">
        <f t="shared" si="94"/>
        <v>35000</v>
      </c>
      <c r="H237" s="22">
        <f t="shared" si="94"/>
        <v>0</v>
      </c>
      <c r="I237" s="22">
        <f t="shared" si="94"/>
        <v>0</v>
      </c>
      <c r="J237" s="22">
        <f t="shared" si="94"/>
        <v>0</v>
      </c>
      <c r="K237" s="22">
        <f t="shared" si="94"/>
        <v>0</v>
      </c>
      <c r="L237" s="22">
        <f t="shared" si="94"/>
        <v>0</v>
      </c>
      <c r="M237" s="22">
        <f t="shared" si="94"/>
        <v>0</v>
      </c>
      <c r="N237" s="22">
        <f t="shared" si="94"/>
        <v>0</v>
      </c>
      <c r="O237" s="22">
        <f t="shared" si="94"/>
        <v>0</v>
      </c>
      <c r="P237" s="21" t="s">
        <v>638</v>
      </c>
      <c r="Q237" s="23" t="s">
        <v>35</v>
      </c>
      <c r="R237" s="24" t="s">
        <v>144</v>
      </c>
    </row>
    <row r="238" spans="1:18" ht="46.5" x14ac:dyDescent="0.25">
      <c r="A238" s="25" t="s">
        <v>639</v>
      </c>
      <c r="B238" s="26" t="s">
        <v>640</v>
      </c>
      <c r="C238" s="27" t="s">
        <v>633</v>
      </c>
      <c r="D238" s="27" t="s">
        <v>634</v>
      </c>
      <c r="E238" s="27" t="s">
        <v>40</v>
      </c>
      <c r="F238" s="28">
        <f>SUM(F239:F245)+35000</f>
        <v>35000</v>
      </c>
      <c r="G238" s="28">
        <f>SUM(G239:G245)+35000</f>
        <v>35000</v>
      </c>
      <c r="H238" s="28">
        <f t="shared" ref="H238:O238" si="95">SUM(H239:H245)</f>
        <v>0</v>
      </c>
      <c r="I238" s="28">
        <f t="shared" si="95"/>
        <v>0</v>
      </c>
      <c r="J238" s="28">
        <f t="shared" si="95"/>
        <v>0</v>
      </c>
      <c r="K238" s="28">
        <f t="shared" si="95"/>
        <v>0</v>
      </c>
      <c r="L238" s="28">
        <f t="shared" si="95"/>
        <v>0</v>
      </c>
      <c r="M238" s="28">
        <f t="shared" si="95"/>
        <v>0</v>
      </c>
      <c r="N238" s="28">
        <f t="shared" si="95"/>
        <v>0</v>
      </c>
      <c r="O238" s="28">
        <f t="shared" si="95"/>
        <v>0</v>
      </c>
      <c r="P238" s="27" t="s">
        <v>641</v>
      </c>
      <c r="Q238" s="29" t="s">
        <v>35</v>
      </c>
      <c r="R238" s="30" t="s">
        <v>150</v>
      </c>
    </row>
    <row r="239" spans="1:18" ht="46.5" x14ac:dyDescent="0.25">
      <c r="A239" s="32"/>
      <c r="B239" s="33"/>
      <c r="C239" s="34"/>
      <c r="D239" s="34"/>
      <c r="E239" s="34"/>
      <c r="F239" s="35">
        <v>0</v>
      </c>
      <c r="G239" s="35">
        <v>0</v>
      </c>
      <c r="H239" s="35">
        <v>0</v>
      </c>
      <c r="I239" s="35">
        <v>0</v>
      </c>
      <c r="J239" s="35">
        <v>0</v>
      </c>
      <c r="K239" s="35">
        <v>0</v>
      </c>
      <c r="L239" s="35">
        <v>0</v>
      </c>
      <c r="M239" s="35">
        <v>0</v>
      </c>
      <c r="N239" s="35">
        <v>0</v>
      </c>
      <c r="O239" s="35">
        <v>0</v>
      </c>
      <c r="P239" s="34" t="s">
        <v>642</v>
      </c>
      <c r="Q239" s="36" t="s">
        <v>35</v>
      </c>
      <c r="R239" s="37" t="s">
        <v>88</v>
      </c>
    </row>
    <row r="240" spans="1:18" ht="46.5" x14ac:dyDescent="0.25">
      <c r="A240" s="32"/>
      <c r="B240" s="33"/>
      <c r="C240" s="34"/>
      <c r="D240" s="34"/>
      <c r="E240" s="34"/>
      <c r="F240" s="35">
        <v>0</v>
      </c>
      <c r="G240" s="35">
        <v>0</v>
      </c>
      <c r="H240" s="35">
        <v>0</v>
      </c>
      <c r="I240" s="35">
        <v>0</v>
      </c>
      <c r="J240" s="35">
        <v>0</v>
      </c>
      <c r="K240" s="35">
        <v>0</v>
      </c>
      <c r="L240" s="35">
        <v>0</v>
      </c>
      <c r="M240" s="35">
        <v>0</v>
      </c>
      <c r="N240" s="35">
        <v>0</v>
      </c>
      <c r="O240" s="35">
        <v>0</v>
      </c>
      <c r="P240" s="34" t="s">
        <v>643</v>
      </c>
      <c r="Q240" s="36" t="s">
        <v>35</v>
      </c>
      <c r="R240" s="37" t="s">
        <v>36</v>
      </c>
    </row>
    <row r="241" spans="1:18" ht="46.5" x14ac:dyDescent="0.25">
      <c r="A241" s="32"/>
      <c r="B241" s="33"/>
      <c r="C241" s="34"/>
      <c r="D241" s="34"/>
      <c r="E241" s="34"/>
      <c r="F241" s="35">
        <v>0</v>
      </c>
      <c r="G241" s="35">
        <v>0</v>
      </c>
      <c r="H241" s="35">
        <v>0</v>
      </c>
      <c r="I241" s="35">
        <v>0</v>
      </c>
      <c r="J241" s="35">
        <v>0</v>
      </c>
      <c r="K241" s="35">
        <v>0</v>
      </c>
      <c r="L241" s="35">
        <v>0</v>
      </c>
      <c r="M241" s="35">
        <v>0</v>
      </c>
      <c r="N241" s="35">
        <v>0</v>
      </c>
      <c r="O241" s="35">
        <v>0</v>
      </c>
      <c r="P241" s="34" t="s">
        <v>644</v>
      </c>
      <c r="Q241" s="36" t="s">
        <v>35</v>
      </c>
      <c r="R241" s="37" t="s">
        <v>36</v>
      </c>
    </row>
    <row r="242" spans="1:18" ht="46.5" x14ac:dyDescent="0.25">
      <c r="A242" s="25" t="s">
        <v>645</v>
      </c>
      <c r="B242" s="26" t="s">
        <v>646</v>
      </c>
      <c r="C242" s="27"/>
      <c r="D242" s="27"/>
      <c r="E242" s="27"/>
      <c r="F242" s="31">
        <v>0</v>
      </c>
      <c r="G242" s="31">
        <v>0</v>
      </c>
      <c r="H242" s="31">
        <v>0</v>
      </c>
      <c r="I242" s="31">
        <v>0</v>
      </c>
      <c r="J242" s="31">
        <v>0</v>
      </c>
      <c r="K242" s="31">
        <v>0</v>
      </c>
      <c r="L242" s="31">
        <v>0</v>
      </c>
      <c r="M242" s="31">
        <v>0</v>
      </c>
      <c r="N242" s="31">
        <v>0</v>
      </c>
      <c r="O242" s="31">
        <v>0</v>
      </c>
      <c r="P242" s="27"/>
      <c r="Q242" s="29"/>
      <c r="R242" s="30"/>
    </row>
    <row r="243" spans="1:18" ht="46.5" x14ac:dyDescent="0.25">
      <c r="A243" s="25" t="s">
        <v>647</v>
      </c>
      <c r="B243" s="26" t="s">
        <v>648</v>
      </c>
      <c r="C243" s="27"/>
      <c r="D243" s="27"/>
      <c r="E243" s="27"/>
      <c r="F243" s="31">
        <v>0</v>
      </c>
      <c r="G243" s="31">
        <v>0</v>
      </c>
      <c r="H243" s="31">
        <v>0</v>
      </c>
      <c r="I243" s="31">
        <v>0</v>
      </c>
      <c r="J243" s="31">
        <v>0</v>
      </c>
      <c r="K243" s="31">
        <v>0</v>
      </c>
      <c r="L243" s="31">
        <v>0</v>
      </c>
      <c r="M243" s="31">
        <v>0</v>
      </c>
      <c r="N243" s="31">
        <v>0</v>
      </c>
      <c r="O243" s="31">
        <v>0</v>
      </c>
      <c r="P243" s="27"/>
      <c r="Q243" s="29"/>
      <c r="R243" s="30"/>
    </row>
    <row r="244" spans="1:18" ht="69.75" x14ac:dyDescent="0.25">
      <c r="A244" s="25" t="s">
        <v>649</v>
      </c>
      <c r="B244" s="26" t="s">
        <v>650</v>
      </c>
      <c r="C244" s="27"/>
      <c r="D244" s="27"/>
      <c r="E244" s="27"/>
      <c r="F244" s="31">
        <v>0</v>
      </c>
      <c r="G244" s="31">
        <v>0</v>
      </c>
      <c r="H244" s="31">
        <v>0</v>
      </c>
      <c r="I244" s="31">
        <v>0</v>
      </c>
      <c r="J244" s="31">
        <v>0</v>
      </c>
      <c r="K244" s="31">
        <v>0</v>
      </c>
      <c r="L244" s="31">
        <v>0</v>
      </c>
      <c r="M244" s="31">
        <v>0</v>
      </c>
      <c r="N244" s="31">
        <v>0</v>
      </c>
      <c r="O244" s="31">
        <v>0</v>
      </c>
      <c r="P244" s="27"/>
      <c r="Q244" s="29"/>
      <c r="R244" s="30"/>
    </row>
    <row r="245" spans="1:18" ht="46.5" x14ac:dyDescent="0.25">
      <c r="A245" s="25" t="s">
        <v>651</v>
      </c>
      <c r="B245" s="26" t="s">
        <v>652</v>
      </c>
      <c r="C245" s="27"/>
      <c r="D245" s="27"/>
      <c r="E245" s="27"/>
      <c r="F245" s="31">
        <v>0</v>
      </c>
      <c r="G245" s="31">
        <v>0</v>
      </c>
      <c r="H245" s="31">
        <v>0</v>
      </c>
      <c r="I245" s="31">
        <v>0</v>
      </c>
      <c r="J245" s="31">
        <v>0</v>
      </c>
      <c r="K245" s="31">
        <v>0</v>
      </c>
      <c r="L245" s="31">
        <v>0</v>
      </c>
      <c r="M245" s="31">
        <v>0</v>
      </c>
      <c r="N245" s="31">
        <v>0</v>
      </c>
      <c r="O245" s="31">
        <v>0</v>
      </c>
      <c r="P245" s="27"/>
      <c r="Q245" s="29"/>
      <c r="R245" s="30"/>
    </row>
    <row r="246" spans="1:18" ht="90" x14ac:dyDescent="0.25">
      <c r="A246" s="13" t="s">
        <v>653</v>
      </c>
      <c r="B246" s="14" t="s">
        <v>654</v>
      </c>
      <c r="C246" s="15" t="s">
        <v>633</v>
      </c>
      <c r="D246" s="15" t="s">
        <v>634</v>
      </c>
      <c r="E246" s="15"/>
      <c r="F246" s="16">
        <f t="shared" ref="F246:O246" si="96">SUM(F247:F247)</f>
        <v>15000</v>
      </c>
      <c r="G246" s="16">
        <f t="shared" si="96"/>
        <v>15000</v>
      </c>
      <c r="H246" s="16">
        <f t="shared" si="96"/>
        <v>0</v>
      </c>
      <c r="I246" s="16">
        <f t="shared" si="96"/>
        <v>0</v>
      </c>
      <c r="J246" s="16">
        <f t="shared" si="96"/>
        <v>0</v>
      </c>
      <c r="K246" s="16">
        <f t="shared" si="96"/>
        <v>0</v>
      </c>
      <c r="L246" s="16">
        <f t="shared" si="96"/>
        <v>0</v>
      </c>
      <c r="M246" s="16">
        <f t="shared" si="96"/>
        <v>0</v>
      </c>
      <c r="N246" s="16">
        <f t="shared" si="96"/>
        <v>0</v>
      </c>
      <c r="O246" s="16">
        <f t="shared" si="96"/>
        <v>0</v>
      </c>
      <c r="P246" s="15" t="s">
        <v>604</v>
      </c>
      <c r="Q246" s="17" t="s">
        <v>29</v>
      </c>
      <c r="R246" s="18" t="s">
        <v>135</v>
      </c>
    </row>
    <row r="247" spans="1:18" ht="67.5" x14ac:dyDescent="0.25">
      <c r="A247" s="19" t="s">
        <v>655</v>
      </c>
      <c r="B247" s="20" t="s">
        <v>656</v>
      </c>
      <c r="C247" s="21" t="s">
        <v>633</v>
      </c>
      <c r="D247" s="21" t="s">
        <v>634</v>
      </c>
      <c r="E247" s="21" t="s">
        <v>33</v>
      </c>
      <c r="F247" s="22">
        <f t="shared" ref="F247:O247" si="97">SUM(F248:F250)</f>
        <v>15000</v>
      </c>
      <c r="G247" s="22">
        <f t="shared" si="97"/>
        <v>15000</v>
      </c>
      <c r="H247" s="22">
        <f t="shared" si="97"/>
        <v>0</v>
      </c>
      <c r="I247" s="22">
        <f t="shared" si="97"/>
        <v>0</v>
      </c>
      <c r="J247" s="22">
        <f t="shared" si="97"/>
        <v>0</v>
      </c>
      <c r="K247" s="22">
        <f t="shared" si="97"/>
        <v>0</v>
      </c>
      <c r="L247" s="22">
        <f t="shared" si="97"/>
        <v>0</v>
      </c>
      <c r="M247" s="22">
        <f t="shared" si="97"/>
        <v>0</v>
      </c>
      <c r="N247" s="22">
        <f t="shared" si="97"/>
        <v>0</v>
      </c>
      <c r="O247" s="22">
        <f t="shared" si="97"/>
        <v>0</v>
      </c>
      <c r="P247" s="21" t="s">
        <v>657</v>
      </c>
      <c r="Q247" s="23" t="s">
        <v>29</v>
      </c>
      <c r="R247" s="24" t="s">
        <v>150</v>
      </c>
    </row>
    <row r="248" spans="1:18" ht="46.5" x14ac:dyDescent="0.25">
      <c r="A248" s="32"/>
      <c r="B248" s="33"/>
      <c r="C248" s="34"/>
      <c r="D248" s="34"/>
      <c r="E248" s="34"/>
      <c r="F248" s="35">
        <v>0</v>
      </c>
      <c r="G248" s="35">
        <v>0</v>
      </c>
      <c r="H248" s="35">
        <v>0</v>
      </c>
      <c r="I248" s="35">
        <v>0</v>
      </c>
      <c r="J248" s="35">
        <v>0</v>
      </c>
      <c r="K248" s="35">
        <v>0</v>
      </c>
      <c r="L248" s="35">
        <v>0</v>
      </c>
      <c r="M248" s="35">
        <v>0</v>
      </c>
      <c r="N248" s="35">
        <v>0</v>
      </c>
      <c r="O248" s="35">
        <v>0</v>
      </c>
      <c r="P248" s="34" t="s">
        <v>658</v>
      </c>
      <c r="Q248" s="36" t="s">
        <v>35</v>
      </c>
      <c r="R248" s="37" t="s">
        <v>48</v>
      </c>
    </row>
    <row r="249" spans="1:18" ht="46.5" x14ac:dyDescent="0.25">
      <c r="A249" s="32"/>
      <c r="B249" s="33"/>
      <c r="C249" s="34"/>
      <c r="D249" s="34"/>
      <c r="E249" s="34"/>
      <c r="F249" s="35">
        <v>0</v>
      </c>
      <c r="G249" s="35">
        <v>0</v>
      </c>
      <c r="H249" s="35">
        <v>0</v>
      </c>
      <c r="I249" s="35">
        <v>0</v>
      </c>
      <c r="J249" s="35">
        <v>0</v>
      </c>
      <c r="K249" s="35">
        <v>0</v>
      </c>
      <c r="L249" s="35">
        <v>0</v>
      </c>
      <c r="M249" s="35">
        <v>0</v>
      </c>
      <c r="N249" s="35">
        <v>0</v>
      </c>
      <c r="O249" s="35">
        <v>0</v>
      </c>
      <c r="P249" s="34" t="s">
        <v>659</v>
      </c>
      <c r="Q249" s="36" t="s">
        <v>35</v>
      </c>
      <c r="R249" s="37" t="s">
        <v>68</v>
      </c>
    </row>
    <row r="250" spans="1:18" ht="69.75" x14ac:dyDescent="0.25">
      <c r="A250" s="25" t="s">
        <v>660</v>
      </c>
      <c r="B250" s="26" t="s">
        <v>661</v>
      </c>
      <c r="C250" s="27" t="s">
        <v>633</v>
      </c>
      <c r="D250" s="27" t="s">
        <v>634</v>
      </c>
      <c r="E250" s="27" t="s">
        <v>40</v>
      </c>
      <c r="F250" s="28">
        <f>SUM(F251:F257)+15000</f>
        <v>15000</v>
      </c>
      <c r="G250" s="28">
        <f>SUM(G251:G257)+15000</f>
        <v>15000</v>
      </c>
      <c r="H250" s="28">
        <f t="shared" ref="H250:O250" si="98">SUM(H251:H257)</f>
        <v>0</v>
      </c>
      <c r="I250" s="28">
        <f t="shared" si="98"/>
        <v>0</v>
      </c>
      <c r="J250" s="28">
        <f t="shared" si="98"/>
        <v>0</v>
      </c>
      <c r="K250" s="28">
        <f t="shared" si="98"/>
        <v>0</v>
      </c>
      <c r="L250" s="28">
        <f t="shared" si="98"/>
        <v>0</v>
      </c>
      <c r="M250" s="28">
        <f t="shared" si="98"/>
        <v>0</v>
      </c>
      <c r="N250" s="28">
        <f t="shared" si="98"/>
        <v>0</v>
      </c>
      <c r="O250" s="28">
        <f t="shared" si="98"/>
        <v>0</v>
      </c>
      <c r="P250" s="27" t="s">
        <v>662</v>
      </c>
      <c r="Q250" s="29" t="s">
        <v>35</v>
      </c>
      <c r="R250" s="30" t="s">
        <v>663</v>
      </c>
    </row>
    <row r="251" spans="1:18" x14ac:dyDescent="0.25">
      <c r="A251" s="32"/>
      <c r="B251" s="33"/>
      <c r="C251" s="34"/>
      <c r="D251" s="34"/>
      <c r="E251" s="34"/>
      <c r="F251" s="35">
        <v>0</v>
      </c>
      <c r="G251" s="35">
        <v>0</v>
      </c>
      <c r="H251" s="35">
        <v>0</v>
      </c>
      <c r="I251" s="35">
        <v>0</v>
      </c>
      <c r="J251" s="35">
        <v>0</v>
      </c>
      <c r="K251" s="35">
        <v>0</v>
      </c>
      <c r="L251" s="35">
        <v>0</v>
      </c>
      <c r="M251" s="35">
        <v>0</v>
      </c>
      <c r="N251" s="35">
        <v>0</v>
      </c>
      <c r="O251" s="35">
        <v>0</v>
      </c>
      <c r="P251" s="34" t="s">
        <v>664</v>
      </c>
      <c r="Q251" s="36" t="s">
        <v>35</v>
      </c>
      <c r="R251" s="37" t="s">
        <v>144</v>
      </c>
    </row>
    <row r="252" spans="1:18" x14ac:dyDescent="0.25">
      <c r="A252" s="32"/>
      <c r="B252" s="33"/>
      <c r="C252" s="34"/>
      <c r="D252" s="34"/>
      <c r="E252" s="34"/>
      <c r="F252" s="35">
        <v>0</v>
      </c>
      <c r="G252" s="35">
        <v>0</v>
      </c>
      <c r="H252" s="35">
        <v>0</v>
      </c>
      <c r="I252" s="35">
        <v>0</v>
      </c>
      <c r="J252" s="35">
        <v>0</v>
      </c>
      <c r="K252" s="35">
        <v>0</v>
      </c>
      <c r="L252" s="35">
        <v>0</v>
      </c>
      <c r="M252" s="35">
        <v>0</v>
      </c>
      <c r="N252" s="35">
        <v>0</v>
      </c>
      <c r="O252" s="35">
        <v>0</v>
      </c>
      <c r="P252" s="34" t="s">
        <v>665</v>
      </c>
      <c r="Q252" s="36" t="s">
        <v>35</v>
      </c>
      <c r="R252" s="37" t="s">
        <v>144</v>
      </c>
    </row>
    <row r="253" spans="1:18" ht="46.5" x14ac:dyDescent="0.25">
      <c r="A253" s="32"/>
      <c r="B253" s="33"/>
      <c r="C253" s="34"/>
      <c r="D253" s="34"/>
      <c r="E253" s="34"/>
      <c r="F253" s="35">
        <v>0</v>
      </c>
      <c r="G253" s="35">
        <v>0</v>
      </c>
      <c r="H253" s="35">
        <v>0</v>
      </c>
      <c r="I253" s="35">
        <v>0</v>
      </c>
      <c r="J253" s="35">
        <v>0</v>
      </c>
      <c r="K253" s="35">
        <v>0</v>
      </c>
      <c r="L253" s="35">
        <v>0</v>
      </c>
      <c r="M253" s="35">
        <v>0</v>
      </c>
      <c r="N253" s="35">
        <v>0</v>
      </c>
      <c r="O253" s="35">
        <v>0</v>
      </c>
      <c r="P253" s="34" t="s">
        <v>666</v>
      </c>
      <c r="Q253" s="36" t="s">
        <v>35</v>
      </c>
      <c r="R253" s="37" t="s">
        <v>376</v>
      </c>
    </row>
    <row r="254" spans="1:18" x14ac:dyDescent="0.25">
      <c r="A254" s="32"/>
      <c r="B254" s="33"/>
      <c r="C254" s="34"/>
      <c r="D254" s="34"/>
      <c r="E254" s="34"/>
      <c r="F254" s="35">
        <v>0</v>
      </c>
      <c r="G254" s="35">
        <v>0</v>
      </c>
      <c r="H254" s="35">
        <v>0</v>
      </c>
      <c r="I254" s="35">
        <v>0</v>
      </c>
      <c r="J254" s="35">
        <v>0</v>
      </c>
      <c r="K254" s="35">
        <v>0</v>
      </c>
      <c r="L254" s="35">
        <v>0</v>
      </c>
      <c r="M254" s="35">
        <v>0</v>
      </c>
      <c r="N254" s="35">
        <v>0</v>
      </c>
      <c r="O254" s="35">
        <v>0</v>
      </c>
      <c r="P254" s="34" t="s">
        <v>667</v>
      </c>
      <c r="Q254" s="36" t="s">
        <v>35</v>
      </c>
      <c r="R254" s="37" t="s">
        <v>88</v>
      </c>
    </row>
    <row r="255" spans="1:18" ht="93" x14ac:dyDescent="0.25">
      <c r="A255" s="25" t="s">
        <v>668</v>
      </c>
      <c r="B255" s="26" t="s">
        <v>669</v>
      </c>
      <c r="C255" s="27"/>
      <c r="D255" s="27"/>
      <c r="E255" s="27"/>
      <c r="F255" s="31">
        <v>0</v>
      </c>
      <c r="G255" s="31">
        <v>0</v>
      </c>
      <c r="H255" s="31">
        <v>0</v>
      </c>
      <c r="I255" s="31">
        <v>0</v>
      </c>
      <c r="J255" s="31">
        <v>0</v>
      </c>
      <c r="K255" s="31">
        <v>0</v>
      </c>
      <c r="L255" s="31">
        <v>0</v>
      </c>
      <c r="M255" s="31">
        <v>0</v>
      </c>
      <c r="N255" s="31">
        <v>0</v>
      </c>
      <c r="O255" s="31">
        <v>0</v>
      </c>
      <c r="P255" s="27"/>
      <c r="Q255" s="29"/>
      <c r="R255" s="30"/>
    </row>
    <row r="256" spans="1:18" ht="69.75" x14ac:dyDescent="0.25">
      <c r="A256" s="25" t="s">
        <v>670</v>
      </c>
      <c r="B256" s="26" t="s">
        <v>671</v>
      </c>
      <c r="C256" s="27"/>
      <c r="D256" s="27"/>
      <c r="E256" s="27"/>
      <c r="F256" s="31">
        <v>0</v>
      </c>
      <c r="G256" s="31">
        <v>0</v>
      </c>
      <c r="H256" s="31">
        <v>0</v>
      </c>
      <c r="I256" s="31">
        <v>0</v>
      </c>
      <c r="J256" s="31">
        <v>0</v>
      </c>
      <c r="K256" s="31">
        <v>0</v>
      </c>
      <c r="L256" s="31">
        <v>0</v>
      </c>
      <c r="M256" s="31">
        <v>0</v>
      </c>
      <c r="N256" s="31">
        <v>0</v>
      </c>
      <c r="O256" s="31">
        <v>0</v>
      </c>
      <c r="P256" s="27"/>
      <c r="Q256" s="29"/>
      <c r="R256" s="30"/>
    </row>
    <row r="257" spans="1:18" ht="46.5" x14ac:dyDescent="0.25">
      <c r="A257" s="25" t="s">
        <v>672</v>
      </c>
      <c r="B257" s="26" t="s">
        <v>673</v>
      </c>
      <c r="C257" s="27"/>
      <c r="D257" s="27"/>
      <c r="E257" s="27"/>
      <c r="F257" s="31">
        <v>0</v>
      </c>
      <c r="G257" s="31">
        <v>0</v>
      </c>
      <c r="H257" s="31">
        <v>0</v>
      </c>
      <c r="I257" s="31">
        <v>0</v>
      </c>
      <c r="J257" s="31">
        <v>0</v>
      </c>
      <c r="K257" s="31">
        <v>0</v>
      </c>
      <c r="L257" s="31">
        <v>0</v>
      </c>
      <c r="M257" s="31">
        <v>0</v>
      </c>
      <c r="N257" s="31">
        <v>0</v>
      </c>
      <c r="O257" s="31">
        <v>0</v>
      </c>
      <c r="P257" s="27"/>
      <c r="Q257" s="29"/>
      <c r="R257" s="30"/>
    </row>
    <row r="258" spans="1:18" x14ac:dyDescent="0.25">
      <c r="A258" s="7" t="s">
        <v>674</v>
      </c>
      <c r="B258" s="8" t="s">
        <v>675</v>
      </c>
      <c r="C258" s="9"/>
      <c r="D258" s="9" t="s">
        <v>676</v>
      </c>
      <c r="E258" s="9"/>
      <c r="F258" s="10">
        <f t="shared" ref="F258:O258" si="99">F259+F340</f>
        <v>6277645.04</v>
      </c>
      <c r="G258" s="10">
        <f t="shared" si="99"/>
        <v>5768620.4299999997</v>
      </c>
      <c r="H258" s="10">
        <f t="shared" si="99"/>
        <v>11360.609999999999</v>
      </c>
      <c r="I258" s="10">
        <f t="shared" si="99"/>
        <v>0</v>
      </c>
      <c r="J258" s="10">
        <f t="shared" si="99"/>
        <v>474664</v>
      </c>
      <c r="K258" s="10">
        <f t="shared" si="99"/>
        <v>0</v>
      </c>
      <c r="L258" s="10">
        <f t="shared" si="99"/>
        <v>0</v>
      </c>
      <c r="M258" s="10">
        <f t="shared" si="99"/>
        <v>13000</v>
      </c>
      <c r="N258" s="10">
        <f t="shared" si="99"/>
        <v>0</v>
      </c>
      <c r="O258" s="10">
        <f t="shared" si="99"/>
        <v>0</v>
      </c>
      <c r="P258" s="9"/>
      <c r="Q258" s="11"/>
      <c r="R258" s="12"/>
    </row>
    <row r="259" spans="1:18" ht="90" x14ac:dyDescent="0.25">
      <c r="A259" s="13" t="s">
        <v>677</v>
      </c>
      <c r="B259" s="14" t="s">
        <v>678</v>
      </c>
      <c r="C259" s="15" t="s">
        <v>679</v>
      </c>
      <c r="D259" s="15" t="s">
        <v>676</v>
      </c>
      <c r="E259" s="15"/>
      <c r="F259" s="16">
        <f t="shared" ref="F259:O259" si="100">F260+F306+F309+F316+F319+F330+F335</f>
        <v>6277375.04</v>
      </c>
      <c r="G259" s="16">
        <f t="shared" si="100"/>
        <v>5768350.4299999997</v>
      </c>
      <c r="H259" s="16">
        <f t="shared" si="100"/>
        <v>11360.609999999999</v>
      </c>
      <c r="I259" s="16">
        <f t="shared" si="100"/>
        <v>0</v>
      </c>
      <c r="J259" s="16">
        <f t="shared" si="100"/>
        <v>474664</v>
      </c>
      <c r="K259" s="16">
        <f t="shared" si="100"/>
        <v>0</v>
      </c>
      <c r="L259" s="16">
        <f t="shared" si="100"/>
        <v>0</v>
      </c>
      <c r="M259" s="16">
        <f t="shared" si="100"/>
        <v>13000</v>
      </c>
      <c r="N259" s="16">
        <f t="shared" si="100"/>
        <v>0</v>
      </c>
      <c r="O259" s="16">
        <f t="shared" si="100"/>
        <v>0</v>
      </c>
      <c r="P259" s="15" t="s">
        <v>680</v>
      </c>
      <c r="Q259" s="17" t="s">
        <v>29</v>
      </c>
      <c r="R259" s="18" t="s">
        <v>250</v>
      </c>
    </row>
    <row r="260" spans="1:18" ht="90" x14ac:dyDescent="0.25">
      <c r="A260" s="19" t="s">
        <v>681</v>
      </c>
      <c r="B260" s="20" t="s">
        <v>682</v>
      </c>
      <c r="C260" s="21"/>
      <c r="D260" s="21" t="s">
        <v>676</v>
      </c>
      <c r="E260" s="21" t="s">
        <v>33</v>
      </c>
      <c r="F260" s="22">
        <f t="shared" ref="F260:O260" si="101">F261+F263+F265+F267+F269+F271+F276+F279+F281+F283+F285+F287+F289+F291+F293+F295+F298+F300+F302+F304</f>
        <v>5118374.6100000003</v>
      </c>
      <c r="G260" s="22">
        <f t="shared" si="101"/>
        <v>4622350</v>
      </c>
      <c r="H260" s="22">
        <f t="shared" si="101"/>
        <v>11360.609999999999</v>
      </c>
      <c r="I260" s="22">
        <f t="shared" si="101"/>
        <v>0</v>
      </c>
      <c r="J260" s="22">
        <f t="shared" si="101"/>
        <v>474664</v>
      </c>
      <c r="K260" s="22">
        <f t="shared" si="101"/>
        <v>0</v>
      </c>
      <c r="L260" s="22">
        <f t="shared" si="101"/>
        <v>0</v>
      </c>
      <c r="M260" s="22">
        <f t="shared" si="101"/>
        <v>0</v>
      </c>
      <c r="N260" s="22">
        <f t="shared" si="101"/>
        <v>0</v>
      </c>
      <c r="O260" s="22">
        <f t="shared" si="101"/>
        <v>0</v>
      </c>
      <c r="P260" s="21" t="s">
        <v>683</v>
      </c>
      <c r="Q260" s="23" t="s">
        <v>35</v>
      </c>
      <c r="R260" s="24" t="s">
        <v>684</v>
      </c>
    </row>
    <row r="261" spans="1:18" ht="46.5" x14ac:dyDescent="0.25">
      <c r="A261" s="25" t="s">
        <v>685</v>
      </c>
      <c r="B261" s="26" t="s">
        <v>686</v>
      </c>
      <c r="C261" s="27" t="s">
        <v>679</v>
      </c>
      <c r="D261" s="27" t="s">
        <v>676</v>
      </c>
      <c r="E261" s="27" t="s">
        <v>40</v>
      </c>
      <c r="F261" s="28">
        <f>SUM(F262:F262)+455020</f>
        <v>455020</v>
      </c>
      <c r="G261" s="28">
        <f>SUM(G262:G262)+445020</f>
        <v>445020</v>
      </c>
      <c r="H261" s="28">
        <f t="shared" ref="H261:O261" si="102">SUM(H262:H262)</f>
        <v>0</v>
      </c>
      <c r="I261" s="28">
        <f t="shared" si="102"/>
        <v>0</v>
      </c>
      <c r="J261" s="28">
        <f t="shared" si="102"/>
        <v>0</v>
      </c>
      <c r="K261" s="28">
        <f t="shared" si="102"/>
        <v>0</v>
      </c>
      <c r="L261" s="28">
        <f t="shared" si="102"/>
        <v>0</v>
      </c>
      <c r="M261" s="28">
        <f t="shared" si="102"/>
        <v>0</v>
      </c>
      <c r="N261" s="28">
        <f t="shared" si="102"/>
        <v>0</v>
      </c>
      <c r="O261" s="28">
        <f t="shared" si="102"/>
        <v>0</v>
      </c>
      <c r="P261" s="27" t="s">
        <v>687</v>
      </c>
      <c r="Q261" s="29" t="s">
        <v>35</v>
      </c>
      <c r="R261" s="30" t="s">
        <v>144</v>
      </c>
    </row>
    <row r="262" spans="1:18" ht="116.25" x14ac:dyDescent="0.25">
      <c r="A262" s="25" t="s">
        <v>688</v>
      </c>
      <c r="B262" s="26" t="s">
        <v>689</v>
      </c>
      <c r="C262" s="27"/>
      <c r="D262" s="27"/>
      <c r="E262" s="27"/>
      <c r="F262" s="31">
        <v>0</v>
      </c>
      <c r="G262" s="31">
        <v>0</v>
      </c>
      <c r="H262" s="31">
        <v>0</v>
      </c>
      <c r="I262" s="31">
        <v>0</v>
      </c>
      <c r="J262" s="31">
        <v>0</v>
      </c>
      <c r="K262" s="31">
        <v>0</v>
      </c>
      <c r="L262" s="31">
        <v>0</v>
      </c>
      <c r="M262" s="31">
        <v>0</v>
      </c>
      <c r="N262" s="31">
        <v>0</v>
      </c>
      <c r="O262" s="31">
        <v>0</v>
      </c>
      <c r="P262" s="27"/>
      <c r="Q262" s="29"/>
      <c r="R262" s="30"/>
    </row>
    <row r="263" spans="1:18" ht="69.75" x14ac:dyDescent="0.25">
      <c r="A263" s="25" t="s">
        <v>690</v>
      </c>
      <c r="B263" s="26" t="s">
        <v>691</v>
      </c>
      <c r="C263" s="27" t="s">
        <v>692</v>
      </c>
      <c r="D263" s="27" t="s">
        <v>676</v>
      </c>
      <c r="E263" s="27" t="s">
        <v>40</v>
      </c>
      <c r="F263" s="28">
        <f>SUM(F264:F264)+88000</f>
        <v>88000</v>
      </c>
      <c r="G263" s="28">
        <f>SUM(G264:G264)+88000</f>
        <v>88000</v>
      </c>
      <c r="H263" s="28">
        <f t="shared" ref="H263:O263" si="103">SUM(H264:H264)</f>
        <v>0</v>
      </c>
      <c r="I263" s="28">
        <f t="shared" si="103"/>
        <v>0</v>
      </c>
      <c r="J263" s="28">
        <f t="shared" si="103"/>
        <v>0</v>
      </c>
      <c r="K263" s="28">
        <f t="shared" si="103"/>
        <v>0</v>
      </c>
      <c r="L263" s="28">
        <f t="shared" si="103"/>
        <v>0</v>
      </c>
      <c r="M263" s="28">
        <f t="shared" si="103"/>
        <v>0</v>
      </c>
      <c r="N263" s="28">
        <f t="shared" si="103"/>
        <v>0</v>
      </c>
      <c r="O263" s="28">
        <f t="shared" si="103"/>
        <v>0</v>
      </c>
      <c r="P263" s="27" t="s">
        <v>693</v>
      </c>
      <c r="Q263" s="29" t="s">
        <v>35</v>
      </c>
      <c r="R263" s="30" t="s">
        <v>36</v>
      </c>
    </row>
    <row r="264" spans="1:18" ht="139.5" x14ac:dyDescent="0.25">
      <c r="A264" s="25" t="s">
        <v>694</v>
      </c>
      <c r="B264" s="26" t="s">
        <v>695</v>
      </c>
      <c r="C264" s="27"/>
      <c r="D264" s="27"/>
      <c r="E264" s="27"/>
      <c r="F264" s="31">
        <v>0</v>
      </c>
      <c r="G264" s="31">
        <v>0</v>
      </c>
      <c r="H264" s="31">
        <v>0</v>
      </c>
      <c r="I264" s="31">
        <v>0</v>
      </c>
      <c r="J264" s="31">
        <v>0</v>
      </c>
      <c r="K264" s="31">
        <v>0</v>
      </c>
      <c r="L264" s="31">
        <v>0</v>
      </c>
      <c r="M264" s="31">
        <v>0</v>
      </c>
      <c r="N264" s="31">
        <v>0</v>
      </c>
      <c r="O264" s="31">
        <v>0</v>
      </c>
      <c r="P264" s="27"/>
      <c r="Q264" s="29"/>
      <c r="R264" s="30"/>
    </row>
    <row r="265" spans="1:18" ht="69.75" x14ac:dyDescent="0.25">
      <c r="A265" s="25" t="s">
        <v>696</v>
      </c>
      <c r="B265" s="26" t="s">
        <v>697</v>
      </c>
      <c r="C265" s="27" t="s">
        <v>679</v>
      </c>
      <c r="D265" s="27" t="s">
        <v>698</v>
      </c>
      <c r="E265" s="27" t="s">
        <v>40</v>
      </c>
      <c r="F265" s="28">
        <f>SUM(F266:F266)+4147572.32</f>
        <v>4147572.32</v>
      </c>
      <c r="G265" s="28">
        <f>SUM(G266:G266)+3665349</f>
        <v>3665349</v>
      </c>
      <c r="H265" s="28">
        <f>SUM(H266:H266)+7559.32</f>
        <v>7559.32</v>
      </c>
      <c r="I265" s="28">
        <f>SUM(I266:I266)</f>
        <v>0</v>
      </c>
      <c r="J265" s="28">
        <f>SUM(J266:J266)+474664</f>
        <v>474664</v>
      </c>
      <c r="K265" s="28">
        <f>SUM(K266:K266)</f>
        <v>0</v>
      </c>
      <c r="L265" s="28">
        <f>SUM(L266:L266)</f>
        <v>0</v>
      </c>
      <c r="M265" s="28">
        <f>SUM(M266:M266)</f>
        <v>0</v>
      </c>
      <c r="N265" s="28">
        <f>SUM(N266:N266)</f>
        <v>0</v>
      </c>
      <c r="O265" s="28">
        <f>SUM(O266:O266)</f>
        <v>0</v>
      </c>
      <c r="P265" s="27" t="s">
        <v>699</v>
      </c>
      <c r="Q265" s="29" t="s">
        <v>35</v>
      </c>
      <c r="R265" s="30" t="s">
        <v>700</v>
      </c>
    </row>
    <row r="266" spans="1:18" ht="69.75" x14ac:dyDescent="0.25">
      <c r="A266" s="25" t="s">
        <v>701</v>
      </c>
      <c r="B266" s="26" t="s">
        <v>702</v>
      </c>
      <c r="C266" s="27"/>
      <c r="D266" s="27"/>
      <c r="E266" s="27"/>
      <c r="F266" s="31">
        <v>0</v>
      </c>
      <c r="G266" s="31">
        <v>0</v>
      </c>
      <c r="H266" s="31">
        <v>0</v>
      </c>
      <c r="I266" s="31">
        <v>0</v>
      </c>
      <c r="J266" s="31">
        <v>0</v>
      </c>
      <c r="K266" s="31">
        <v>0</v>
      </c>
      <c r="L266" s="31">
        <v>0</v>
      </c>
      <c r="M266" s="31">
        <v>0</v>
      </c>
      <c r="N266" s="31">
        <v>0</v>
      </c>
      <c r="O266" s="31">
        <v>0</v>
      </c>
      <c r="P266" s="27"/>
      <c r="Q266" s="29"/>
      <c r="R266" s="30"/>
    </row>
    <row r="267" spans="1:18" ht="69.75" x14ac:dyDescent="0.25">
      <c r="A267" s="25" t="s">
        <v>703</v>
      </c>
      <c r="B267" s="26" t="s">
        <v>704</v>
      </c>
      <c r="C267" s="27" t="s">
        <v>679</v>
      </c>
      <c r="D267" s="27" t="s">
        <v>676</v>
      </c>
      <c r="E267" s="27" t="s">
        <v>705</v>
      </c>
      <c r="F267" s="28">
        <f>SUM(F268:F268)+17190</f>
        <v>17190</v>
      </c>
      <c r="G267" s="28">
        <f>SUM(G268:G268)+17190</f>
        <v>17190</v>
      </c>
      <c r="H267" s="28">
        <f t="shared" ref="H267:O267" si="104">SUM(H268:H268)</f>
        <v>0</v>
      </c>
      <c r="I267" s="28">
        <f t="shared" si="104"/>
        <v>0</v>
      </c>
      <c r="J267" s="28">
        <f t="shared" si="104"/>
        <v>0</v>
      </c>
      <c r="K267" s="28">
        <f t="shared" si="104"/>
        <v>0</v>
      </c>
      <c r="L267" s="28">
        <f t="shared" si="104"/>
        <v>0</v>
      </c>
      <c r="M267" s="28">
        <f t="shared" si="104"/>
        <v>0</v>
      </c>
      <c r="N267" s="28">
        <f t="shared" si="104"/>
        <v>0</v>
      </c>
      <c r="O267" s="28">
        <f t="shared" si="104"/>
        <v>0</v>
      </c>
      <c r="P267" s="27" t="s">
        <v>706</v>
      </c>
      <c r="Q267" s="29" t="s">
        <v>29</v>
      </c>
      <c r="R267" s="30" t="s">
        <v>250</v>
      </c>
    </row>
    <row r="268" spans="1:18" ht="46.5" x14ac:dyDescent="0.25">
      <c r="A268" s="25" t="s">
        <v>707</v>
      </c>
      <c r="B268" s="26" t="s">
        <v>708</v>
      </c>
      <c r="C268" s="27"/>
      <c r="D268" s="27"/>
      <c r="E268" s="27"/>
      <c r="F268" s="31">
        <v>0</v>
      </c>
      <c r="G268" s="31">
        <v>0</v>
      </c>
      <c r="H268" s="31">
        <v>0</v>
      </c>
      <c r="I268" s="31">
        <v>0</v>
      </c>
      <c r="J268" s="31">
        <v>0</v>
      </c>
      <c r="K268" s="31">
        <v>0</v>
      </c>
      <c r="L268" s="31">
        <v>0</v>
      </c>
      <c r="M268" s="31">
        <v>0</v>
      </c>
      <c r="N268" s="31">
        <v>0</v>
      </c>
      <c r="O268" s="31">
        <v>0</v>
      </c>
      <c r="P268" s="27"/>
      <c r="Q268" s="29"/>
      <c r="R268" s="30"/>
    </row>
    <row r="269" spans="1:18" ht="93" x14ac:dyDescent="0.25">
      <c r="A269" s="25" t="s">
        <v>709</v>
      </c>
      <c r="B269" s="26" t="s">
        <v>710</v>
      </c>
      <c r="C269" s="27" t="s">
        <v>679</v>
      </c>
      <c r="D269" s="27" t="s">
        <v>676</v>
      </c>
      <c r="E269" s="27"/>
      <c r="F269" s="28">
        <f>SUM(F270:F270)+6500</f>
        <v>6500</v>
      </c>
      <c r="G269" s="28">
        <f>SUM(G270:G270)+6500</f>
        <v>6500</v>
      </c>
      <c r="H269" s="28">
        <f t="shared" ref="H269:O269" si="105">SUM(H270:H270)</f>
        <v>0</v>
      </c>
      <c r="I269" s="28">
        <f t="shared" si="105"/>
        <v>0</v>
      </c>
      <c r="J269" s="28">
        <f t="shared" si="105"/>
        <v>0</v>
      </c>
      <c r="K269" s="28">
        <f t="shared" si="105"/>
        <v>0</v>
      </c>
      <c r="L269" s="28">
        <f t="shared" si="105"/>
        <v>0</v>
      </c>
      <c r="M269" s="28">
        <f t="shared" si="105"/>
        <v>0</v>
      </c>
      <c r="N269" s="28">
        <f t="shared" si="105"/>
        <v>0</v>
      </c>
      <c r="O269" s="28">
        <f t="shared" si="105"/>
        <v>0</v>
      </c>
      <c r="P269" s="27" t="s">
        <v>711</v>
      </c>
      <c r="Q269" s="29" t="s">
        <v>29</v>
      </c>
      <c r="R269" s="30" t="s">
        <v>250</v>
      </c>
    </row>
    <row r="270" spans="1:18" ht="69.75" x14ac:dyDescent="0.25">
      <c r="A270" s="25" t="s">
        <v>712</v>
      </c>
      <c r="B270" s="26" t="s">
        <v>713</v>
      </c>
      <c r="C270" s="27"/>
      <c r="D270" s="27"/>
      <c r="E270" s="27"/>
      <c r="F270" s="31">
        <v>0</v>
      </c>
      <c r="G270" s="31">
        <v>0</v>
      </c>
      <c r="H270" s="31">
        <v>0</v>
      </c>
      <c r="I270" s="31">
        <v>0</v>
      </c>
      <c r="J270" s="31">
        <v>0</v>
      </c>
      <c r="K270" s="31">
        <v>0</v>
      </c>
      <c r="L270" s="31">
        <v>0</v>
      </c>
      <c r="M270" s="31">
        <v>0</v>
      </c>
      <c r="N270" s="31">
        <v>0</v>
      </c>
      <c r="O270" s="31">
        <v>0</v>
      </c>
      <c r="P270" s="27"/>
      <c r="Q270" s="29"/>
      <c r="R270" s="30"/>
    </row>
    <row r="271" spans="1:18" ht="93" x14ac:dyDescent="0.25">
      <c r="A271" s="25" t="s">
        <v>714</v>
      </c>
      <c r="B271" s="26" t="s">
        <v>715</v>
      </c>
      <c r="C271" s="27" t="s">
        <v>716</v>
      </c>
      <c r="D271" s="27" t="s">
        <v>717</v>
      </c>
      <c r="E271" s="27"/>
      <c r="F271" s="28">
        <f>SUM(F272:F275)+25000</f>
        <v>25000</v>
      </c>
      <c r="G271" s="28">
        <f>SUM(G272:G275)+25000</f>
        <v>25000</v>
      </c>
      <c r="H271" s="28">
        <f t="shared" ref="H271:O271" si="106">SUM(H272:H275)</f>
        <v>0</v>
      </c>
      <c r="I271" s="28">
        <f t="shared" si="106"/>
        <v>0</v>
      </c>
      <c r="J271" s="28">
        <f t="shared" si="106"/>
        <v>0</v>
      </c>
      <c r="K271" s="28">
        <f t="shared" si="106"/>
        <v>0</v>
      </c>
      <c r="L271" s="28">
        <f t="shared" si="106"/>
        <v>0</v>
      </c>
      <c r="M271" s="28">
        <f t="shared" si="106"/>
        <v>0</v>
      </c>
      <c r="N271" s="28">
        <f t="shared" si="106"/>
        <v>0</v>
      </c>
      <c r="O271" s="28">
        <f t="shared" si="106"/>
        <v>0</v>
      </c>
      <c r="P271" s="27" t="s">
        <v>718</v>
      </c>
      <c r="Q271" s="29" t="s">
        <v>35</v>
      </c>
      <c r="R271" s="30" t="s">
        <v>150</v>
      </c>
    </row>
    <row r="272" spans="1:18" ht="46.5" x14ac:dyDescent="0.25">
      <c r="A272" s="32"/>
      <c r="B272" s="33"/>
      <c r="C272" s="34"/>
      <c r="D272" s="34"/>
      <c r="E272" s="34"/>
      <c r="F272" s="35">
        <v>0</v>
      </c>
      <c r="G272" s="35">
        <v>0</v>
      </c>
      <c r="H272" s="35">
        <v>0</v>
      </c>
      <c r="I272" s="35">
        <v>0</v>
      </c>
      <c r="J272" s="35">
        <v>0</v>
      </c>
      <c r="K272" s="35">
        <v>0</v>
      </c>
      <c r="L272" s="35">
        <v>0</v>
      </c>
      <c r="M272" s="35">
        <v>0</v>
      </c>
      <c r="N272" s="35">
        <v>0</v>
      </c>
      <c r="O272" s="35">
        <v>0</v>
      </c>
      <c r="P272" s="34" t="s">
        <v>719</v>
      </c>
      <c r="Q272" s="36" t="s">
        <v>35</v>
      </c>
      <c r="R272" s="37" t="s">
        <v>150</v>
      </c>
    </row>
    <row r="273" spans="1:18" ht="46.5" x14ac:dyDescent="0.25">
      <c r="A273" s="32"/>
      <c r="B273" s="33"/>
      <c r="C273" s="34"/>
      <c r="D273" s="34"/>
      <c r="E273" s="34"/>
      <c r="F273" s="35">
        <v>0</v>
      </c>
      <c r="G273" s="35">
        <v>0</v>
      </c>
      <c r="H273" s="35">
        <v>0</v>
      </c>
      <c r="I273" s="35">
        <v>0</v>
      </c>
      <c r="J273" s="35">
        <v>0</v>
      </c>
      <c r="K273" s="35">
        <v>0</v>
      </c>
      <c r="L273" s="35">
        <v>0</v>
      </c>
      <c r="M273" s="35">
        <v>0</v>
      </c>
      <c r="N273" s="35">
        <v>0</v>
      </c>
      <c r="O273" s="35">
        <v>0</v>
      </c>
      <c r="P273" s="34" t="s">
        <v>720</v>
      </c>
      <c r="Q273" s="36" t="s">
        <v>35</v>
      </c>
      <c r="R273" s="37" t="s">
        <v>48</v>
      </c>
    </row>
    <row r="274" spans="1:18" ht="46.5" x14ac:dyDescent="0.25">
      <c r="A274" s="32"/>
      <c r="B274" s="33"/>
      <c r="C274" s="34"/>
      <c r="D274" s="34"/>
      <c r="E274" s="34"/>
      <c r="F274" s="35">
        <v>0</v>
      </c>
      <c r="G274" s="35">
        <v>0</v>
      </c>
      <c r="H274" s="35">
        <v>0</v>
      </c>
      <c r="I274" s="35">
        <v>0</v>
      </c>
      <c r="J274" s="35">
        <v>0</v>
      </c>
      <c r="K274" s="35">
        <v>0</v>
      </c>
      <c r="L274" s="35">
        <v>0</v>
      </c>
      <c r="M274" s="35">
        <v>0</v>
      </c>
      <c r="N274" s="35">
        <v>0</v>
      </c>
      <c r="O274" s="35">
        <v>0</v>
      </c>
      <c r="P274" s="34" t="s">
        <v>721</v>
      </c>
      <c r="Q274" s="36" t="s">
        <v>35</v>
      </c>
      <c r="R274" s="37" t="s">
        <v>144</v>
      </c>
    </row>
    <row r="275" spans="1:18" ht="46.5" x14ac:dyDescent="0.25">
      <c r="A275" s="25" t="s">
        <v>722</v>
      </c>
      <c r="B275" s="26" t="s">
        <v>723</v>
      </c>
      <c r="C275" s="27"/>
      <c r="D275" s="27"/>
      <c r="E275" s="27"/>
      <c r="F275" s="31">
        <v>0</v>
      </c>
      <c r="G275" s="31">
        <v>0</v>
      </c>
      <c r="H275" s="31">
        <v>0</v>
      </c>
      <c r="I275" s="31">
        <v>0</v>
      </c>
      <c r="J275" s="31">
        <v>0</v>
      </c>
      <c r="K275" s="31">
        <v>0</v>
      </c>
      <c r="L275" s="31">
        <v>0</v>
      </c>
      <c r="M275" s="31">
        <v>0</v>
      </c>
      <c r="N275" s="31">
        <v>0</v>
      </c>
      <c r="O275" s="31">
        <v>0</v>
      </c>
      <c r="P275" s="27"/>
      <c r="Q275" s="29"/>
      <c r="R275" s="30"/>
    </row>
    <row r="276" spans="1:18" ht="69.75" x14ac:dyDescent="0.25">
      <c r="A276" s="25" t="s">
        <v>724</v>
      </c>
      <c r="B276" s="26" t="s">
        <v>725</v>
      </c>
      <c r="C276" s="27" t="s">
        <v>726</v>
      </c>
      <c r="D276" s="27" t="s">
        <v>727</v>
      </c>
      <c r="E276" s="27" t="s">
        <v>40</v>
      </c>
      <c r="F276" s="28">
        <f>SUM(F277:F278)+28683.46</f>
        <v>28683.46</v>
      </c>
      <c r="G276" s="28">
        <f>SUM(G277:G278)+27690</f>
        <v>27690</v>
      </c>
      <c r="H276" s="28">
        <f>SUM(H277:H278)+993.46</f>
        <v>993.46</v>
      </c>
      <c r="I276" s="28">
        <f t="shared" ref="I276:O276" si="107">SUM(I277:I278)</f>
        <v>0</v>
      </c>
      <c r="J276" s="28">
        <f t="shared" si="107"/>
        <v>0</v>
      </c>
      <c r="K276" s="28">
        <f t="shared" si="107"/>
        <v>0</v>
      </c>
      <c r="L276" s="28">
        <f t="shared" si="107"/>
        <v>0</v>
      </c>
      <c r="M276" s="28">
        <f t="shared" si="107"/>
        <v>0</v>
      </c>
      <c r="N276" s="28">
        <f t="shared" si="107"/>
        <v>0</v>
      </c>
      <c r="O276" s="28">
        <f t="shared" si="107"/>
        <v>0</v>
      </c>
      <c r="P276" s="27" t="s">
        <v>728</v>
      </c>
      <c r="Q276" s="29" t="s">
        <v>35</v>
      </c>
      <c r="R276" s="30" t="s">
        <v>36</v>
      </c>
    </row>
    <row r="277" spans="1:18" ht="93" x14ac:dyDescent="0.25">
      <c r="A277" s="25" t="s">
        <v>729</v>
      </c>
      <c r="B277" s="26" t="s">
        <v>730</v>
      </c>
      <c r="C277" s="27"/>
      <c r="D277" s="27"/>
      <c r="E277" s="27"/>
      <c r="F277" s="31">
        <v>0</v>
      </c>
      <c r="G277" s="31">
        <v>0</v>
      </c>
      <c r="H277" s="31">
        <v>0</v>
      </c>
      <c r="I277" s="31">
        <v>0</v>
      </c>
      <c r="J277" s="31">
        <v>0</v>
      </c>
      <c r="K277" s="31">
        <v>0</v>
      </c>
      <c r="L277" s="31">
        <v>0</v>
      </c>
      <c r="M277" s="31">
        <v>0</v>
      </c>
      <c r="N277" s="31">
        <v>0</v>
      </c>
      <c r="O277" s="31">
        <v>0</v>
      </c>
      <c r="P277" s="27"/>
      <c r="Q277" s="29"/>
      <c r="R277" s="30"/>
    </row>
    <row r="278" spans="1:18" ht="116.25" x14ac:dyDescent="0.25">
      <c r="A278" s="25" t="s">
        <v>731</v>
      </c>
      <c r="B278" s="26" t="s">
        <v>732</v>
      </c>
      <c r="C278" s="27"/>
      <c r="D278" s="27"/>
      <c r="E278" s="27"/>
      <c r="F278" s="31">
        <v>0</v>
      </c>
      <c r="G278" s="31">
        <v>0</v>
      </c>
      <c r="H278" s="31">
        <v>0</v>
      </c>
      <c r="I278" s="31">
        <v>0</v>
      </c>
      <c r="J278" s="31">
        <v>0</v>
      </c>
      <c r="K278" s="31">
        <v>0</v>
      </c>
      <c r="L278" s="31">
        <v>0</v>
      </c>
      <c r="M278" s="31">
        <v>0</v>
      </c>
      <c r="N278" s="31">
        <v>0</v>
      </c>
      <c r="O278" s="31">
        <v>0</v>
      </c>
      <c r="P278" s="27"/>
      <c r="Q278" s="29"/>
      <c r="R278" s="30"/>
    </row>
    <row r="279" spans="1:18" ht="69.75" x14ac:dyDescent="0.25">
      <c r="A279" s="25" t="s">
        <v>733</v>
      </c>
      <c r="B279" s="26" t="s">
        <v>734</v>
      </c>
      <c r="C279" s="27" t="s">
        <v>735</v>
      </c>
      <c r="D279" s="27" t="s">
        <v>736</v>
      </c>
      <c r="E279" s="27" t="s">
        <v>40</v>
      </c>
      <c r="F279" s="28">
        <f>SUM(F280:F280)+66351</f>
        <v>66351</v>
      </c>
      <c r="G279" s="28">
        <f>SUM(G280:G280)+66351</f>
        <v>66351</v>
      </c>
      <c r="H279" s="28">
        <f t="shared" ref="H279:O279" si="108">SUM(H280:H280)</f>
        <v>0</v>
      </c>
      <c r="I279" s="28">
        <f t="shared" si="108"/>
        <v>0</v>
      </c>
      <c r="J279" s="28">
        <f t="shared" si="108"/>
        <v>0</v>
      </c>
      <c r="K279" s="28">
        <f t="shared" si="108"/>
        <v>0</v>
      </c>
      <c r="L279" s="28">
        <f t="shared" si="108"/>
        <v>0</v>
      </c>
      <c r="M279" s="28">
        <f t="shared" si="108"/>
        <v>0</v>
      </c>
      <c r="N279" s="28">
        <f t="shared" si="108"/>
        <v>0</v>
      </c>
      <c r="O279" s="28">
        <f t="shared" si="108"/>
        <v>0</v>
      </c>
      <c r="P279" s="27" t="s">
        <v>728</v>
      </c>
      <c r="Q279" s="29" t="s">
        <v>35</v>
      </c>
      <c r="R279" s="30" t="s">
        <v>36</v>
      </c>
    </row>
    <row r="280" spans="1:18" ht="93" x14ac:dyDescent="0.25">
      <c r="A280" s="25" t="s">
        <v>737</v>
      </c>
      <c r="B280" s="26" t="s">
        <v>738</v>
      </c>
      <c r="C280" s="27"/>
      <c r="D280" s="27"/>
      <c r="E280" s="27"/>
      <c r="F280" s="31">
        <v>0</v>
      </c>
      <c r="G280" s="31">
        <v>0</v>
      </c>
      <c r="H280" s="31">
        <v>0</v>
      </c>
      <c r="I280" s="31">
        <v>0</v>
      </c>
      <c r="J280" s="31">
        <v>0</v>
      </c>
      <c r="K280" s="31">
        <v>0</v>
      </c>
      <c r="L280" s="31">
        <v>0</v>
      </c>
      <c r="M280" s="31">
        <v>0</v>
      </c>
      <c r="N280" s="31">
        <v>0</v>
      </c>
      <c r="O280" s="31">
        <v>0</v>
      </c>
      <c r="P280" s="27"/>
      <c r="Q280" s="29"/>
      <c r="R280" s="30"/>
    </row>
    <row r="281" spans="1:18" ht="69.75" x14ac:dyDescent="0.25">
      <c r="A281" s="25" t="s">
        <v>739</v>
      </c>
      <c r="B281" s="26" t="s">
        <v>740</v>
      </c>
      <c r="C281" s="27" t="s">
        <v>113</v>
      </c>
      <c r="D281" s="27" t="s">
        <v>741</v>
      </c>
      <c r="E281" s="27" t="s">
        <v>40</v>
      </c>
      <c r="F281" s="28">
        <f>SUM(F282:F282)+13009</f>
        <v>13009</v>
      </c>
      <c r="G281" s="28">
        <f>SUM(G282:G282)+13009</f>
        <v>13009</v>
      </c>
      <c r="H281" s="28">
        <f t="shared" ref="H281:O281" si="109">SUM(H282:H282)</f>
        <v>0</v>
      </c>
      <c r="I281" s="28">
        <f t="shared" si="109"/>
        <v>0</v>
      </c>
      <c r="J281" s="28">
        <f t="shared" si="109"/>
        <v>0</v>
      </c>
      <c r="K281" s="28">
        <f t="shared" si="109"/>
        <v>0</v>
      </c>
      <c r="L281" s="28">
        <f t="shared" si="109"/>
        <v>0</v>
      </c>
      <c r="M281" s="28">
        <f t="shared" si="109"/>
        <v>0</v>
      </c>
      <c r="N281" s="28">
        <f t="shared" si="109"/>
        <v>0</v>
      </c>
      <c r="O281" s="28">
        <f t="shared" si="109"/>
        <v>0</v>
      </c>
      <c r="P281" s="27" t="s">
        <v>728</v>
      </c>
      <c r="Q281" s="29" t="s">
        <v>35</v>
      </c>
      <c r="R281" s="30" t="s">
        <v>36</v>
      </c>
    </row>
    <row r="282" spans="1:18" ht="93" x14ac:dyDescent="0.25">
      <c r="A282" s="25" t="s">
        <v>742</v>
      </c>
      <c r="B282" s="26" t="s">
        <v>743</v>
      </c>
      <c r="C282" s="27"/>
      <c r="D282" s="27"/>
      <c r="E282" s="27"/>
      <c r="F282" s="31">
        <v>0</v>
      </c>
      <c r="G282" s="31">
        <v>0</v>
      </c>
      <c r="H282" s="31">
        <v>0</v>
      </c>
      <c r="I282" s="31">
        <v>0</v>
      </c>
      <c r="J282" s="31">
        <v>0</v>
      </c>
      <c r="K282" s="31">
        <v>0</v>
      </c>
      <c r="L282" s="31">
        <v>0</v>
      </c>
      <c r="M282" s="31">
        <v>0</v>
      </c>
      <c r="N282" s="31">
        <v>0</v>
      </c>
      <c r="O282" s="31">
        <v>0</v>
      </c>
      <c r="P282" s="27"/>
      <c r="Q282" s="29"/>
      <c r="R282" s="30"/>
    </row>
    <row r="283" spans="1:18" ht="69.75" x14ac:dyDescent="0.25">
      <c r="A283" s="25" t="s">
        <v>744</v>
      </c>
      <c r="B283" s="26" t="s">
        <v>745</v>
      </c>
      <c r="C283" s="27" t="s">
        <v>746</v>
      </c>
      <c r="D283" s="27" t="s">
        <v>747</v>
      </c>
      <c r="E283" s="27" t="s">
        <v>40</v>
      </c>
      <c r="F283" s="28">
        <f>SUM(F284:F284)+33000</f>
        <v>33000</v>
      </c>
      <c r="G283" s="28">
        <f>SUM(G284:G284)+33000</f>
        <v>33000</v>
      </c>
      <c r="H283" s="28">
        <f t="shared" ref="H283:O283" si="110">SUM(H284:H284)</f>
        <v>0</v>
      </c>
      <c r="I283" s="28">
        <f t="shared" si="110"/>
        <v>0</v>
      </c>
      <c r="J283" s="28">
        <f t="shared" si="110"/>
        <v>0</v>
      </c>
      <c r="K283" s="28">
        <f t="shared" si="110"/>
        <v>0</v>
      </c>
      <c r="L283" s="28">
        <f t="shared" si="110"/>
        <v>0</v>
      </c>
      <c r="M283" s="28">
        <f t="shared" si="110"/>
        <v>0</v>
      </c>
      <c r="N283" s="28">
        <f t="shared" si="110"/>
        <v>0</v>
      </c>
      <c r="O283" s="28">
        <f t="shared" si="110"/>
        <v>0</v>
      </c>
      <c r="P283" s="27" t="s">
        <v>728</v>
      </c>
      <c r="Q283" s="29" t="s">
        <v>35</v>
      </c>
      <c r="R283" s="30" t="s">
        <v>36</v>
      </c>
    </row>
    <row r="284" spans="1:18" ht="93" x14ac:dyDescent="0.25">
      <c r="A284" s="25" t="s">
        <v>748</v>
      </c>
      <c r="B284" s="26" t="s">
        <v>749</v>
      </c>
      <c r="C284" s="27"/>
      <c r="D284" s="27"/>
      <c r="E284" s="27"/>
      <c r="F284" s="31">
        <v>0</v>
      </c>
      <c r="G284" s="31">
        <v>0</v>
      </c>
      <c r="H284" s="31">
        <v>0</v>
      </c>
      <c r="I284" s="31">
        <v>0</v>
      </c>
      <c r="J284" s="31">
        <v>0</v>
      </c>
      <c r="K284" s="31">
        <v>0</v>
      </c>
      <c r="L284" s="31">
        <v>0</v>
      </c>
      <c r="M284" s="31">
        <v>0</v>
      </c>
      <c r="N284" s="31">
        <v>0</v>
      </c>
      <c r="O284" s="31">
        <v>0</v>
      </c>
      <c r="P284" s="27"/>
      <c r="Q284" s="29"/>
      <c r="R284" s="30"/>
    </row>
    <row r="285" spans="1:18" ht="69.75" x14ac:dyDescent="0.25">
      <c r="A285" s="25" t="s">
        <v>750</v>
      </c>
      <c r="B285" s="26" t="s">
        <v>751</v>
      </c>
      <c r="C285" s="27" t="s">
        <v>120</v>
      </c>
      <c r="D285" s="27" t="s">
        <v>752</v>
      </c>
      <c r="E285" s="27" t="s">
        <v>40</v>
      </c>
      <c r="F285" s="28">
        <f>SUM(F286:F286)+16500</f>
        <v>16500</v>
      </c>
      <c r="G285" s="28">
        <f>SUM(G286:G286)+16500</f>
        <v>16500</v>
      </c>
      <c r="H285" s="28">
        <f t="shared" ref="H285:O285" si="111">SUM(H286:H286)</f>
        <v>0</v>
      </c>
      <c r="I285" s="28">
        <f t="shared" si="111"/>
        <v>0</v>
      </c>
      <c r="J285" s="28">
        <f t="shared" si="111"/>
        <v>0</v>
      </c>
      <c r="K285" s="28">
        <f t="shared" si="111"/>
        <v>0</v>
      </c>
      <c r="L285" s="28">
        <f t="shared" si="111"/>
        <v>0</v>
      </c>
      <c r="M285" s="28">
        <f t="shared" si="111"/>
        <v>0</v>
      </c>
      <c r="N285" s="28">
        <f t="shared" si="111"/>
        <v>0</v>
      </c>
      <c r="O285" s="28">
        <f t="shared" si="111"/>
        <v>0</v>
      </c>
      <c r="P285" s="27" t="s">
        <v>728</v>
      </c>
      <c r="Q285" s="29" t="s">
        <v>35</v>
      </c>
      <c r="R285" s="30" t="s">
        <v>36</v>
      </c>
    </row>
    <row r="286" spans="1:18" ht="93" x14ac:dyDescent="0.25">
      <c r="A286" s="25" t="s">
        <v>753</v>
      </c>
      <c r="B286" s="26" t="s">
        <v>754</v>
      </c>
      <c r="C286" s="27"/>
      <c r="D286" s="27"/>
      <c r="E286" s="27"/>
      <c r="F286" s="31">
        <v>0</v>
      </c>
      <c r="G286" s="31">
        <v>0</v>
      </c>
      <c r="H286" s="31">
        <v>0</v>
      </c>
      <c r="I286" s="31">
        <v>0</v>
      </c>
      <c r="J286" s="31">
        <v>0</v>
      </c>
      <c r="K286" s="31">
        <v>0</v>
      </c>
      <c r="L286" s="31">
        <v>0</v>
      </c>
      <c r="M286" s="31">
        <v>0</v>
      </c>
      <c r="N286" s="31">
        <v>0</v>
      </c>
      <c r="O286" s="31">
        <v>0</v>
      </c>
      <c r="P286" s="27"/>
      <c r="Q286" s="29"/>
      <c r="R286" s="30"/>
    </row>
    <row r="287" spans="1:18" ht="93" x14ac:dyDescent="0.25">
      <c r="A287" s="25" t="s">
        <v>755</v>
      </c>
      <c r="B287" s="26" t="s">
        <v>756</v>
      </c>
      <c r="C287" s="27" t="s">
        <v>124</v>
      </c>
      <c r="D287" s="27" t="s">
        <v>757</v>
      </c>
      <c r="E287" s="27" t="s">
        <v>40</v>
      </c>
      <c r="F287" s="28">
        <f>SUM(F288:F288)+38230</f>
        <v>38230</v>
      </c>
      <c r="G287" s="28">
        <f>SUM(G288:G288)+38230</f>
        <v>38230</v>
      </c>
      <c r="H287" s="28">
        <f t="shared" ref="H287:O287" si="112">SUM(H288:H288)</f>
        <v>0</v>
      </c>
      <c r="I287" s="28">
        <f t="shared" si="112"/>
        <v>0</v>
      </c>
      <c r="J287" s="28">
        <f t="shared" si="112"/>
        <v>0</v>
      </c>
      <c r="K287" s="28">
        <f t="shared" si="112"/>
        <v>0</v>
      </c>
      <c r="L287" s="28">
        <f t="shared" si="112"/>
        <v>0</v>
      </c>
      <c r="M287" s="28">
        <f t="shared" si="112"/>
        <v>0</v>
      </c>
      <c r="N287" s="28">
        <f t="shared" si="112"/>
        <v>0</v>
      </c>
      <c r="O287" s="28">
        <f t="shared" si="112"/>
        <v>0</v>
      </c>
      <c r="P287" s="27" t="s">
        <v>728</v>
      </c>
      <c r="Q287" s="29" t="s">
        <v>35</v>
      </c>
      <c r="R287" s="30" t="s">
        <v>36</v>
      </c>
    </row>
    <row r="288" spans="1:18" ht="116.25" x14ac:dyDescent="0.25">
      <c r="A288" s="25" t="s">
        <v>758</v>
      </c>
      <c r="B288" s="26" t="s">
        <v>759</v>
      </c>
      <c r="C288" s="27"/>
      <c r="D288" s="27"/>
      <c r="E288" s="27"/>
      <c r="F288" s="31">
        <v>0</v>
      </c>
      <c r="G288" s="31">
        <v>0</v>
      </c>
      <c r="H288" s="31">
        <v>0</v>
      </c>
      <c r="I288" s="31">
        <v>0</v>
      </c>
      <c r="J288" s="31">
        <v>0</v>
      </c>
      <c r="K288" s="31">
        <v>0</v>
      </c>
      <c r="L288" s="31">
        <v>0</v>
      </c>
      <c r="M288" s="31">
        <v>0</v>
      </c>
      <c r="N288" s="31">
        <v>0</v>
      </c>
      <c r="O288" s="31">
        <v>0</v>
      </c>
      <c r="P288" s="27"/>
      <c r="Q288" s="29"/>
      <c r="R288" s="30"/>
    </row>
    <row r="289" spans="1:18" ht="69.75" x14ac:dyDescent="0.25">
      <c r="A289" s="25" t="s">
        <v>760</v>
      </c>
      <c r="B289" s="26" t="s">
        <v>761</v>
      </c>
      <c r="C289" s="27" t="s">
        <v>129</v>
      </c>
      <c r="D289" s="27" t="s">
        <v>762</v>
      </c>
      <c r="E289" s="27" t="s">
        <v>40</v>
      </c>
      <c r="F289" s="28">
        <f>SUM(F290:F290)+21136</f>
        <v>21136</v>
      </c>
      <c r="G289" s="28">
        <f>SUM(G290:G290)+21136</f>
        <v>21136</v>
      </c>
      <c r="H289" s="28">
        <f t="shared" ref="H289:O289" si="113">SUM(H290:H290)</f>
        <v>0</v>
      </c>
      <c r="I289" s="28">
        <f t="shared" si="113"/>
        <v>0</v>
      </c>
      <c r="J289" s="28">
        <f t="shared" si="113"/>
        <v>0</v>
      </c>
      <c r="K289" s="28">
        <f t="shared" si="113"/>
        <v>0</v>
      </c>
      <c r="L289" s="28">
        <f t="shared" si="113"/>
        <v>0</v>
      </c>
      <c r="M289" s="28">
        <f t="shared" si="113"/>
        <v>0</v>
      </c>
      <c r="N289" s="28">
        <f t="shared" si="113"/>
        <v>0</v>
      </c>
      <c r="O289" s="28">
        <f t="shared" si="113"/>
        <v>0</v>
      </c>
      <c r="P289" s="27" t="s">
        <v>728</v>
      </c>
      <c r="Q289" s="29" t="s">
        <v>35</v>
      </c>
      <c r="R289" s="30" t="s">
        <v>36</v>
      </c>
    </row>
    <row r="290" spans="1:18" ht="93" x14ac:dyDescent="0.25">
      <c r="A290" s="25" t="s">
        <v>763</v>
      </c>
      <c r="B290" s="26" t="s">
        <v>764</v>
      </c>
      <c r="C290" s="27"/>
      <c r="D290" s="27"/>
      <c r="E290" s="27"/>
      <c r="F290" s="31">
        <v>0</v>
      </c>
      <c r="G290" s="31">
        <v>0</v>
      </c>
      <c r="H290" s="31">
        <v>0</v>
      </c>
      <c r="I290" s="31">
        <v>0</v>
      </c>
      <c r="J290" s="31">
        <v>0</v>
      </c>
      <c r="K290" s="31">
        <v>0</v>
      </c>
      <c r="L290" s="31">
        <v>0</v>
      </c>
      <c r="M290" s="31">
        <v>0</v>
      </c>
      <c r="N290" s="31">
        <v>0</v>
      </c>
      <c r="O290" s="31">
        <v>0</v>
      </c>
      <c r="P290" s="27"/>
      <c r="Q290" s="29"/>
      <c r="R290" s="30"/>
    </row>
    <row r="291" spans="1:18" ht="69.75" x14ac:dyDescent="0.25">
      <c r="A291" s="25" t="s">
        <v>765</v>
      </c>
      <c r="B291" s="26" t="s">
        <v>766</v>
      </c>
      <c r="C291" s="27" t="s">
        <v>767</v>
      </c>
      <c r="D291" s="27" t="s">
        <v>768</v>
      </c>
      <c r="E291" s="27" t="s">
        <v>40</v>
      </c>
      <c r="F291" s="28">
        <f>SUM(F292:F292)+28002</f>
        <v>28002</v>
      </c>
      <c r="G291" s="28">
        <f>SUM(G292:G292)+28002</f>
        <v>28002</v>
      </c>
      <c r="H291" s="28">
        <f t="shared" ref="H291:O291" si="114">SUM(H292:H292)</f>
        <v>0</v>
      </c>
      <c r="I291" s="28">
        <f t="shared" si="114"/>
        <v>0</v>
      </c>
      <c r="J291" s="28">
        <f t="shared" si="114"/>
        <v>0</v>
      </c>
      <c r="K291" s="28">
        <f t="shared" si="114"/>
        <v>0</v>
      </c>
      <c r="L291" s="28">
        <f t="shared" si="114"/>
        <v>0</v>
      </c>
      <c r="M291" s="28">
        <f t="shared" si="114"/>
        <v>0</v>
      </c>
      <c r="N291" s="28">
        <f t="shared" si="114"/>
        <v>0</v>
      </c>
      <c r="O291" s="28">
        <f t="shared" si="114"/>
        <v>0</v>
      </c>
      <c r="P291" s="27" t="s">
        <v>728</v>
      </c>
      <c r="Q291" s="29" t="s">
        <v>35</v>
      </c>
      <c r="R291" s="30" t="s">
        <v>36</v>
      </c>
    </row>
    <row r="292" spans="1:18" ht="93" x14ac:dyDescent="0.25">
      <c r="A292" s="25" t="s">
        <v>769</v>
      </c>
      <c r="B292" s="26" t="s">
        <v>770</v>
      </c>
      <c r="C292" s="27"/>
      <c r="D292" s="27"/>
      <c r="E292" s="27"/>
      <c r="F292" s="31">
        <v>0</v>
      </c>
      <c r="G292" s="31">
        <v>0</v>
      </c>
      <c r="H292" s="31">
        <v>0</v>
      </c>
      <c r="I292" s="31">
        <v>0</v>
      </c>
      <c r="J292" s="31">
        <v>0</v>
      </c>
      <c r="K292" s="31">
        <v>0</v>
      </c>
      <c r="L292" s="31">
        <v>0</v>
      </c>
      <c r="M292" s="31">
        <v>0</v>
      </c>
      <c r="N292" s="31">
        <v>0</v>
      </c>
      <c r="O292" s="31">
        <v>0</v>
      </c>
      <c r="P292" s="27"/>
      <c r="Q292" s="29"/>
      <c r="R292" s="30"/>
    </row>
    <row r="293" spans="1:18" ht="69.75" x14ac:dyDescent="0.25">
      <c r="A293" s="25" t="s">
        <v>771</v>
      </c>
      <c r="B293" s="26" t="s">
        <v>772</v>
      </c>
      <c r="C293" s="27" t="s">
        <v>773</v>
      </c>
      <c r="D293" s="27" t="s">
        <v>774</v>
      </c>
      <c r="E293" s="27" t="s">
        <v>40</v>
      </c>
      <c r="F293" s="28">
        <f>SUM(F294:F294)+11300</f>
        <v>11300</v>
      </c>
      <c r="G293" s="28">
        <f>SUM(G294:G294)+11300</f>
        <v>11300</v>
      </c>
      <c r="H293" s="28">
        <f t="shared" ref="H293:O293" si="115">SUM(H294:H294)</f>
        <v>0</v>
      </c>
      <c r="I293" s="28">
        <f t="shared" si="115"/>
        <v>0</v>
      </c>
      <c r="J293" s="28">
        <f t="shared" si="115"/>
        <v>0</v>
      </c>
      <c r="K293" s="28">
        <f t="shared" si="115"/>
        <v>0</v>
      </c>
      <c r="L293" s="28">
        <f t="shared" si="115"/>
        <v>0</v>
      </c>
      <c r="M293" s="28">
        <f t="shared" si="115"/>
        <v>0</v>
      </c>
      <c r="N293" s="28">
        <f t="shared" si="115"/>
        <v>0</v>
      </c>
      <c r="O293" s="28">
        <f t="shared" si="115"/>
        <v>0</v>
      </c>
      <c r="P293" s="27" t="s">
        <v>728</v>
      </c>
      <c r="Q293" s="29" t="s">
        <v>35</v>
      </c>
      <c r="R293" s="30" t="s">
        <v>36</v>
      </c>
    </row>
    <row r="294" spans="1:18" ht="93" x14ac:dyDescent="0.25">
      <c r="A294" s="25" t="s">
        <v>775</v>
      </c>
      <c r="B294" s="26" t="s">
        <v>776</v>
      </c>
      <c r="C294" s="27"/>
      <c r="D294" s="27"/>
      <c r="E294" s="27"/>
      <c r="F294" s="31">
        <v>0</v>
      </c>
      <c r="G294" s="31">
        <v>0</v>
      </c>
      <c r="H294" s="31">
        <v>0</v>
      </c>
      <c r="I294" s="31">
        <v>0</v>
      </c>
      <c r="J294" s="31">
        <v>0</v>
      </c>
      <c r="K294" s="31">
        <v>0</v>
      </c>
      <c r="L294" s="31">
        <v>0</v>
      </c>
      <c r="M294" s="31">
        <v>0</v>
      </c>
      <c r="N294" s="31">
        <v>0</v>
      </c>
      <c r="O294" s="31">
        <v>0</v>
      </c>
      <c r="P294" s="27"/>
      <c r="Q294" s="29"/>
      <c r="R294" s="30"/>
    </row>
    <row r="295" spans="1:18" ht="69.75" x14ac:dyDescent="0.25">
      <c r="A295" s="25" t="s">
        <v>777</v>
      </c>
      <c r="B295" s="26" t="s">
        <v>778</v>
      </c>
      <c r="C295" s="27" t="s">
        <v>779</v>
      </c>
      <c r="D295" s="27" t="s">
        <v>780</v>
      </c>
      <c r="E295" s="27" t="s">
        <v>40</v>
      </c>
      <c r="F295" s="28">
        <f>SUM(F296:F297)+39563.15</f>
        <v>39563.15</v>
      </c>
      <c r="G295" s="28">
        <f>SUM(G296:G297)+38000</f>
        <v>38000</v>
      </c>
      <c r="H295" s="28">
        <f>SUM(H296:H297)+1563.15</f>
        <v>1563.15</v>
      </c>
      <c r="I295" s="28">
        <f t="shared" ref="I295:O295" si="116">SUM(I296:I297)</f>
        <v>0</v>
      </c>
      <c r="J295" s="28">
        <f t="shared" si="116"/>
        <v>0</v>
      </c>
      <c r="K295" s="28">
        <f t="shared" si="116"/>
        <v>0</v>
      </c>
      <c r="L295" s="28">
        <f t="shared" si="116"/>
        <v>0</v>
      </c>
      <c r="M295" s="28">
        <f t="shared" si="116"/>
        <v>0</v>
      </c>
      <c r="N295" s="28">
        <f t="shared" si="116"/>
        <v>0</v>
      </c>
      <c r="O295" s="28">
        <f t="shared" si="116"/>
        <v>0</v>
      </c>
      <c r="P295" s="27" t="s">
        <v>728</v>
      </c>
      <c r="Q295" s="29" t="s">
        <v>35</v>
      </c>
      <c r="R295" s="30" t="s">
        <v>36</v>
      </c>
    </row>
    <row r="296" spans="1:18" ht="93" x14ac:dyDescent="0.25">
      <c r="A296" s="25" t="s">
        <v>781</v>
      </c>
      <c r="B296" s="26" t="s">
        <v>782</v>
      </c>
      <c r="C296" s="27"/>
      <c r="D296" s="27"/>
      <c r="E296" s="27"/>
      <c r="F296" s="31">
        <v>0</v>
      </c>
      <c r="G296" s="31">
        <v>0</v>
      </c>
      <c r="H296" s="31">
        <v>0</v>
      </c>
      <c r="I296" s="31">
        <v>0</v>
      </c>
      <c r="J296" s="31">
        <v>0</v>
      </c>
      <c r="K296" s="31">
        <v>0</v>
      </c>
      <c r="L296" s="31">
        <v>0</v>
      </c>
      <c r="M296" s="31">
        <v>0</v>
      </c>
      <c r="N296" s="31">
        <v>0</v>
      </c>
      <c r="O296" s="31">
        <v>0</v>
      </c>
      <c r="P296" s="27"/>
      <c r="Q296" s="29"/>
      <c r="R296" s="30"/>
    </row>
    <row r="297" spans="1:18" ht="139.5" x14ac:dyDescent="0.25">
      <c r="A297" s="25" t="s">
        <v>783</v>
      </c>
      <c r="B297" s="26" t="s">
        <v>784</v>
      </c>
      <c r="C297" s="27"/>
      <c r="D297" s="27"/>
      <c r="E297" s="27"/>
      <c r="F297" s="31">
        <v>0</v>
      </c>
      <c r="G297" s="31">
        <v>0</v>
      </c>
      <c r="H297" s="31">
        <v>0</v>
      </c>
      <c r="I297" s="31">
        <v>0</v>
      </c>
      <c r="J297" s="31">
        <v>0</v>
      </c>
      <c r="K297" s="31">
        <v>0</v>
      </c>
      <c r="L297" s="31">
        <v>0</v>
      </c>
      <c r="M297" s="31">
        <v>0</v>
      </c>
      <c r="N297" s="31">
        <v>0</v>
      </c>
      <c r="O297" s="31">
        <v>0</v>
      </c>
      <c r="P297" s="27"/>
      <c r="Q297" s="29"/>
      <c r="R297" s="30"/>
    </row>
    <row r="298" spans="1:18" ht="69.75" x14ac:dyDescent="0.25">
      <c r="A298" s="25" t="s">
        <v>785</v>
      </c>
      <c r="B298" s="26" t="s">
        <v>786</v>
      </c>
      <c r="C298" s="27" t="s">
        <v>787</v>
      </c>
      <c r="D298" s="27" t="s">
        <v>788</v>
      </c>
      <c r="E298" s="27" t="s">
        <v>40</v>
      </c>
      <c r="F298" s="28">
        <f>SUM(F299:F299)+18758</f>
        <v>18758</v>
      </c>
      <c r="G298" s="28">
        <f>SUM(G299:G299)+18758</f>
        <v>18758</v>
      </c>
      <c r="H298" s="28">
        <f t="shared" ref="H298:O298" si="117">SUM(H299:H299)</f>
        <v>0</v>
      </c>
      <c r="I298" s="28">
        <f t="shared" si="117"/>
        <v>0</v>
      </c>
      <c r="J298" s="28">
        <f t="shared" si="117"/>
        <v>0</v>
      </c>
      <c r="K298" s="28">
        <f t="shared" si="117"/>
        <v>0</v>
      </c>
      <c r="L298" s="28">
        <f t="shared" si="117"/>
        <v>0</v>
      </c>
      <c r="M298" s="28">
        <f t="shared" si="117"/>
        <v>0</v>
      </c>
      <c r="N298" s="28">
        <f t="shared" si="117"/>
        <v>0</v>
      </c>
      <c r="O298" s="28">
        <f t="shared" si="117"/>
        <v>0</v>
      </c>
      <c r="P298" s="27" t="s">
        <v>728</v>
      </c>
      <c r="Q298" s="29" t="s">
        <v>35</v>
      </c>
      <c r="R298" s="30" t="s">
        <v>36</v>
      </c>
    </row>
    <row r="299" spans="1:18" ht="93" x14ac:dyDescent="0.25">
      <c r="A299" s="25" t="s">
        <v>789</v>
      </c>
      <c r="B299" s="26" t="s">
        <v>790</v>
      </c>
      <c r="C299" s="27"/>
      <c r="D299" s="27"/>
      <c r="E299" s="27"/>
      <c r="F299" s="31">
        <v>0</v>
      </c>
      <c r="G299" s="31">
        <v>0</v>
      </c>
      <c r="H299" s="31">
        <v>0</v>
      </c>
      <c r="I299" s="31">
        <v>0</v>
      </c>
      <c r="J299" s="31">
        <v>0</v>
      </c>
      <c r="K299" s="31">
        <v>0</v>
      </c>
      <c r="L299" s="31">
        <v>0</v>
      </c>
      <c r="M299" s="31">
        <v>0</v>
      </c>
      <c r="N299" s="31">
        <v>0</v>
      </c>
      <c r="O299" s="31">
        <v>0</v>
      </c>
      <c r="P299" s="27"/>
      <c r="Q299" s="29"/>
      <c r="R299" s="30"/>
    </row>
    <row r="300" spans="1:18" ht="69.75" x14ac:dyDescent="0.25">
      <c r="A300" s="25" t="s">
        <v>791</v>
      </c>
      <c r="B300" s="26" t="s">
        <v>792</v>
      </c>
      <c r="C300" s="27" t="s">
        <v>134</v>
      </c>
      <c r="D300" s="27" t="s">
        <v>793</v>
      </c>
      <c r="E300" s="27" t="s">
        <v>40</v>
      </c>
      <c r="F300" s="28">
        <f>SUM(F301:F301)+16150</f>
        <v>16150</v>
      </c>
      <c r="G300" s="28">
        <f>SUM(G301:G301)+16150</f>
        <v>16150</v>
      </c>
      <c r="H300" s="28">
        <f t="shared" ref="H300:O300" si="118">SUM(H301:H301)</f>
        <v>0</v>
      </c>
      <c r="I300" s="28">
        <f t="shared" si="118"/>
        <v>0</v>
      </c>
      <c r="J300" s="28">
        <f t="shared" si="118"/>
        <v>0</v>
      </c>
      <c r="K300" s="28">
        <f t="shared" si="118"/>
        <v>0</v>
      </c>
      <c r="L300" s="28">
        <f t="shared" si="118"/>
        <v>0</v>
      </c>
      <c r="M300" s="28">
        <f t="shared" si="118"/>
        <v>0</v>
      </c>
      <c r="N300" s="28">
        <f t="shared" si="118"/>
        <v>0</v>
      </c>
      <c r="O300" s="28">
        <f t="shared" si="118"/>
        <v>0</v>
      </c>
      <c r="P300" s="27" t="s">
        <v>728</v>
      </c>
      <c r="Q300" s="29" t="s">
        <v>35</v>
      </c>
      <c r="R300" s="30" t="s">
        <v>36</v>
      </c>
    </row>
    <row r="301" spans="1:18" ht="93" x14ac:dyDescent="0.25">
      <c r="A301" s="25" t="s">
        <v>794</v>
      </c>
      <c r="B301" s="26" t="s">
        <v>795</v>
      </c>
      <c r="C301" s="27"/>
      <c r="D301" s="27"/>
      <c r="E301" s="27"/>
      <c r="F301" s="31">
        <v>0</v>
      </c>
      <c r="G301" s="31">
        <v>0</v>
      </c>
      <c r="H301" s="31">
        <v>0</v>
      </c>
      <c r="I301" s="31">
        <v>0</v>
      </c>
      <c r="J301" s="31">
        <v>0</v>
      </c>
      <c r="K301" s="31">
        <v>0</v>
      </c>
      <c r="L301" s="31">
        <v>0</v>
      </c>
      <c r="M301" s="31">
        <v>0</v>
      </c>
      <c r="N301" s="31">
        <v>0</v>
      </c>
      <c r="O301" s="31">
        <v>0</v>
      </c>
      <c r="P301" s="27"/>
      <c r="Q301" s="29"/>
      <c r="R301" s="30"/>
    </row>
    <row r="302" spans="1:18" ht="69.75" x14ac:dyDescent="0.25">
      <c r="A302" s="25" t="s">
        <v>796</v>
      </c>
      <c r="B302" s="26" t="s">
        <v>797</v>
      </c>
      <c r="C302" s="27" t="s">
        <v>798</v>
      </c>
      <c r="D302" s="27" t="s">
        <v>799</v>
      </c>
      <c r="E302" s="27" t="s">
        <v>40</v>
      </c>
      <c r="F302" s="28">
        <f>SUM(F303:F303)+20000</f>
        <v>20000</v>
      </c>
      <c r="G302" s="28">
        <f>SUM(G303:G303)+20000</f>
        <v>20000</v>
      </c>
      <c r="H302" s="28">
        <f t="shared" ref="H302:O302" si="119">SUM(H303:H303)</f>
        <v>0</v>
      </c>
      <c r="I302" s="28">
        <f t="shared" si="119"/>
        <v>0</v>
      </c>
      <c r="J302" s="28">
        <f t="shared" si="119"/>
        <v>0</v>
      </c>
      <c r="K302" s="28">
        <f t="shared" si="119"/>
        <v>0</v>
      </c>
      <c r="L302" s="28">
        <f t="shared" si="119"/>
        <v>0</v>
      </c>
      <c r="M302" s="28">
        <f t="shared" si="119"/>
        <v>0</v>
      </c>
      <c r="N302" s="28">
        <f t="shared" si="119"/>
        <v>0</v>
      </c>
      <c r="O302" s="28">
        <f t="shared" si="119"/>
        <v>0</v>
      </c>
      <c r="P302" s="27" t="s">
        <v>728</v>
      </c>
      <c r="Q302" s="29" t="s">
        <v>35</v>
      </c>
      <c r="R302" s="30" t="s">
        <v>68</v>
      </c>
    </row>
    <row r="303" spans="1:18" ht="93" x14ac:dyDescent="0.25">
      <c r="A303" s="25" t="s">
        <v>800</v>
      </c>
      <c r="B303" s="26" t="s">
        <v>801</v>
      </c>
      <c r="C303" s="27"/>
      <c r="D303" s="27"/>
      <c r="E303" s="27"/>
      <c r="F303" s="31">
        <v>0</v>
      </c>
      <c r="G303" s="31">
        <v>0</v>
      </c>
      <c r="H303" s="31">
        <v>0</v>
      </c>
      <c r="I303" s="31">
        <v>0</v>
      </c>
      <c r="J303" s="31">
        <v>0</v>
      </c>
      <c r="K303" s="31">
        <v>0</v>
      </c>
      <c r="L303" s="31">
        <v>0</v>
      </c>
      <c r="M303" s="31">
        <v>0</v>
      </c>
      <c r="N303" s="31">
        <v>0</v>
      </c>
      <c r="O303" s="31">
        <v>0</v>
      </c>
      <c r="P303" s="27"/>
      <c r="Q303" s="29"/>
      <c r="R303" s="30"/>
    </row>
    <row r="304" spans="1:18" ht="69.75" x14ac:dyDescent="0.25">
      <c r="A304" s="25" t="s">
        <v>802</v>
      </c>
      <c r="B304" s="26" t="s">
        <v>803</v>
      </c>
      <c r="C304" s="27" t="s">
        <v>804</v>
      </c>
      <c r="D304" s="27" t="s">
        <v>805</v>
      </c>
      <c r="E304" s="27" t="s">
        <v>40</v>
      </c>
      <c r="F304" s="28">
        <f>SUM(F305:F305)+28409.68</f>
        <v>28409.68</v>
      </c>
      <c r="G304" s="28">
        <f>SUM(G305:G305)+27165</f>
        <v>27165</v>
      </c>
      <c r="H304" s="28">
        <f>SUM(H305:H305)+1244.68</f>
        <v>1244.68</v>
      </c>
      <c r="I304" s="28">
        <f t="shared" ref="I304:O304" si="120">SUM(I305:I305)</f>
        <v>0</v>
      </c>
      <c r="J304" s="28">
        <f t="shared" si="120"/>
        <v>0</v>
      </c>
      <c r="K304" s="28">
        <f t="shared" si="120"/>
        <v>0</v>
      </c>
      <c r="L304" s="28">
        <f t="shared" si="120"/>
        <v>0</v>
      </c>
      <c r="M304" s="28">
        <f t="shared" si="120"/>
        <v>0</v>
      </c>
      <c r="N304" s="28">
        <f t="shared" si="120"/>
        <v>0</v>
      </c>
      <c r="O304" s="28">
        <f t="shared" si="120"/>
        <v>0</v>
      </c>
      <c r="P304" s="27" t="s">
        <v>728</v>
      </c>
      <c r="Q304" s="29" t="s">
        <v>35</v>
      </c>
      <c r="R304" s="30" t="s">
        <v>36</v>
      </c>
    </row>
    <row r="305" spans="1:18" ht="93" x14ac:dyDescent="0.25">
      <c r="A305" s="25" t="s">
        <v>806</v>
      </c>
      <c r="B305" s="26" t="s">
        <v>807</v>
      </c>
      <c r="C305" s="27"/>
      <c r="D305" s="27"/>
      <c r="E305" s="27"/>
      <c r="F305" s="31">
        <v>0</v>
      </c>
      <c r="G305" s="31">
        <v>0</v>
      </c>
      <c r="H305" s="31">
        <v>0</v>
      </c>
      <c r="I305" s="31">
        <v>0</v>
      </c>
      <c r="J305" s="31">
        <v>0</v>
      </c>
      <c r="K305" s="31">
        <v>0</v>
      </c>
      <c r="L305" s="31">
        <v>0</v>
      </c>
      <c r="M305" s="31">
        <v>0</v>
      </c>
      <c r="N305" s="31">
        <v>0</v>
      </c>
      <c r="O305" s="31">
        <v>0</v>
      </c>
      <c r="P305" s="27"/>
      <c r="Q305" s="29"/>
      <c r="R305" s="30"/>
    </row>
    <row r="306" spans="1:18" ht="180" x14ac:dyDescent="0.25">
      <c r="A306" s="19" t="s">
        <v>808</v>
      </c>
      <c r="B306" s="20" t="s">
        <v>809</v>
      </c>
      <c r="C306" s="21"/>
      <c r="D306" s="21"/>
      <c r="E306" s="21" t="s">
        <v>33</v>
      </c>
      <c r="F306" s="22">
        <f t="shared" ref="F306:O306" si="121">SUM(F307:F307)</f>
        <v>299460</v>
      </c>
      <c r="G306" s="22">
        <f t="shared" si="121"/>
        <v>299460</v>
      </c>
      <c r="H306" s="22">
        <f t="shared" si="121"/>
        <v>0</v>
      </c>
      <c r="I306" s="22">
        <f t="shared" si="121"/>
        <v>0</v>
      </c>
      <c r="J306" s="22">
        <f t="shared" si="121"/>
        <v>0</v>
      </c>
      <c r="K306" s="22">
        <f t="shared" si="121"/>
        <v>0</v>
      </c>
      <c r="L306" s="22">
        <f t="shared" si="121"/>
        <v>0</v>
      </c>
      <c r="M306" s="22">
        <f t="shared" si="121"/>
        <v>0</v>
      </c>
      <c r="N306" s="22">
        <f t="shared" si="121"/>
        <v>0</v>
      </c>
      <c r="O306" s="22">
        <f t="shared" si="121"/>
        <v>0</v>
      </c>
      <c r="P306" s="21" t="s">
        <v>810</v>
      </c>
      <c r="Q306" s="23" t="s">
        <v>29</v>
      </c>
      <c r="R306" s="24" t="s">
        <v>811</v>
      </c>
    </row>
    <row r="307" spans="1:18" ht="162.75" x14ac:dyDescent="0.25">
      <c r="A307" s="25" t="s">
        <v>812</v>
      </c>
      <c r="B307" s="26" t="s">
        <v>813</v>
      </c>
      <c r="C307" s="27" t="s">
        <v>277</v>
      </c>
      <c r="D307" s="27" t="s">
        <v>281</v>
      </c>
      <c r="E307" s="27" t="s">
        <v>40</v>
      </c>
      <c r="F307" s="28">
        <f>SUM(F308:F308)+299460</f>
        <v>299460</v>
      </c>
      <c r="G307" s="28">
        <f>SUM(G308:G308)+299460</f>
        <v>299460</v>
      </c>
      <c r="H307" s="28">
        <f t="shared" ref="H307:O307" si="122">SUM(H308:H308)</f>
        <v>0</v>
      </c>
      <c r="I307" s="28">
        <f t="shared" si="122"/>
        <v>0</v>
      </c>
      <c r="J307" s="28">
        <f t="shared" si="122"/>
        <v>0</v>
      </c>
      <c r="K307" s="28">
        <f t="shared" si="122"/>
        <v>0</v>
      </c>
      <c r="L307" s="28">
        <f t="shared" si="122"/>
        <v>0</v>
      </c>
      <c r="M307" s="28">
        <f t="shared" si="122"/>
        <v>0</v>
      </c>
      <c r="N307" s="28">
        <f t="shared" si="122"/>
        <v>0</v>
      </c>
      <c r="O307" s="28">
        <f t="shared" si="122"/>
        <v>0</v>
      </c>
      <c r="P307" s="27" t="s">
        <v>810</v>
      </c>
      <c r="Q307" s="29" t="s">
        <v>29</v>
      </c>
      <c r="R307" s="30" t="s">
        <v>811</v>
      </c>
    </row>
    <row r="308" spans="1:18" ht="46.5" x14ac:dyDescent="0.25">
      <c r="A308" s="25" t="s">
        <v>814</v>
      </c>
      <c r="B308" s="26" t="s">
        <v>815</v>
      </c>
      <c r="C308" s="27"/>
      <c r="D308" s="27"/>
      <c r="E308" s="27"/>
      <c r="F308" s="31">
        <v>0</v>
      </c>
      <c r="G308" s="31">
        <v>0</v>
      </c>
      <c r="H308" s="31">
        <v>0</v>
      </c>
      <c r="I308" s="31">
        <v>0</v>
      </c>
      <c r="J308" s="31">
        <v>0</v>
      </c>
      <c r="K308" s="31">
        <v>0</v>
      </c>
      <c r="L308" s="31">
        <v>0</v>
      </c>
      <c r="M308" s="31">
        <v>0</v>
      </c>
      <c r="N308" s="31">
        <v>0</v>
      </c>
      <c r="O308" s="31">
        <v>0</v>
      </c>
      <c r="P308" s="27"/>
      <c r="Q308" s="29"/>
      <c r="R308" s="30"/>
    </row>
    <row r="309" spans="1:18" ht="45" x14ac:dyDescent="0.25">
      <c r="A309" s="19" t="s">
        <v>816</v>
      </c>
      <c r="B309" s="20" t="s">
        <v>817</v>
      </c>
      <c r="C309" s="21"/>
      <c r="D309" s="21"/>
      <c r="E309" s="21" t="s">
        <v>33</v>
      </c>
      <c r="F309" s="22">
        <f t="shared" ref="F309:O309" si="123">F310+F312+F314</f>
        <v>59835</v>
      </c>
      <c r="G309" s="22">
        <f t="shared" si="123"/>
        <v>59835</v>
      </c>
      <c r="H309" s="22">
        <f t="shared" si="123"/>
        <v>0</v>
      </c>
      <c r="I309" s="22">
        <f t="shared" si="123"/>
        <v>0</v>
      </c>
      <c r="J309" s="22">
        <f t="shared" si="123"/>
        <v>0</v>
      </c>
      <c r="K309" s="22">
        <f t="shared" si="123"/>
        <v>0</v>
      </c>
      <c r="L309" s="22">
        <f t="shared" si="123"/>
        <v>0</v>
      </c>
      <c r="M309" s="22">
        <f t="shared" si="123"/>
        <v>0</v>
      </c>
      <c r="N309" s="22">
        <f t="shared" si="123"/>
        <v>0</v>
      </c>
      <c r="O309" s="22">
        <f t="shared" si="123"/>
        <v>0</v>
      </c>
      <c r="P309" s="21" t="s">
        <v>818</v>
      </c>
      <c r="Q309" s="23" t="s">
        <v>35</v>
      </c>
      <c r="R309" s="24" t="s">
        <v>819</v>
      </c>
    </row>
    <row r="310" spans="1:18" ht="69.75" x14ac:dyDescent="0.25">
      <c r="A310" s="25" t="s">
        <v>820</v>
      </c>
      <c r="B310" s="26" t="s">
        <v>821</v>
      </c>
      <c r="C310" s="27" t="s">
        <v>822</v>
      </c>
      <c r="D310" s="27" t="s">
        <v>823</v>
      </c>
      <c r="E310" s="27" t="s">
        <v>40</v>
      </c>
      <c r="F310" s="28">
        <f>SUM(F311:F311)+32000</f>
        <v>32000</v>
      </c>
      <c r="G310" s="28">
        <f>SUM(G311:G311)+32000</f>
        <v>32000</v>
      </c>
      <c r="H310" s="28">
        <f t="shared" ref="H310:O310" si="124">SUM(H311:H311)</f>
        <v>0</v>
      </c>
      <c r="I310" s="28">
        <f t="shared" si="124"/>
        <v>0</v>
      </c>
      <c r="J310" s="28">
        <f t="shared" si="124"/>
        <v>0</v>
      </c>
      <c r="K310" s="28">
        <f t="shared" si="124"/>
        <v>0</v>
      </c>
      <c r="L310" s="28">
        <f t="shared" si="124"/>
        <v>0</v>
      </c>
      <c r="M310" s="28">
        <f t="shared" si="124"/>
        <v>0</v>
      </c>
      <c r="N310" s="28">
        <f t="shared" si="124"/>
        <v>0</v>
      </c>
      <c r="O310" s="28">
        <f t="shared" si="124"/>
        <v>0</v>
      </c>
      <c r="P310" s="27" t="s">
        <v>818</v>
      </c>
      <c r="Q310" s="29" t="s">
        <v>35</v>
      </c>
      <c r="R310" s="30" t="s">
        <v>824</v>
      </c>
    </row>
    <row r="311" spans="1:18" ht="69.75" x14ac:dyDescent="0.25">
      <c r="A311" s="25" t="s">
        <v>825</v>
      </c>
      <c r="B311" s="26" t="s">
        <v>826</v>
      </c>
      <c r="C311" s="27"/>
      <c r="D311" s="27"/>
      <c r="E311" s="27"/>
      <c r="F311" s="31">
        <v>0</v>
      </c>
      <c r="G311" s="31">
        <v>0</v>
      </c>
      <c r="H311" s="31">
        <v>0</v>
      </c>
      <c r="I311" s="31">
        <v>0</v>
      </c>
      <c r="J311" s="31">
        <v>0</v>
      </c>
      <c r="K311" s="31">
        <v>0</v>
      </c>
      <c r="L311" s="31">
        <v>0</v>
      </c>
      <c r="M311" s="31">
        <v>0</v>
      </c>
      <c r="N311" s="31">
        <v>0</v>
      </c>
      <c r="O311" s="31">
        <v>0</v>
      </c>
      <c r="P311" s="27"/>
      <c r="Q311" s="29"/>
      <c r="R311" s="30"/>
    </row>
    <row r="312" spans="1:18" ht="46.5" x14ac:dyDescent="0.25">
      <c r="A312" s="25" t="s">
        <v>827</v>
      </c>
      <c r="B312" s="26" t="s">
        <v>828</v>
      </c>
      <c r="C312" s="27" t="s">
        <v>822</v>
      </c>
      <c r="D312" s="27" t="s">
        <v>823</v>
      </c>
      <c r="E312" s="27" t="s">
        <v>40</v>
      </c>
      <c r="F312" s="28">
        <f>SUM(F313:F313)+6247</f>
        <v>6247</v>
      </c>
      <c r="G312" s="28">
        <f>SUM(G313:G313)+6247</f>
        <v>6247</v>
      </c>
      <c r="H312" s="28">
        <f t="shared" ref="H312:O312" si="125">SUM(H313:H313)</f>
        <v>0</v>
      </c>
      <c r="I312" s="28">
        <f t="shared" si="125"/>
        <v>0</v>
      </c>
      <c r="J312" s="28">
        <f t="shared" si="125"/>
        <v>0</v>
      </c>
      <c r="K312" s="28">
        <f t="shared" si="125"/>
        <v>0</v>
      </c>
      <c r="L312" s="28">
        <f t="shared" si="125"/>
        <v>0</v>
      </c>
      <c r="M312" s="28">
        <f t="shared" si="125"/>
        <v>0</v>
      </c>
      <c r="N312" s="28">
        <f t="shared" si="125"/>
        <v>0</v>
      </c>
      <c r="O312" s="28">
        <f t="shared" si="125"/>
        <v>0</v>
      </c>
      <c r="P312" s="27" t="s">
        <v>829</v>
      </c>
      <c r="Q312" s="29" t="s">
        <v>35</v>
      </c>
      <c r="R312" s="30" t="s">
        <v>830</v>
      </c>
    </row>
    <row r="313" spans="1:18" ht="46.5" x14ac:dyDescent="0.25">
      <c r="A313" s="25" t="s">
        <v>831</v>
      </c>
      <c r="B313" s="26" t="s">
        <v>832</v>
      </c>
      <c r="C313" s="27"/>
      <c r="D313" s="27"/>
      <c r="E313" s="27"/>
      <c r="F313" s="31">
        <v>0</v>
      </c>
      <c r="G313" s="31">
        <v>0</v>
      </c>
      <c r="H313" s="31">
        <v>0</v>
      </c>
      <c r="I313" s="31">
        <v>0</v>
      </c>
      <c r="J313" s="31">
        <v>0</v>
      </c>
      <c r="K313" s="31">
        <v>0</v>
      </c>
      <c r="L313" s="31">
        <v>0</v>
      </c>
      <c r="M313" s="31">
        <v>0</v>
      </c>
      <c r="N313" s="31">
        <v>0</v>
      </c>
      <c r="O313" s="31">
        <v>0</v>
      </c>
      <c r="P313" s="27"/>
      <c r="Q313" s="29"/>
      <c r="R313" s="30"/>
    </row>
    <row r="314" spans="1:18" ht="93" x14ac:dyDescent="0.25">
      <c r="A314" s="25" t="s">
        <v>833</v>
      </c>
      <c r="B314" s="26" t="s">
        <v>834</v>
      </c>
      <c r="C314" s="27" t="s">
        <v>835</v>
      </c>
      <c r="D314" s="27" t="s">
        <v>836</v>
      </c>
      <c r="E314" s="27" t="s">
        <v>40</v>
      </c>
      <c r="F314" s="28">
        <f>SUM(F315:F315)+21588</f>
        <v>21588</v>
      </c>
      <c r="G314" s="28">
        <f>SUM(G315:G315)+21588</f>
        <v>21588</v>
      </c>
      <c r="H314" s="28">
        <f t="shared" ref="H314:O314" si="126">SUM(H315:H315)</f>
        <v>0</v>
      </c>
      <c r="I314" s="28">
        <f t="shared" si="126"/>
        <v>0</v>
      </c>
      <c r="J314" s="28">
        <f t="shared" si="126"/>
        <v>0</v>
      </c>
      <c r="K314" s="28">
        <f t="shared" si="126"/>
        <v>0</v>
      </c>
      <c r="L314" s="28">
        <f t="shared" si="126"/>
        <v>0</v>
      </c>
      <c r="M314" s="28">
        <f t="shared" si="126"/>
        <v>0</v>
      </c>
      <c r="N314" s="28">
        <f t="shared" si="126"/>
        <v>0</v>
      </c>
      <c r="O314" s="28">
        <f t="shared" si="126"/>
        <v>0</v>
      </c>
      <c r="P314" s="27" t="s">
        <v>818</v>
      </c>
      <c r="Q314" s="29" t="s">
        <v>35</v>
      </c>
      <c r="R314" s="30" t="s">
        <v>837</v>
      </c>
    </row>
    <row r="315" spans="1:18" ht="93" x14ac:dyDescent="0.25">
      <c r="A315" s="25" t="s">
        <v>838</v>
      </c>
      <c r="B315" s="26" t="s">
        <v>839</v>
      </c>
      <c r="C315" s="27"/>
      <c r="D315" s="27"/>
      <c r="E315" s="27"/>
      <c r="F315" s="31">
        <v>0</v>
      </c>
      <c r="G315" s="31">
        <v>0</v>
      </c>
      <c r="H315" s="31">
        <v>0</v>
      </c>
      <c r="I315" s="31">
        <v>0</v>
      </c>
      <c r="J315" s="31">
        <v>0</v>
      </c>
      <c r="K315" s="31">
        <v>0</v>
      </c>
      <c r="L315" s="31">
        <v>0</v>
      </c>
      <c r="M315" s="31">
        <v>0</v>
      </c>
      <c r="N315" s="31">
        <v>0</v>
      </c>
      <c r="O315" s="31">
        <v>0</v>
      </c>
      <c r="P315" s="27"/>
      <c r="Q315" s="29"/>
      <c r="R315" s="30"/>
    </row>
    <row r="316" spans="1:18" ht="45" x14ac:dyDescent="0.25">
      <c r="A316" s="19" t="s">
        <v>840</v>
      </c>
      <c r="B316" s="20" t="s">
        <v>841</v>
      </c>
      <c r="C316" s="21" t="s">
        <v>842</v>
      </c>
      <c r="D316" s="21" t="s">
        <v>843</v>
      </c>
      <c r="E316" s="21" t="s">
        <v>33</v>
      </c>
      <c r="F316" s="22">
        <f t="shared" ref="F316:O316" si="127">SUM(F317:F317)</f>
        <v>60000</v>
      </c>
      <c r="G316" s="22">
        <f t="shared" si="127"/>
        <v>60000</v>
      </c>
      <c r="H316" s="22">
        <f t="shared" si="127"/>
        <v>0</v>
      </c>
      <c r="I316" s="22">
        <f t="shared" si="127"/>
        <v>0</v>
      </c>
      <c r="J316" s="22">
        <f t="shared" si="127"/>
        <v>0</v>
      </c>
      <c r="K316" s="22">
        <f t="shared" si="127"/>
        <v>0</v>
      </c>
      <c r="L316" s="22">
        <f t="shared" si="127"/>
        <v>0</v>
      </c>
      <c r="M316" s="22">
        <f t="shared" si="127"/>
        <v>0</v>
      </c>
      <c r="N316" s="22">
        <f t="shared" si="127"/>
        <v>0</v>
      </c>
      <c r="O316" s="22">
        <f t="shared" si="127"/>
        <v>0</v>
      </c>
      <c r="P316" s="21" t="s">
        <v>844</v>
      </c>
      <c r="Q316" s="23" t="s">
        <v>35</v>
      </c>
      <c r="R316" s="24" t="s">
        <v>144</v>
      </c>
    </row>
    <row r="317" spans="1:18" ht="46.5" x14ac:dyDescent="0.25">
      <c r="A317" s="25" t="s">
        <v>845</v>
      </c>
      <c r="B317" s="26" t="s">
        <v>846</v>
      </c>
      <c r="C317" s="27" t="s">
        <v>842</v>
      </c>
      <c r="D317" s="27" t="s">
        <v>843</v>
      </c>
      <c r="E317" s="27" t="s">
        <v>40</v>
      </c>
      <c r="F317" s="28">
        <f>SUM(F318:F318)+60000</f>
        <v>60000</v>
      </c>
      <c r="G317" s="28">
        <f>SUM(G318:G318)+60000</f>
        <v>60000</v>
      </c>
      <c r="H317" s="28">
        <f t="shared" ref="H317:O317" si="128">SUM(H318:H318)</f>
        <v>0</v>
      </c>
      <c r="I317" s="28">
        <f t="shared" si="128"/>
        <v>0</v>
      </c>
      <c r="J317" s="28">
        <f t="shared" si="128"/>
        <v>0</v>
      </c>
      <c r="K317" s="28">
        <f t="shared" si="128"/>
        <v>0</v>
      </c>
      <c r="L317" s="28">
        <f t="shared" si="128"/>
        <v>0</v>
      </c>
      <c r="M317" s="28">
        <f t="shared" si="128"/>
        <v>0</v>
      </c>
      <c r="N317" s="28">
        <f t="shared" si="128"/>
        <v>0</v>
      </c>
      <c r="O317" s="28">
        <f t="shared" si="128"/>
        <v>0</v>
      </c>
      <c r="P317" s="27" t="s">
        <v>844</v>
      </c>
      <c r="Q317" s="29" t="s">
        <v>35</v>
      </c>
      <c r="R317" s="30" t="s">
        <v>144</v>
      </c>
    </row>
    <row r="318" spans="1:18" ht="46.5" x14ac:dyDescent="0.25">
      <c r="A318" s="25" t="s">
        <v>847</v>
      </c>
      <c r="B318" s="26" t="s">
        <v>848</v>
      </c>
      <c r="C318" s="27"/>
      <c r="D318" s="27"/>
      <c r="E318" s="27"/>
      <c r="F318" s="31">
        <v>0</v>
      </c>
      <c r="G318" s="31">
        <v>0</v>
      </c>
      <c r="H318" s="31">
        <v>0</v>
      </c>
      <c r="I318" s="31">
        <v>0</v>
      </c>
      <c r="J318" s="31">
        <v>0</v>
      </c>
      <c r="K318" s="31">
        <v>0</v>
      </c>
      <c r="L318" s="31">
        <v>0</v>
      </c>
      <c r="M318" s="31">
        <v>0</v>
      </c>
      <c r="N318" s="31">
        <v>0</v>
      </c>
      <c r="O318" s="31">
        <v>0</v>
      </c>
      <c r="P318" s="27"/>
      <c r="Q318" s="29"/>
      <c r="R318" s="30"/>
    </row>
    <row r="319" spans="1:18" ht="135" x14ac:dyDescent="0.25">
      <c r="A319" s="19" t="s">
        <v>849</v>
      </c>
      <c r="B319" s="20" t="s">
        <v>850</v>
      </c>
      <c r="C319" s="21" t="s">
        <v>842</v>
      </c>
      <c r="D319" s="21" t="s">
        <v>851</v>
      </c>
      <c r="E319" s="21" t="s">
        <v>33</v>
      </c>
      <c r="F319" s="22">
        <f t="shared" ref="F319:O319" si="129">F320+F323+F325+F327</f>
        <v>33000</v>
      </c>
      <c r="G319" s="22">
        <f t="shared" si="129"/>
        <v>20000</v>
      </c>
      <c r="H319" s="22">
        <f t="shared" si="129"/>
        <v>0</v>
      </c>
      <c r="I319" s="22">
        <f t="shared" si="129"/>
        <v>0</v>
      </c>
      <c r="J319" s="22">
        <f t="shared" si="129"/>
        <v>0</v>
      </c>
      <c r="K319" s="22">
        <f t="shared" si="129"/>
        <v>0</v>
      </c>
      <c r="L319" s="22">
        <f t="shared" si="129"/>
        <v>0</v>
      </c>
      <c r="M319" s="22">
        <f t="shared" si="129"/>
        <v>13000</v>
      </c>
      <c r="N319" s="22">
        <f t="shared" si="129"/>
        <v>0</v>
      </c>
      <c r="O319" s="22">
        <f t="shared" si="129"/>
        <v>0</v>
      </c>
      <c r="P319" s="21" t="s">
        <v>852</v>
      </c>
      <c r="Q319" s="23" t="s">
        <v>29</v>
      </c>
      <c r="R319" s="24" t="s">
        <v>250</v>
      </c>
    </row>
    <row r="320" spans="1:18" ht="46.5" x14ac:dyDescent="0.25">
      <c r="A320" s="25" t="s">
        <v>853</v>
      </c>
      <c r="B320" s="26" t="s">
        <v>854</v>
      </c>
      <c r="C320" s="27" t="s">
        <v>842</v>
      </c>
      <c r="D320" s="27" t="s">
        <v>855</v>
      </c>
      <c r="E320" s="27"/>
      <c r="F320" s="28">
        <f>SUM(F321:F322)+9000</f>
        <v>9000</v>
      </c>
      <c r="G320" s="28">
        <f>SUM(G321:G322)+9000</f>
        <v>9000</v>
      </c>
      <c r="H320" s="28">
        <f t="shared" ref="H320:O320" si="130">SUM(H321:H322)</f>
        <v>0</v>
      </c>
      <c r="I320" s="28">
        <f t="shared" si="130"/>
        <v>0</v>
      </c>
      <c r="J320" s="28">
        <f t="shared" si="130"/>
        <v>0</v>
      </c>
      <c r="K320" s="28">
        <f t="shared" si="130"/>
        <v>0</v>
      </c>
      <c r="L320" s="28">
        <f t="shared" si="130"/>
        <v>0</v>
      </c>
      <c r="M320" s="28">
        <f t="shared" si="130"/>
        <v>0</v>
      </c>
      <c r="N320" s="28">
        <f t="shared" si="130"/>
        <v>0</v>
      </c>
      <c r="O320" s="28">
        <f t="shared" si="130"/>
        <v>0</v>
      </c>
      <c r="P320" s="27" t="s">
        <v>856</v>
      </c>
      <c r="Q320" s="29" t="s">
        <v>35</v>
      </c>
      <c r="R320" s="30" t="s">
        <v>135</v>
      </c>
    </row>
    <row r="321" spans="1:18" ht="69.75" x14ac:dyDescent="0.25">
      <c r="A321" s="25" t="s">
        <v>857</v>
      </c>
      <c r="B321" s="26" t="s">
        <v>858</v>
      </c>
      <c r="C321" s="27"/>
      <c r="D321" s="27"/>
      <c r="E321" s="27"/>
      <c r="F321" s="31">
        <v>0</v>
      </c>
      <c r="G321" s="31">
        <v>0</v>
      </c>
      <c r="H321" s="31">
        <v>0</v>
      </c>
      <c r="I321" s="31">
        <v>0</v>
      </c>
      <c r="J321" s="31">
        <v>0</v>
      </c>
      <c r="K321" s="31">
        <v>0</v>
      </c>
      <c r="L321" s="31">
        <v>0</v>
      </c>
      <c r="M321" s="31">
        <v>0</v>
      </c>
      <c r="N321" s="31">
        <v>0</v>
      </c>
      <c r="O321" s="31">
        <v>0</v>
      </c>
      <c r="P321" s="27"/>
      <c r="Q321" s="29"/>
      <c r="R321" s="30"/>
    </row>
    <row r="322" spans="1:18" ht="46.5" x14ac:dyDescent="0.25">
      <c r="A322" s="25" t="s">
        <v>859</v>
      </c>
      <c r="B322" s="26" t="s">
        <v>860</v>
      </c>
      <c r="C322" s="27"/>
      <c r="D322" s="27"/>
      <c r="E322" s="27"/>
      <c r="F322" s="31">
        <v>0</v>
      </c>
      <c r="G322" s="31">
        <v>0</v>
      </c>
      <c r="H322" s="31">
        <v>0</v>
      </c>
      <c r="I322" s="31">
        <v>0</v>
      </c>
      <c r="J322" s="31">
        <v>0</v>
      </c>
      <c r="K322" s="31">
        <v>0</v>
      </c>
      <c r="L322" s="31">
        <v>0</v>
      </c>
      <c r="M322" s="31">
        <v>0</v>
      </c>
      <c r="N322" s="31">
        <v>0</v>
      </c>
      <c r="O322" s="31">
        <v>0</v>
      </c>
      <c r="P322" s="27"/>
      <c r="Q322" s="29"/>
      <c r="R322" s="30"/>
    </row>
    <row r="323" spans="1:18" ht="69.75" x14ac:dyDescent="0.25">
      <c r="A323" s="25" t="s">
        <v>861</v>
      </c>
      <c r="B323" s="26" t="s">
        <v>862</v>
      </c>
      <c r="C323" s="27" t="s">
        <v>842</v>
      </c>
      <c r="D323" s="27" t="s">
        <v>863</v>
      </c>
      <c r="E323" s="27"/>
      <c r="F323" s="28">
        <f>SUM(F324:F324)+5000</f>
        <v>5000</v>
      </c>
      <c r="G323" s="28">
        <f>SUM(G324:G324)+5000</f>
        <v>5000</v>
      </c>
      <c r="H323" s="28">
        <f t="shared" ref="H323:O323" si="131">SUM(H324:H324)</f>
        <v>0</v>
      </c>
      <c r="I323" s="28">
        <f t="shared" si="131"/>
        <v>0</v>
      </c>
      <c r="J323" s="28">
        <f t="shared" si="131"/>
        <v>0</v>
      </c>
      <c r="K323" s="28">
        <f t="shared" si="131"/>
        <v>0</v>
      </c>
      <c r="L323" s="28">
        <f t="shared" si="131"/>
        <v>0</v>
      </c>
      <c r="M323" s="28">
        <f t="shared" si="131"/>
        <v>0</v>
      </c>
      <c r="N323" s="28">
        <f t="shared" si="131"/>
        <v>0</v>
      </c>
      <c r="O323" s="28">
        <f t="shared" si="131"/>
        <v>0</v>
      </c>
      <c r="P323" s="27" t="s">
        <v>856</v>
      </c>
      <c r="Q323" s="29" t="s">
        <v>35</v>
      </c>
      <c r="R323" s="30" t="s">
        <v>864</v>
      </c>
    </row>
    <row r="324" spans="1:18" ht="69.75" x14ac:dyDescent="0.25">
      <c r="A324" s="25" t="s">
        <v>865</v>
      </c>
      <c r="B324" s="26" t="s">
        <v>866</v>
      </c>
      <c r="C324" s="27"/>
      <c r="D324" s="27"/>
      <c r="E324" s="27"/>
      <c r="F324" s="31">
        <v>0</v>
      </c>
      <c r="G324" s="31">
        <v>0</v>
      </c>
      <c r="H324" s="31">
        <v>0</v>
      </c>
      <c r="I324" s="31">
        <v>0</v>
      </c>
      <c r="J324" s="31">
        <v>0</v>
      </c>
      <c r="K324" s="31">
        <v>0</v>
      </c>
      <c r="L324" s="31">
        <v>0</v>
      </c>
      <c r="M324" s="31">
        <v>0</v>
      </c>
      <c r="N324" s="31">
        <v>0</v>
      </c>
      <c r="O324" s="31">
        <v>0</v>
      </c>
      <c r="P324" s="27"/>
      <c r="Q324" s="29"/>
      <c r="R324" s="30"/>
    </row>
    <row r="325" spans="1:18" ht="69.75" x14ac:dyDescent="0.25">
      <c r="A325" s="25" t="s">
        <v>867</v>
      </c>
      <c r="B325" s="26" t="s">
        <v>868</v>
      </c>
      <c r="C325" s="27" t="s">
        <v>842</v>
      </c>
      <c r="D325" s="27" t="s">
        <v>851</v>
      </c>
      <c r="E325" s="27"/>
      <c r="F325" s="28">
        <f>SUM(F326:F326)+6000</f>
        <v>6000</v>
      </c>
      <c r="G325" s="28">
        <f>SUM(G326:G326)+6000</f>
        <v>6000</v>
      </c>
      <c r="H325" s="28">
        <f t="shared" ref="H325:O325" si="132">SUM(H326:H326)</f>
        <v>0</v>
      </c>
      <c r="I325" s="28">
        <f t="shared" si="132"/>
        <v>0</v>
      </c>
      <c r="J325" s="28">
        <f t="shared" si="132"/>
        <v>0</v>
      </c>
      <c r="K325" s="28">
        <f t="shared" si="132"/>
        <v>0</v>
      </c>
      <c r="L325" s="28">
        <f t="shared" si="132"/>
        <v>0</v>
      </c>
      <c r="M325" s="28">
        <f t="shared" si="132"/>
        <v>0</v>
      </c>
      <c r="N325" s="28">
        <f t="shared" si="132"/>
        <v>0</v>
      </c>
      <c r="O325" s="28">
        <f t="shared" si="132"/>
        <v>0</v>
      </c>
      <c r="P325" s="27" t="s">
        <v>856</v>
      </c>
      <c r="Q325" s="29" t="s">
        <v>35</v>
      </c>
      <c r="R325" s="30" t="s">
        <v>869</v>
      </c>
    </row>
    <row r="326" spans="1:18" ht="69.75" x14ac:dyDescent="0.25">
      <c r="A326" s="25" t="s">
        <v>870</v>
      </c>
      <c r="B326" s="26" t="s">
        <v>871</v>
      </c>
      <c r="C326" s="27"/>
      <c r="D326" s="27"/>
      <c r="E326" s="27"/>
      <c r="F326" s="31">
        <v>0</v>
      </c>
      <c r="G326" s="31">
        <v>0</v>
      </c>
      <c r="H326" s="31">
        <v>0</v>
      </c>
      <c r="I326" s="31">
        <v>0</v>
      </c>
      <c r="J326" s="31">
        <v>0</v>
      </c>
      <c r="K326" s="31">
        <v>0</v>
      </c>
      <c r="L326" s="31">
        <v>0</v>
      </c>
      <c r="M326" s="31">
        <v>0</v>
      </c>
      <c r="N326" s="31">
        <v>0</v>
      </c>
      <c r="O326" s="31">
        <v>0</v>
      </c>
      <c r="P326" s="27"/>
      <c r="Q326" s="29"/>
      <c r="R326" s="30"/>
    </row>
    <row r="327" spans="1:18" ht="69.75" x14ac:dyDescent="0.25">
      <c r="A327" s="25" t="s">
        <v>872</v>
      </c>
      <c r="B327" s="26" t="s">
        <v>873</v>
      </c>
      <c r="C327" s="27" t="s">
        <v>842</v>
      </c>
      <c r="D327" s="27" t="s">
        <v>855</v>
      </c>
      <c r="E327" s="27"/>
      <c r="F327" s="28">
        <f>SUM(F328:F329)+13000</f>
        <v>13000</v>
      </c>
      <c r="G327" s="28">
        <f t="shared" ref="G327:L327" si="133">SUM(G328:G329)</f>
        <v>0</v>
      </c>
      <c r="H327" s="28">
        <f t="shared" si="133"/>
        <v>0</v>
      </c>
      <c r="I327" s="28">
        <f t="shared" si="133"/>
        <v>0</v>
      </c>
      <c r="J327" s="28">
        <f t="shared" si="133"/>
        <v>0</v>
      </c>
      <c r="K327" s="28">
        <f t="shared" si="133"/>
        <v>0</v>
      </c>
      <c r="L327" s="28">
        <f t="shared" si="133"/>
        <v>0</v>
      </c>
      <c r="M327" s="28">
        <f>SUM(M328:M329)+13000</f>
        <v>13000</v>
      </c>
      <c r="N327" s="28">
        <f>SUM(N328:N329)</f>
        <v>0</v>
      </c>
      <c r="O327" s="28">
        <f>SUM(O328:O329)</f>
        <v>0</v>
      </c>
      <c r="P327" s="27" t="s">
        <v>856</v>
      </c>
      <c r="Q327" s="29" t="s">
        <v>35</v>
      </c>
      <c r="R327" s="30" t="s">
        <v>264</v>
      </c>
    </row>
    <row r="328" spans="1:18" ht="46.5" x14ac:dyDescent="0.25">
      <c r="A328" s="25" t="s">
        <v>874</v>
      </c>
      <c r="B328" s="26" t="s">
        <v>875</v>
      </c>
      <c r="C328" s="27"/>
      <c r="D328" s="27"/>
      <c r="E328" s="27"/>
      <c r="F328" s="31">
        <v>0</v>
      </c>
      <c r="G328" s="31">
        <v>0</v>
      </c>
      <c r="H328" s="31">
        <v>0</v>
      </c>
      <c r="I328" s="31">
        <v>0</v>
      </c>
      <c r="J328" s="31">
        <v>0</v>
      </c>
      <c r="K328" s="31">
        <v>0</v>
      </c>
      <c r="L328" s="31">
        <v>0</v>
      </c>
      <c r="M328" s="31">
        <v>0</v>
      </c>
      <c r="N328" s="31">
        <v>0</v>
      </c>
      <c r="O328" s="31">
        <v>0</v>
      </c>
      <c r="P328" s="27"/>
      <c r="Q328" s="29"/>
      <c r="R328" s="30"/>
    </row>
    <row r="329" spans="1:18" ht="69.75" x14ac:dyDescent="0.25">
      <c r="A329" s="25" t="s">
        <v>876</v>
      </c>
      <c r="B329" s="26" t="s">
        <v>877</v>
      </c>
      <c r="C329" s="27"/>
      <c r="D329" s="27"/>
      <c r="E329" s="27"/>
      <c r="F329" s="31">
        <v>0</v>
      </c>
      <c r="G329" s="31">
        <v>0</v>
      </c>
      <c r="H329" s="31">
        <v>0</v>
      </c>
      <c r="I329" s="31">
        <v>0</v>
      </c>
      <c r="J329" s="31">
        <v>0</v>
      </c>
      <c r="K329" s="31">
        <v>0</v>
      </c>
      <c r="L329" s="31">
        <v>0</v>
      </c>
      <c r="M329" s="31">
        <v>0</v>
      </c>
      <c r="N329" s="31">
        <v>0</v>
      </c>
      <c r="O329" s="31">
        <v>0</v>
      </c>
      <c r="P329" s="27"/>
      <c r="Q329" s="29"/>
      <c r="R329" s="30"/>
    </row>
    <row r="330" spans="1:18" ht="45" x14ac:dyDescent="0.25">
      <c r="A330" s="19" t="s">
        <v>878</v>
      </c>
      <c r="B330" s="20" t="s">
        <v>879</v>
      </c>
      <c r="C330" s="21" t="s">
        <v>842</v>
      </c>
      <c r="D330" s="21" t="s">
        <v>880</v>
      </c>
      <c r="E330" s="21" t="s">
        <v>33</v>
      </c>
      <c r="F330" s="22">
        <f t="shared" ref="F330:O330" si="134">F331+F333</f>
        <v>706705.42999999993</v>
      </c>
      <c r="G330" s="22">
        <f t="shared" si="134"/>
        <v>706705.42999999993</v>
      </c>
      <c r="H330" s="22">
        <f t="shared" si="134"/>
        <v>0</v>
      </c>
      <c r="I330" s="22">
        <f t="shared" si="134"/>
        <v>0</v>
      </c>
      <c r="J330" s="22">
        <f t="shared" si="134"/>
        <v>0</v>
      </c>
      <c r="K330" s="22">
        <f t="shared" si="134"/>
        <v>0</v>
      </c>
      <c r="L330" s="22">
        <f t="shared" si="134"/>
        <v>0</v>
      </c>
      <c r="M330" s="22">
        <f t="shared" si="134"/>
        <v>0</v>
      </c>
      <c r="N330" s="22">
        <f t="shared" si="134"/>
        <v>0</v>
      </c>
      <c r="O330" s="22">
        <f t="shared" si="134"/>
        <v>0</v>
      </c>
      <c r="P330" s="21" t="s">
        <v>881</v>
      </c>
      <c r="Q330" s="23" t="s">
        <v>29</v>
      </c>
      <c r="R330" s="24" t="s">
        <v>250</v>
      </c>
    </row>
    <row r="331" spans="1:18" ht="69.75" x14ac:dyDescent="0.25">
      <c r="A331" s="25" t="s">
        <v>882</v>
      </c>
      <c r="B331" s="26" t="s">
        <v>883</v>
      </c>
      <c r="C331" s="27" t="s">
        <v>842</v>
      </c>
      <c r="D331" s="27" t="s">
        <v>880</v>
      </c>
      <c r="E331" s="27" t="s">
        <v>40</v>
      </c>
      <c r="F331" s="28">
        <f>SUM(F332:F332)+632225</f>
        <v>632225</v>
      </c>
      <c r="G331" s="28">
        <f>SUM(G332:G332)+632225</f>
        <v>632225</v>
      </c>
      <c r="H331" s="28">
        <f t="shared" ref="H331:O331" si="135">SUM(H332:H332)</f>
        <v>0</v>
      </c>
      <c r="I331" s="28">
        <f t="shared" si="135"/>
        <v>0</v>
      </c>
      <c r="J331" s="28">
        <f t="shared" si="135"/>
        <v>0</v>
      </c>
      <c r="K331" s="28">
        <f t="shared" si="135"/>
        <v>0</v>
      </c>
      <c r="L331" s="28">
        <f t="shared" si="135"/>
        <v>0</v>
      </c>
      <c r="M331" s="28">
        <f t="shared" si="135"/>
        <v>0</v>
      </c>
      <c r="N331" s="28">
        <f t="shared" si="135"/>
        <v>0</v>
      </c>
      <c r="O331" s="28">
        <f t="shared" si="135"/>
        <v>0</v>
      </c>
      <c r="P331" s="27" t="s">
        <v>884</v>
      </c>
      <c r="Q331" s="29" t="s">
        <v>29</v>
      </c>
      <c r="R331" s="30" t="s">
        <v>250</v>
      </c>
    </row>
    <row r="332" spans="1:18" ht="69.75" x14ac:dyDescent="0.25">
      <c r="A332" s="25" t="s">
        <v>885</v>
      </c>
      <c r="B332" s="26" t="s">
        <v>886</v>
      </c>
      <c r="C332" s="27"/>
      <c r="D332" s="27"/>
      <c r="E332" s="27"/>
      <c r="F332" s="31">
        <v>0</v>
      </c>
      <c r="G332" s="31">
        <v>0</v>
      </c>
      <c r="H332" s="31">
        <v>0</v>
      </c>
      <c r="I332" s="31">
        <v>0</v>
      </c>
      <c r="J332" s="31">
        <v>0</v>
      </c>
      <c r="K332" s="31">
        <v>0</v>
      </c>
      <c r="L332" s="31">
        <v>0</v>
      </c>
      <c r="M332" s="31">
        <v>0</v>
      </c>
      <c r="N332" s="31">
        <v>0</v>
      </c>
      <c r="O332" s="31">
        <v>0</v>
      </c>
      <c r="P332" s="27"/>
      <c r="Q332" s="29"/>
      <c r="R332" s="30"/>
    </row>
    <row r="333" spans="1:18" ht="69.75" x14ac:dyDescent="0.25">
      <c r="A333" s="25" t="s">
        <v>887</v>
      </c>
      <c r="B333" s="26" t="s">
        <v>888</v>
      </c>
      <c r="C333" s="27" t="s">
        <v>842</v>
      </c>
      <c r="D333" s="27" t="s">
        <v>880</v>
      </c>
      <c r="E333" s="27" t="s">
        <v>40</v>
      </c>
      <c r="F333" s="28">
        <f>SUM(F334:F334)+74480.43</f>
        <v>74480.429999999993</v>
      </c>
      <c r="G333" s="28">
        <f>SUM(G334:G334)+74480.43</f>
        <v>74480.429999999993</v>
      </c>
      <c r="H333" s="28">
        <f t="shared" ref="H333:O333" si="136">SUM(H334:H334)</f>
        <v>0</v>
      </c>
      <c r="I333" s="28">
        <f t="shared" si="136"/>
        <v>0</v>
      </c>
      <c r="J333" s="28">
        <f t="shared" si="136"/>
        <v>0</v>
      </c>
      <c r="K333" s="28">
        <f t="shared" si="136"/>
        <v>0</v>
      </c>
      <c r="L333" s="28">
        <f t="shared" si="136"/>
        <v>0</v>
      </c>
      <c r="M333" s="28">
        <f t="shared" si="136"/>
        <v>0</v>
      </c>
      <c r="N333" s="28">
        <f t="shared" si="136"/>
        <v>0</v>
      </c>
      <c r="O333" s="28">
        <f t="shared" si="136"/>
        <v>0</v>
      </c>
      <c r="P333" s="27" t="s">
        <v>889</v>
      </c>
      <c r="Q333" s="29" t="s">
        <v>29</v>
      </c>
      <c r="R333" s="30" t="s">
        <v>250</v>
      </c>
    </row>
    <row r="334" spans="1:18" ht="69.75" x14ac:dyDescent="0.25">
      <c r="A334" s="25" t="s">
        <v>890</v>
      </c>
      <c r="B334" s="26" t="s">
        <v>891</v>
      </c>
      <c r="C334" s="27"/>
      <c r="D334" s="27"/>
      <c r="E334" s="27"/>
      <c r="F334" s="31">
        <v>0</v>
      </c>
      <c r="G334" s="31">
        <v>0</v>
      </c>
      <c r="H334" s="31">
        <v>0</v>
      </c>
      <c r="I334" s="31">
        <v>0</v>
      </c>
      <c r="J334" s="31">
        <v>0</v>
      </c>
      <c r="K334" s="31">
        <v>0</v>
      </c>
      <c r="L334" s="31">
        <v>0</v>
      </c>
      <c r="M334" s="31">
        <v>0</v>
      </c>
      <c r="N334" s="31">
        <v>0</v>
      </c>
      <c r="O334" s="31">
        <v>0</v>
      </c>
      <c r="P334" s="27"/>
      <c r="Q334" s="29"/>
      <c r="R334" s="30"/>
    </row>
    <row r="335" spans="1:18" ht="67.5" x14ac:dyDescent="0.25">
      <c r="A335" s="19" t="s">
        <v>892</v>
      </c>
      <c r="B335" s="20" t="s">
        <v>893</v>
      </c>
      <c r="C335" s="21" t="s">
        <v>822</v>
      </c>
      <c r="D335" s="21" t="s">
        <v>823</v>
      </c>
      <c r="E335" s="21" t="s">
        <v>33</v>
      </c>
      <c r="F335" s="22">
        <f t="shared" ref="F335:O335" si="137">F336+F338</f>
        <v>0</v>
      </c>
      <c r="G335" s="22">
        <f t="shared" si="137"/>
        <v>0</v>
      </c>
      <c r="H335" s="22">
        <f t="shared" si="137"/>
        <v>0</v>
      </c>
      <c r="I335" s="22">
        <f t="shared" si="137"/>
        <v>0</v>
      </c>
      <c r="J335" s="22">
        <f t="shared" si="137"/>
        <v>0</v>
      </c>
      <c r="K335" s="22">
        <f t="shared" si="137"/>
        <v>0</v>
      </c>
      <c r="L335" s="22">
        <f t="shared" si="137"/>
        <v>0</v>
      </c>
      <c r="M335" s="22">
        <f t="shared" si="137"/>
        <v>0</v>
      </c>
      <c r="N335" s="22">
        <f t="shared" si="137"/>
        <v>0</v>
      </c>
      <c r="O335" s="22">
        <f t="shared" si="137"/>
        <v>0</v>
      </c>
      <c r="P335" s="21" t="s">
        <v>894</v>
      </c>
      <c r="Q335" s="23" t="s">
        <v>35</v>
      </c>
      <c r="R335" s="24" t="s">
        <v>48</v>
      </c>
    </row>
    <row r="336" spans="1:18" ht="93" x14ac:dyDescent="0.25">
      <c r="A336" s="25" t="s">
        <v>895</v>
      </c>
      <c r="B336" s="26" t="s">
        <v>896</v>
      </c>
      <c r="C336" s="27" t="s">
        <v>822</v>
      </c>
      <c r="D336" s="27" t="s">
        <v>823</v>
      </c>
      <c r="E336" s="27" t="s">
        <v>40</v>
      </c>
      <c r="F336" s="28">
        <f t="shared" ref="F336:O336" si="138">SUM(F337:F337)</f>
        <v>0</v>
      </c>
      <c r="G336" s="28">
        <f t="shared" si="138"/>
        <v>0</v>
      </c>
      <c r="H336" s="28">
        <f t="shared" si="138"/>
        <v>0</v>
      </c>
      <c r="I336" s="28">
        <f t="shared" si="138"/>
        <v>0</v>
      </c>
      <c r="J336" s="28">
        <f t="shared" si="138"/>
        <v>0</v>
      </c>
      <c r="K336" s="28">
        <f t="shared" si="138"/>
        <v>0</v>
      </c>
      <c r="L336" s="28">
        <f t="shared" si="138"/>
        <v>0</v>
      </c>
      <c r="M336" s="28">
        <f t="shared" si="138"/>
        <v>0</v>
      </c>
      <c r="N336" s="28">
        <f t="shared" si="138"/>
        <v>0</v>
      </c>
      <c r="O336" s="28">
        <f t="shared" si="138"/>
        <v>0</v>
      </c>
      <c r="P336" s="27" t="s">
        <v>897</v>
      </c>
      <c r="Q336" s="29" t="s">
        <v>35</v>
      </c>
      <c r="R336" s="30" t="s">
        <v>36</v>
      </c>
    </row>
    <row r="337" spans="1:18" ht="46.5" x14ac:dyDescent="0.25">
      <c r="A337" s="25" t="s">
        <v>898</v>
      </c>
      <c r="B337" s="26" t="s">
        <v>899</v>
      </c>
      <c r="C337" s="27"/>
      <c r="D337" s="27"/>
      <c r="E337" s="27"/>
      <c r="F337" s="31">
        <v>0</v>
      </c>
      <c r="G337" s="31">
        <v>0</v>
      </c>
      <c r="H337" s="31">
        <v>0</v>
      </c>
      <c r="I337" s="31">
        <v>0</v>
      </c>
      <c r="J337" s="31">
        <v>0</v>
      </c>
      <c r="K337" s="31">
        <v>0</v>
      </c>
      <c r="L337" s="31">
        <v>0</v>
      </c>
      <c r="M337" s="31">
        <v>0</v>
      </c>
      <c r="N337" s="31">
        <v>0</v>
      </c>
      <c r="O337" s="31">
        <v>0</v>
      </c>
      <c r="P337" s="27"/>
      <c r="Q337" s="29"/>
      <c r="R337" s="30"/>
    </row>
    <row r="338" spans="1:18" ht="139.5" x14ac:dyDescent="0.25">
      <c r="A338" s="25" t="s">
        <v>900</v>
      </c>
      <c r="B338" s="26" t="s">
        <v>901</v>
      </c>
      <c r="C338" s="27" t="s">
        <v>822</v>
      </c>
      <c r="D338" s="27" t="s">
        <v>823</v>
      </c>
      <c r="E338" s="27" t="s">
        <v>224</v>
      </c>
      <c r="F338" s="28">
        <f t="shared" ref="F338:O338" si="139">SUM(F339:F339)</f>
        <v>0</v>
      </c>
      <c r="G338" s="28">
        <f t="shared" si="139"/>
        <v>0</v>
      </c>
      <c r="H338" s="28">
        <f t="shared" si="139"/>
        <v>0</v>
      </c>
      <c r="I338" s="28">
        <f t="shared" si="139"/>
        <v>0</v>
      </c>
      <c r="J338" s="28">
        <f t="shared" si="139"/>
        <v>0</v>
      </c>
      <c r="K338" s="28">
        <f t="shared" si="139"/>
        <v>0</v>
      </c>
      <c r="L338" s="28">
        <f t="shared" si="139"/>
        <v>0</v>
      </c>
      <c r="M338" s="28">
        <f t="shared" si="139"/>
        <v>0</v>
      </c>
      <c r="N338" s="28">
        <f t="shared" si="139"/>
        <v>0</v>
      </c>
      <c r="O338" s="28">
        <f t="shared" si="139"/>
        <v>0</v>
      </c>
      <c r="P338" s="27" t="s">
        <v>902</v>
      </c>
      <c r="Q338" s="29" t="s">
        <v>29</v>
      </c>
      <c r="R338" s="30" t="s">
        <v>103</v>
      </c>
    </row>
    <row r="339" spans="1:18" ht="69.75" x14ac:dyDescent="0.25">
      <c r="A339" s="25" t="s">
        <v>903</v>
      </c>
      <c r="B339" s="26" t="s">
        <v>904</v>
      </c>
      <c r="C339" s="27"/>
      <c r="D339" s="27"/>
      <c r="E339" s="27"/>
      <c r="F339" s="31">
        <v>0</v>
      </c>
      <c r="G339" s="31">
        <v>0</v>
      </c>
      <c r="H339" s="31">
        <v>0</v>
      </c>
      <c r="I339" s="31">
        <v>0</v>
      </c>
      <c r="J339" s="31">
        <v>0</v>
      </c>
      <c r="K339" s="31">
        <v>0</v>
      </c>
      <c r="L339" s="31">
        <v>0</v>
      </c>
      <c r="M339" s="31">
        <v>0</v>
      </c>
      <c r="N339" s="31">
        <v>0</v>
      </c>
      <c r="O339" s="31">
        <v>0</v>
      </c>
      <c r="P339" s="27"/>
      <c r="Q339" s="29"/>
      <c r="R339" s="30"/>
    </row>
    <row r="340" spans="1:18" ht="112.5" x14ac:dyDescent="0.25">
      <c r="A340" s="13" t="s">
        <v>905</v>
      </c>
      <c r="B340" s="14" t="s">
        <v>906</v>
      </c>
      <c r="C340" s="15" t="s">
        <v>716</v>
      </c>
      <c r="D340" s="15" t="s">
        <v>717</v>
      </c>
      <c r="E340" s="15"/>
      <c r="F340" s="16">
        <f t="shared" ref="F340:O340" si="140">SUM(F341:F341)</f>
        <v>270</v>
      </c>
      <c r="G340" s="16">
        <f t="shared" si="140"/>
        <v>270</v>
      </c>
      <c r="H340" s="16">
        <f t="shared" si="140"/>
        <v>0</v>
      </c>
      <c r="I340" s="16">
        <f t="shared" si="140"/>
        <v>0</v>
      </c>
      <c r="J340" s="16">
        <f t="shared" si="140"/>
        <v>0</v>
      </c>
      <c r="K340" s="16">
        <f t="shared" si="140"/>
        <v>0</v>
      </c>
      <c r="L340" s="16">
        <f t="shared" si="140"/>
        <v>0</v>
      </c>
      <c r="M340" s="16">
        <f t="shared" si="140"/>
        <v>0</v>
      </c>
      <c r="N340" s="16">
        <f t="shared" si="140"/>
        <v>0</v>
      </c>
      <c r="O340" s="16">
        <f t="shared" si="140"/>
        <v>0</v>
      </c>
      <c r="P340" s="15" t="s">
        <v>260</v>
      </c>
      <c r="Q340" s="17" t="s">
        <v>29</v>
      </c>
      <c r="R340" s="18" t="s">
        <v>869</v>
      </c>
    </row>
    <row r="341" spans="1:18" ht="135" x14ac:dyDescent="0.25">
      <c r="A341" s="19" t="s">
        <v>907</v>
      </c>
      <c r="B341" s="20" t="s">
        <v>908</v>
      </c>
      <c r="C341" s="21" t="s">
        <v>716</v>
      </c>
      <c r="D341" s="21" t="s">
        <v>717</v>
      </c>
      <c r="E341" s="21" t="s">
        <v>248</v>
      </c>
      <c r="F341" s="22">
        <f t="shared" ref="F341:O341" si="141">F342+F344</f>
        <v>270</v>
      </c>
      <c r="G341" s="22">
        <f t="shared" si="141"/>
        <v>270</v>
      </c>
      <c r="H341" s="22">
        <f t="shared" si="141"/>
        <v>0</v>
      </c>
      <c r="I341" s="22">
        <f t="shared" si="141"/>
        <v>0</v>
      </c>
      <c r="J341" s="22">
        <f t="shared" si="141"/>
        <v>0</v>
      </c>
      <c r="K341" s="22">
        <f t="shared" si="141"/>
        <v>0</v>
      </c>
      <c r="L341" s="22">
        <f t="shared" si="141"/>
        <v>0</v>
      </c>
      <c r="M341" s="22">
        <f t="shared" si="141"/>
        <v>0</v>
      </c>
      <c r="N341" s="22">
        <f t="shared" si="141"/>
        <v>0</v>
      </c>
      <c r="O341" s="22">
        <f t="shared" si="141"/>
        <v>0</v>
      </c>
      <c r="P341" s="21" t="s">
        <v>909</v>
      </c>
      <c r="Q341" s="23" t="s">
        <v>29</v>
      </c>
      <c r="R341" s="24" t="s">
        <v>910</v>
      </c>
    </row>
    <row r="342" spans="1:18" ht="69.75" x14ac:dyDescent="0.25">
      <c r="A342" s="25" t="s">
        <v>911</v>
      </c>
      <c r="B342" s="26" t="s">
        <v>912</v>
      </c>
      <c r="C342" s="27" t="s">
        <v>716</v>
      </c>
      <c r="D342" s="27" t="s">
        <v>717</v>
      </c>
      <c r="E342" s="27" t="s">
        <v>253</v>
      </c>
      <c r="F342" s="28">
        <f t="shared" ref="F342:O342" si="142">SUM(F343:F343)</f>
        <v>0</v>
      </c>
      <c r="G342" s="28">
        <f t="shared" si="142"/>
        <v>0</v>
      </c>
      <c r="H342" s="28">
        <f t="shared" si="142"/>
        <v>0</v>
      </c>
      <c r="I342" s="28">
        <f t="shared" si="142"/>
        <v>0</v>
      </c>
      <c r="J342" s="28">
        <f t="shared" si="142"/>
        <v>0</v>
      </c>
      <c r="K342" s="28">
        <f t="shared" si="142"/>
        <v>0</v>
      </c>
      <c r="L342" s="28">
        <f t="shared" si="142"/>
        <v>0</v>
      </c>
      <c r="M342" s="28">
        <f t="shared" si="142"/>
        <v>0</v>
      </c>
      <c r="N342" s="28">
        <f t="shared" si="142"/>
        <v>0</v>
      </c>
      <c r="O342" s="28">
        <f t="shared" si="142"/>
        <v>0</v>
      </c>
      <c r="P342" s="27" t="s">
        <v>913</v>
      </c>
      <c r="Q342" s="29" t="s">
        <v>35</v>
      </c>
      <c r="R342" s="30" t="s">
        <v>196</v>
      </c>
    </row>
    <row r="343" spans="1:18" ht="46.5" x14ac:dyDescent="0.25">
      <c r="A343" s="25" t="s">
        <v>914</v>
      </c>
      <c r="B343" s="26" t="s">
        <v>915</v>
      </c>
      <c r="C343" s="27"/>
      <c r="D343" s="27"/>
      <c r="E343" s="27"/>
      <c r="F343" s="31">
        <v>0</v>
      </c>
      <c r="G343" s="31">
        <v>0</v>
      </c>
      <c r="H343" s="31">
        <v>0</v>
      </c>
      <c r="I343" s="31">
        <v>0</v>
      </c>
      <c r="J343" s="31">
        <v>0</v>
      </c>
      <c r="K343" s="31">
        <v>0</v>
      </c>
      <c r="L343" s="31">
        <v>0</v>
      </c>
      <c r="M343" s="31">
        <v>0</v>
      </c>
      <c r="N343" s="31">
        <v>0</v>
      </c>
      <c r="O343" s="31">
        <v>0</v>
      </c>
      <c r="P343" s="27"/>
      <c r="Q343" s="29"/>
      <c r="R343" s="30"/>
    </row>
    <row r="344" spans="1:18" ht="46.5" x14ac:dyDescent="0.25">
      <c r="A344" s="25" t="s">
        <v>916</v>
      </c>
      <c r="B344" s="26" t="s">
        <v>917</v>
      </c>
      <c r="C344" s="27" t="s">
        <v>716</v>
      </c>
      <c r="D344" s="27" t="s">
        <v>717</v>
      </c>
      <c r="E344" s="27" t="s">
        <v>253</v>
      </c>
      <c r="F344" s="28">
        <f>SUM(F345:F345)+270</f>
        <v>270</v>
      </c>
      <c r="G344" s="28">
        <f>SUM(G345:G345)+270</f>
        <v>270</v>
      </c>
      <c r="H344" s="28">
        <f t="shared" ref="H344:O344" si="143">SUM(H345:H345)</f>
        <v>0</v>
      </c>
      <c r="I344" s="28">
        <f t="shared" si="143"/>
        <v>0</v>
      </c>
      <c r="J344" s="28">
        <f t="shared" si="143"/>
        <v>0</v>
      </c>
      <c r="K344" s="28">
        <f t="shared" si="143"/>
        <v>0</v>
      </c>
      <c r="L344" s="28">
        <f t="shared" si="143"/>
        <v>0</v>
      </c>
      <c r="M344" s="28">
        <f t="shared" si="143"/>
        <v>0</v>
      </c>
      <c r="N344" s="28">
        <f t="shared" si="143"/>
        <v>0</v>
      </c>
      <c r="O344" s="28">
        <f t="shared" si="143"/>
        <v>0</v>
      </c>
      <c r="P344" s="27" t="s">
        <v>918</v>
      </c>
      <c r="Q344" s="29" t="s">
        <v>35</v>
      </c>
      <c r="R344" s="30" t="s">
        <v>388</v>
      </c>
    </row>
    <row r="345" spans="1:18" ht="46.5" x14ac:dyDescent="0.25">
      <c r="A345" s="25" t="s">
        <v>919</v>
      </c>
      <c r="B345" s="26" t="s">
        <v>920</v>
      </c>
      <c r="C345" s="27"/>
      <c r="D345" s="27"/>
      <c r="E345" s="27"/>
      <c r="F345" s="31">
        <v>0</v>
      </c>
      <c r="G345" s="31">
        <v>0</v>
      </c>
      <c r="H345" s="31">
        <v>0</v>
      </c>
      <c r="I345" s="31">
        <v>0</v>
      </c>
      <c r="J345" s="31">
        <v>0</v>
      </c>
      <c r="K345" s="31">
        <v>0</v>
      </c>
      <c r="L345" s="31">
        <v>0</v>
      </c>
      <c r="M345" s="31">
        <v>0</v>
      </c>
      <c r="N345" s="31">
        <v>0</v>
      </c>
      <c r="O345" s="31">
        <v>0</v>
      </c>
      <c r="P345" s="27"/>
      <c r="Q345" s="29"/>
      <c r="R345" s="30"/>
    </row>
    <row r="346" spans="1:18" ht="45" x14ac:dyDescent="0.25">
      <c r="A346" s="7" t="s">
        <v>921</v>
      </c>
      <c r="B346" s="8" t="s">
        <v>922</v>
      </c>
      <c r="C346" s="9" t="s">
        <v>277</v>
      </c>
      <c r="D346" s="9" t="s">
        <v>923</v>
      </c>
      <c r="E346" s="9"/>
      <c r="F346" s="10">
        <f t="shared" ref="F346:O346" si="144">F347+F430+F447+F496+F503+F510+F520+F532</f>
        <v>6920565</v>
      </c>
      <c r="G346" s="10">
        <f t="shared" si="144"/>
        <v>4451644.78</v>
      </c>
      <c r="H346" s="10">
        <f t="shared" si="144"/>
        <v>45410.89</v>
      </c>
      <c r="I346" s="10">
        <f t="shared" si="144"/>
        <v>191074</v>
      </c>
      <c r="J346" s="10">
        <f t="shared" si="144"/>
        <v>321000</v>
      </c>
      <c r="K346" s="10">
        <f t="shared" si="144"/>
        <v>0</v>
      </c>
      <c r="L346" s="10">
        <f t="shared" si="144"/>
        <v>0</v>
      </c>
      <c r="M346" s="10">
        <f t="shared" si="144"/>
        <v>1900935.33</v>
      </c>
      <c r="N346" s="10">
        <f t="shared" si="144"/>
        <v>0</v>
      </c>
      <c r="O346" s="10">
        <f t="shared" si="144"/>
        <v>10500</v>
      </c>
      <c r="P346" s="9"/>
      <c r="Q346" s="11"/>
      <c r="R346" s="12"/>
    </row>
    <row r="347" spans="1:18" ht="45" x14ac:dyDescent="0.25">
      <c r="A347" s="13" t="s">
        <v>924</v>
      </c>
      <c r="B347" s="14" t="s">
        <v>925</v>
      </c>
      <c r="C347" s="15" t="s">
        <v>277</v>
      </c>
      <c r="D347" s="15" t="s">
        <v>281</v>
      </c>
      <c r="E347" s="15"/>
      <c r="F347" s="16">
        <f t="shared" ref="F347:O347" si="145">F348+F379+F413+F420+F423+F427</f>
        <v>2518721</v>
      </c>
      <c r="G347" s="16">
        <f t="shared" si="145"/>
        <v>2298213</v>
      </c>
      <c r="H347" s="16">
        <f t="shared" si="145"/>
        <v>26000</v>
      </c>
      <c r="I347" s="16">
        <f t="shared" si="145"/>
        <v>191074</v>
      </c>
      <c r="J347" s="16">
        <f t="shared" si="145"/>
        <v>0</v>
      </c>
      <c r="K347" s="16">
        <f t="shared" si="145"/>
        <v>0</v>
      </c>
      <c r="L347" s="16">
        <f t="shared" si="145"/>
        <v>0</v>
      </c>
      <c r="M347" s="16">
        <f t="shared" si="145"/>
        <v>3434</v>
      </c>
      <c r="N347" s="16">
        <f t="shared" si="145"/>
        <v>0</v>
      </c>
      <c r="O347" s="16">
        <f t="shared" si="145"/>
        <v>0</v>
      </c>
      <c r="P347" s="15" t="s">
        <v>282</v>
      </c>
      <c r="Q347" s="17" t="s">
        <v>29</v>
      </c>
      <c r="R347" s="18" t="s">
        <v>388</v>
      </c>
    </row>
    <row r="348" spans="1:18" ht="67.5" x14ac:dyDescent="0.25">
      <c r="A348" s="19" t="s">
        <v>926</v>
      </c>
      <c r="B348" s="20" t="s">
        <v>927</v>
      </c>
      <c r="C348" s="21" t="s">
        <v>277</v>
      </c>
      <c r="D348" s="21" t="s">
        <v>281</v>
      </c>
      <c r="E348" s="21" t="s">
        <v>33</v>
      </c>
      <c r="F348" s="22">
        <f t="shared" ref="F348:O348" si="146">F349+F351+F353+F355+F357+F359+F361+F363+F365+F367+F369+F371+F373+F375+F377</f>
        <v>191074</v>
      </c>
      <c r="G348" s="22">
        <f t="shared" si="146"/>
        <v>0</v>
      </c>
      <c r="H348" s="22">
        <f t="shared" si="146"/>
        <v>0</v>
      </c>
      <c r="I348" s="22">
        <f t="shared" si="146"/>
        <v>191074</v>
      </c>
      <c r="J348" s="22">
        <f t="shared" si="146"/>
        <v>0</v>
      </c>
      <c r="K348" s="22">
        <f t="shared" si="146"/>
        <v>0</v>
      </c>
      <c r="L348" s="22">
        <f t="shared" si="146"/>
        <v>0</v>
      </c>
      <c r="M348" s="22">
        <f t="shared" si="146"/>
        <v>0</v>
      </c>
      <c r="N348" s="22">
        <f t="shared" si="146"/>
        <v>0</v>
      </c>
      <c r="O348" s="22">
        <f t="shared" si="146"/>
        <v>0</v>
      </c>
      <c r="P348" s="21" t="s">
        <v>928</v>
      </c>
      <c r="Q348" s="23" t="s">
        <v>35</v>
      </c>
      <c r="R348" s="24" t="s">
        <v>929</v>
      </c>
    </row>
    <row r="349" spans="1:18" ht="93" x14ac:dyDescent="0.25">
      <c r="A349" s="25" t="s">
        <v>930</v>
      </c>
      <c r="B349" s="26" t="s">
        <v>931</v>
      </c>
      <c r="C349" s="27" t="s">
        <v>277</v>
      </c>
      <c r="D349" s="27" t="s">
        <v>932</v>
      </c>
      <c r="E349" s="27" t="s">
        <v>40</v>
      </c>
      <c r="F349" s="28">
        <f>SUM(F350:F350)+65805</f>
        <v>65805</v>
      </c>
      <c r="G349" s="28">
        <f>SUM(G350:G350)</f>
        <v>0</v>
      </c>
      <c r="H349" s="28">
        <f>SUM(H350:H350)</f>
        <v>0</v>
      </c>
      <c r="I349" s="28">
        <f>SUM(I350:I350)+65805</f>
        <v>65805</v>
      </c>
      <c r="J349" s="28">
        <f t="shared" ref="J349:O349" si="147">SUM(J350:J350)</f>
        <v>0</v>
      </c>
      <c r="K349" s="28">
        <f t="shared" si="147"/>
        <v>0</v>
      </c>
      <c r="L349" s="28">
        <f t="shared" si="147"/>
        <v>0</v>
      </c>
      <c r="M349" s="28">
        <f t="shared" si="147"/>
        <v>0</v>
      </c>
      <c r="N349" s="28">
        <f t="shared" si="147"/>
        <v>0</v>
      </c>
      <c r="O349" s="28">
        <f t="shared" si="147"/>
        <v>0</v>
      </c>
      <c r="P349" s="27" t="s">
        <v>933</v>
      </c>
      <c r="Q349" s="29" t="s">
        <v>35</v>
      </c>
      <c r="R349" s="30" t="s">
        <v>864</v>
      </c>
    </row>
    <row r="350" spans="1:18" ht="69.75" x14ac:dyDescent="0.25">
      <c r="A350" s="25" t="s">
        <v>934</v>
      </c>
      <c r="B350" s="26" t="s">
        <v>935</v>
      </c>
      <c r="C350" s="27"/>
      <c r="D350" s="27"/>
      <c r="E350" s="27"/>
      <c r="F350" s="31">
        <v>0</v>
      </c>
      <c r="G350" s="31">
        <v>0</v>
      </c>
      <c r="H350" s="31">
        <v>0</v>
      </c>
      <c r="I350" s="31">
        <v>0</v>
      </c>
      <c r="J350" s="31">
        <v>0</v>
      </c>
      <c r="K350" s="31">
        <v>0</v>
      </c>
      <c r="L350" s="31">
        <v>0</v>
      </c>
      <c r="M350" s="31">
        <v>0</v>
      </c>
      <c r="N350" s="31">
        <v>0</v>
      </c>
      <c r="O350" s="31">
        <v>0</v>
      </c>
      <c r="P350" s="27"/>
      <c r="Q350" s="29"/>
      <c r="R350" s="30"/>
    </row>
    <row r="351" spans="1:18" ht="93" x14ac:dyDescent="0.25">
      <c r="A351" s="25" t="s">
        <v>936</v>
      </c>
      <c r="B351" s="26" t="s">
        <v>937</v>
      </c>
      <c r="C351" s="27" t="s">
        <v>277</v>
      </c>
      <c r="D351" s="27" t="s">
        <v>932</v>
      </c>
      <c r="E351" s="27" t="s">
        <v>40</v>
      </c>
      <c r="F351" s="28">
        <f>SUM(F352:F352)+3000</f>
        <v>3000</v>
      </c>
      <c r="G351" s="28">
        <f>SUM(G352:G352)</f>
        <v>0</v>
      </c>
      <c r="H351" s="28">
        <f>SUM(H352:H352)</f>
        <v>0</v>
      </c>
      <c r="I351" s="28">
        <f>SUM(I352:I352)+3000</f>
        <v>3000</v>
      </c>
      <c r="J351" s="28">
        <f t="shared" ref="J351:O351" si="148">SUM(J352:J352)</f>
        <v>0</v>
      </c>
      <c r="K351" s="28">
        <f t="shared" si="148"/>
        <v>0</v>
      </c>
      <c r="L351" s="28">
        <f t="shared" si="148"/>
        <v>0</v>
      </c>
      <c r="M351" s="28">
        <f t="shared" si="148"/>
        <v>0</v>
      </c>
      <c r="N351" s="28">
        <f t="shared" si="148"/>
        <v>0</v>
      </c>
      <c r="O351" s="28">
        <f t="shared" si="148"/>
        <v>0</v>
      </c>
      <c r="P351" s="27" t="s">
        <v>938</v>
      </c>
      <c r="Q351" s="29" t="s">
        <v>35</v>
      </c>
      <c r="R351" s="30" t="s">
        <v>144</v>
      </c>
    </row>
    <row r="352" spans="1:18" ht="93" x14ac:dyDescent="0.25">
      <c r="A352" s="25" t="s">
        <v>939</v>
      </c>
      <c r="B352" s="26" t="s">
        <v>940</v>
      </c>
      <c r="C352" s="27"/>
      <c r="D352" s="27"/>
      <c r="E352" s="27"/>
      <c r="F352" s="31">
        <v>0</v>
      </c>
      <c r="G352" s="31">
        <v>0</v>
      </c>
      <c r="H352" s="31">
        <v>0</v>
      </c>
      <c r="I352" s="31">
        <v>0</v>
      </c>
      <c r="J352" s="31">
        <v>0</v>
      </c>
      <c r="K352" s="31">
        <v>0</v>
      </c>
      <c r="L352" s="31">
        <v>0</v>
      </c>
      <c r="M352" s="31">
        <v>0</v>
      </c>
      <c r="N352" s="31">
        <v>0</v>
      </c>
      <c r="O352" s="31">
        <v>0</v>
      </c>
      <c r="P352" s="27"/>
      <c r="Q352" s="29"/>
      <c r="R352" s="30"/>
    </row>
    <row r="353" spans="1:18" ht="93" x14ac:dyDescent="0.25">
      <c r="A353" s="25" t="s">
        <v>941</v>
      </c>
      <c r="B353" s="26" t="s">
        <v>942</v>
      </c>
      <c r="C353" s="27" t="s">
        <v>943</v>
      </c>
      <c r="D353" s="27" t="s">
        <v>944</v>
      </c>
      <c r="E353" s="27" t="s">
        <v>40</v>
      </c>
      <c r="F353" s="28">
        <f>SUM(F354:F354)+29186</f>
        <v>29186</v>
      </c>
      <c r="G353" s="28">
        <f>SUM(G354:G354)</f>
        <v>0</v>
      </c>
      <c r="H353" s="28">
        <f>SUM(H354:H354)</f>
        <v>0</v>
      </c>
      <c r="I353" s="28">
        <f>SUM(I354:I354)+29186</f>
        <v>29186</v>
      </c>
      <c r="J353" s="28">
        <f t="shared" ref="J353:O353" si="149">SUM(J354:J354)</f>
        <v>0</v>
      </c>
      <c r="K353" s="28">
        <f t="shared" si="149"/>
        <v>0</v>
      </c>
      <c r="L353" s="28">
        <f t="shared" si="149"/>
        <v>0</v>
      </c>
      <c r="M353" s="28">
        <f t="shared" si="149"/>
        <v>0</v>
      </c>
      <c r="N353" s="28">
        <f t="shared" si="149"/>
        <v>0</v>
      </c>
      <c r="O353" s="28">
        <f t="shared" si="149"/>
        <v>0</v>
      </c>
      <c r="P353" s="27" t="s">
        <v>945</v>
      </c>
      <c r="Q353" s="29" t="s">
        <v>35</v>
      </c>
      <c r="R353" s="30" t="s">
        <v>144</v>
      </c>
    </row>
    <row r="354" spans="1:18" ht="46.5" x14ac:dyDescent="0.25">
      <c r="A354" s="25" t="s">
        <v>946</v>
      </c>
      <c r="B354" s="26" t="s">
        <v>947</v>
      </c>
      <c r="C354" s="27"/>
      <c r="D354" s="27"/>
      <c r="E354" s="27"/>
      <c r="F354" s="31">
        <v>0</v>
      </c>
      <c r="G354" s="31">
        <v>0</v>
      </c>
      <c r="H354" s="31">
        <v>0</v>
      </c>
      <c r="I354" s="31">
        <v>0</v>
      </c>
      <c r="J354" s="31">
        <v>0</v>
      </c>
      <c r="K354" s="31">
        <v>0</v>
      </c>
      <c r="L354" s="31">
        <v>0</v>
      </c>
      <c r="M354" s="31">
        <v>0</v>
      </c>
      <c r="N354" s="31">
        <v>0</v>
      </c>
      <c r="O354" s="31">
        <v>0</v>
      </c>
      <c r="P354" s="27"/>
      <c r="Q354" s="29"/>
      <c r="R354" s="30"/>
    </row>
    <row r="355" spans="1:18" ht="116.25" x14ac:dyDescent="0.25">
      <c r="A355" s="25" t="s">
        <v>948</v>
      </c>
      <c r="B355" s="26" t="s">
        <v>949</v>
      </c>
      <c r="C355" s="27" t="s">
        <v>277</v>
      </c>
      <c r="D355" s="27" t="s">
        <v>932</v>
      </c>
      <c r="E355" s="27" t="s">
        <v>40</v>
      </c>
      <c r="F355" s="28">
        <f>SUM(F356:F356)+10310</f>
        <v>10310</v>
      </c>
      <c r="G355" s="28">
        <f>SUM(G356:G356)</f>
        <v>0</v>
      </c>
      <c r="H355" s="28">
        <f>SUM(H356:H356)</f>
        <v>0</v>
      </c>
      <c r="I355" s="28">
        <f>SUM(I356:I356)+10310</f>
        <v>10310</v>
      </c>
      <c r="J355" s="28">
        <f t="shared" ref="J355:O355" si="150">SUM(J356:J356)</f>
        <v>0</v>
      </c>
      <c r="K355" s="28">
        <f t="shared" si="150"/>
        <v>0</v>
      </c>
      <c r="L355" s="28">
        <f t="shared" si="150"/>
        <v>0</v>
      </c>
      <c r="M355" s="28">
        <f t="shared" si="150"/>
        <v>0</v>
      </c>
      <c r="N355" s="28">
        <f t="shared" si="150"/>
        <v>0</v>
      </c>
      <c r="O355" s="28">
        <f t="shared" si="150"/>
        <v>0</v>
      </c>
      <c r="P355" s="27" t="s">
        <v>950</v>
      </c>
      <c r="Q355" s="29" t="s">
        <v>951</v>
      </c>
      <c r="R355" s="30" t="s">
        <v>88</v>
      </c>
    </row>
    <row r="356" spans="1:18" ht="69.75" x14ac:dyDescent="0.25">
      <c r="A356" s="25" t="s">
        <v>952</v>
      </c>
      <c r="B356" s="26" t="s">
        <v>953</v>
      </c>
      <c r="C356" s="27"/>
      <c r="D356" s="27"/>
      <c r="E356" s="27"/>
      <c r="F356" s="31">
        <v>0</v>
      </c>
      <c r="G356" s="31">
        <v>0</v>
      </c>
      <c r="H356" s="31">
        <v>0</v>
      </c>
      <c r="I356" s="31">
        <v>0</v>
      </c>
      <c r="J356" s="31">
        <v>0</v>
      </c>
      <c r="K356" s="31">
        <v>0</v>
      </c>
      <c r="L356" s="31">
        <v>0</v>
      </c>
      <c r="M356" s="31">
        <v>0</v>
      </c>
      <c r="N356" s="31">
        <v>0</v>
      </c>
      <c r="O356" s="31">
        <v>0</v>
      </c>
      <c r="P356" s="27"/>
      <c r="Q356" s="29"/>
      <c r="R356" s="30"/>
    </row>
    <row r="357" spans="1:18" ht="69.75" x14ac:dyDescent="0.25">
      <c r="A357" s="25" t="s">
        <v>954</v>
      </c>
      <c r="B357" s="26" t="s">
        <v>955</v>
      </c>
      <c r="C357" s="27" t="s">
        <v>277</v>
      </c>
      <c r="D357" s="27" t="s">
        <v>932</v>
      </c>
      <c r="E357" s="27" t="s">
        <v>40</v>
      </c>
      <c r="F357" s="28">
        <f>SUM(F358:F358)+2000</f>
        <v>2000</v>
      </c>
      <c r="G357" s="28">
        <f>SUM(G358:G358)</f>
        <v>0</v>
      </c>
      <c r="H357" s="28">
        <f>SUM(H358:H358)</f>
        <v>0</v>
      </c>
      <c r="I357" s="28">
        <f>SUM(I358:I358)+2000</f>
        <v>2000</v>
      </c>
      <c r="J357" s="28">
        <f t="shared" ref="J357:O357" si="151">SUM(J358:J358)</f>
        <v>0</v>
      </c>
      <c r="K357" s="28">
        <f t="shared" si="151"/>
        <v>0</v>
      </c>
      <c r="L357" s="28">
        <f t="shared" si="151"/>
        <v>0</v>
      </c>
      <c r="M357" s="28">
        <f t="shared" si="151"/>
        <v>0</v>
      </c>
      <c r="N357" s="28">
        <f t="shared" si="151"/>
        <v>0</v>
      </c>
      <c r="O357" s="28">
        <f t="shared" si="151"/>
        <v>0</v>
      </c>
      <c r="P357" s="27" t="s">
        <v>956</v>
      </c>
      <c r="Q357" s="29" t="s">
        <v>35</v>
      </c>
      <c r="R357" s="30" t="s">
        <v>144</v>
      </c>
    </row>
    <row r="358" spans="1:18" ht="46.5" x14ac:dyDescent="0.25">
      <c r="A358" s="25" t="s">
        <v>957</v>
      </c>
      <c r="B358" s="26" t="s">
        <v>958</v>
      </c>
      <c r="C358" s="27"/>
      <c r="D358" s="27"/>
      <c r="E358" s="27"/>
      <c r="F358" s="31">
        <v>0</v>
      </c>
      <c r="G358" s="31">
        <v>0</v>
      </c>
      <c r="H358" s="31">
        <v>0</v>
      </c>
      <c r="I358" s="31">
        <v>0</v>
      </c>
      <c r="J358" s="31">
        <v>0</v>
      </c>
      <c r="K358" s="31">
        <v>0</v>
      </c>
      <c r="L358" s="31">
        <v>0</v>
      </c>
      <c r="M358" s="31">
        <v>0</v>
      </c>
      <c r="N358" s="31">
        <v>0</v>
      </c>
      <c r="O358" s="31">
        <v>0</v>
      </c>
      <c r="P358" s="27"/>
      <c r="Q358" s="29"/>
      <c r="R358" s="30"/>
    </row>
    <row r="359" spans="1:18" ht="69.75" x14ac:dyDescent="0.25">
      <c r="A359" s="25" t="s">
        <v>959</v>
      </c>
      <c r="B359" s="26" t="s">
        <v>960</v>
      </c>
      <c r="C359" s="27" t="s">
        <v>277</v>
      </c>
      <c r="D359" s="27" t="s">
        <v>932</v>
      </c>
      <c r="E359" s="27" t="s">
        <v>40</v>
      </c>
      <c r="F359" s="28">
        <f>SUM(F360:F360)+1000</f>
        <v>1000</v>
      </c>
      <c r="G359" s="28">
        <f>SUM(G360:G360)</f>
        <v>0</v>
      </c>
      <c r="H359" s="28">
        <f>SUM(H360:H360)</f>
        <v>0</v>
      </c>
      <c r="I359" s="28">
        <f>SUM(I360:I360)+1000</f>
        <v>1000</v>
      </c>
      <c r="J359" s="28">
        <f t="shared" ref="J359:O359" si="152">SUM(J360:J360)</f>
        <v>0</v>
      </c>
      <c r="K359" s="28">
        <f t="shared" si="152"/>
        <v>0</v>
      </c>
      <c r="L359" s="28">
        <f t="shared" si="152"/>
        <v>0</v>
      </c>
      <c r="M359" s="28">
        <f t="shared" si="152"/>
        <v>0</v>
      </c>
      <c r="N359" s="28">
        <f t="shared" si="152"/>
        <v>0</v>
      </c>
      <c r="O359" s="28">
        <f t="shared" si="152"/>
        <v>0</v>
      </c>
      <c r="P359" s="27" t="s">
        <v>961</v>
      </c>
      <c r="Q359" s="29" t="s">
        <v>35</v>
      </c>
      <c r="R359" s="30" t="s">
        <v>36</v>
      </c>
    </row>
    <row r="360" spans="1:18" ht="46.5" x14ac:dyDescent="0.25">
      <c r="A360" s="25" t="s">
        <v>962</v>
      </c>
      <c r="B360" s="26" t="s">
        <v>963</v>
      </c>
      <c r="C360" s="27"/>
      <c r="D360" s="27"/>
      <c r="E360" s="27"/>
      <c r="F360" s="31">
        <v>0</v>
      </c>
      <c r="G360" s="31">
        <v>0</v>
      </c>
      <c r="H360" s="31">
        <v>0</v>
      </c>
      <c r="I360" s="31">
        <v>0</v>
      </c>
      <c r="J360" s="31">
        <v>0</v>
      </c>
      <c r="K360" s="31">
        <v>0</v>
      </c>
      <c r="L360" s="31">
        <v>0</v>
      </c>
      <c r="M360" s="31">
        <v>0</v>
      </c>
      <c r="N360" s="31">
        <v>0</v>
      </c>
      <c r="O360" s="31">
        <v>0</v>
      </c>
      <c r="P360" s="27"/>
      <c r="Q360" s="29"/>
      <c r="R360" s="30"/>
    </row>
    <row r="361" spans="1:18" ht="93" x14ac:dyDescent="0.25">
      <c r="A361" s="25" t="s">
        <v>964</v>
      </c>
      <c r="B361" s="26" t="s">
        <v>965</v>
      </c>
      <c r="C361" s="27" t="s">
        <v>277</v>
      </c>
      <c r="D361" s="27" t="s">
        <v>932</v>
      </c>
      <c r="E361" s="27" t="s">
        <v>40</v>
      </c>
      <c r="F361" s="28">
        <f>SUM(F362:F362)+28652</f>
        <v>28652</v>
      </c>
      <c r="G361" s="28">
        <f>SUM(G362:G362)</f>
        <v>0</v>
      </c>
      <c r="H361" s="28">
        <f>SUM(H362:H362)</f>
        <v>0</v>
      </c>
      <c r="I361" s="28">
        <f>SUM(I362:I362)+28652</f>
        <v>28652</v>
      </c>
      <c r="J361" s="28">
        <f t="shared" ref="J361:O361" si="153">SUM(J362:J362)</f>
        <v>0</v>
      </c>
      <c r="K361" s="28">
        <f t="shared" si="153"/>
        <v>0</v>
      </c>
      <c r="L361" s="28">
        <f t="shared" si="153"/>
        <v>0</v>
      </c>
      <c r="M361" s="28">
        <f t="shared" si="153"/>
        <v>0</v>
      </c>
      <c r="N361" s="28">
        <f t="shared" si="153"/>
        <v>0</v>
      </c>
      <c r="O361" s="28">
        <f t="shared" si="153"/>
        <v>0</v>
      </c>
      <c r="P361" s="27" t="s">
        <v>966</v>
      </c>
      <c r="Q361" s="29" t="s">
        <v>35</v>
      </c>
      <c r="R361" s="30" t="s">
        <v>163</v>
      </c>
    </row>
    <row r="362" spans="1:18" ht="93" x14ac:dyDescent="0.25">
      <c r="A362" s="25" t="s">
        <v>967</v>
      </c>
      <c r="B362" s="26" t="s">
        <v>968</v>
      </c>
      <c r="C362" s="27"/>
      <c r="D362" s="27"/>
      <c r="E362" s="27"/>
      <c r="F362" s="31">
        <v>0</v>
      </c>
      <c r="G362" s="31">
        <v>0</v>
      </c>
      <c r="H362" s="31">
        <v>0</v>
      </c>
      <c r="I362" s="31">
        <v>0</v>
      </c>
      <c r="J362" s="31">
        <v>0</v>
      </c>
      <c r="K362" s="31">
        <v>0</v>
      </c>
      <c r="L362" s="31">
        <v>0</v>
      </c>
      <c r="M362" s="31">
        <v>0</v>
      </c>
      <c r="N362" s="31">
        <v>0</v>
      </c>
      <c r="O362" s="31">
        <v>0</v>
      </c>
      <c r="P362" s="27"/>
      <c r="Q362" s="29"/>
      <c r="R362" s="30"/>
    </row>
    <row r="363" spans="1:18" ht="69.75" x14ac:dyDescent="0.25">
      <c r="A363" s="25" t="s">
        <v>969</v>
      </c>
      <c r="B363" s="26" t="s">
        <v>970</v>
      </c>
      <c r="C363" s="27" t="s">
        <v>277</v>
      </c>
      <c r="D363" s="27" t="s">
        <v>932</v>
      </c>
      <c r="E363" s="27" t="s">
        <v>40</v>
      </c>
      <c r="F363" s="28">
        <f>SUM(F364:F364)+7000</f>
        <v>7000</v>
      </c>
      <c r="G363" s="28">
        <f>SUM(G364:G364)</f>
        <v>0</v>
      </c>
      <c r="H363" s="28">
        <f>SUM(H364:H364)</f>
        <v>0</v>
      </c>
      <c r="I363" s="28">
        <f>SUM(I364:I364)+7000</f>
        <v>7000</v>
      </c>
      <c r="J363" s="28">
        <f t="shared" ref="J363:O363" si="154">SUM(J364:J364)</f>
        <v>0</v>
      </c>
      <c r="K363" s="28">
        <f t="shared" si="154"/>
        <v>0</v>
      </c>
      <c r="L363" s="28">
        <f t="shared" si="154"/>
        <v>0</v>
      </c>
      <c r="M363" s="28">
        <f t="shared" si="154"/>
        <v>0</v>
      </c>
      <c r="N363" s="28">
        <f t="shared" si="154"/>
        <v>0</v>
      </c>
      <c r="O363" s="28">
        <f t="shared" si="154"/>
        <v>0</v>
      </c>
      <c r="P363" s="27" t="s">
        <v>971</v>
      </c>
      <c r="Q363" s="29" t="s">
        <v>35</v>
      </c>
      <c r="R363" s="30" t="s">
        <v>388</v>
      </c>
    </row>
    <row r="364" spans="1:18" ht="93" x14ac:dyDescent="0.25">
      <c r="A364" s="25" t="s">
        <v>972</v>
      </c>
      <c r="B364" s="26" t="s">
        <v>973</v>
      </c>
      <c r="C364" s="27"/>
      <c r="D364" s="27"/>
      <c r="E364" s="27"/>
      <c r="F364" s="31">
        <v>0</v>
      </c>
      <c r="G364" s="31">
        <v>0</v>
      </c>
      <c r="H364" s="31">
        <v>0</v>
      </c>
      <c r="I364" s="31">
        <v>0</v>
      </c>
      <c r="J364" s="31">
        <v>0</v>
      </c>
      <c r="K364" s="31">
        <v>0</v>
      </c>
      <c r="L364" s="31">
        <v>0</v>
      </c>
      <c r="M364" s="31">
        <v>0</v>
      </c>
      <c r="N364" s="31">
        <v>0</v>
      </c>
      <c r="O364" s="31">
        <v>0</v>
      </c>
      <c r="P364" s="27"/>
      <c r="Q364" s="29"/>
      <c r="R364" s="30"/>
    </row>
    <row r="365" spans="1:18" ht="69.75" x14ac:dyDescent="0.25">
      <c r="A365" s="25" t="s">
        <v>974</v>
      </c>
      <c r="B365" s="26" t="s">
        <v>975</v>
      </c>
      <c r="C365" s="27" t="s">
        <v>277</v>
      </c>
      <c r="D365" s="27" t="s">
        <v>932</v>
      </c>
      <c r="E365" s="27" t="s">
        <v>40</v>
      </c>
      <c r="F365" s="28">
        <f>SUM(F366:F366)+500</f>
        <v>500</v>
      </c>
      <c r="G365" s="28">
        <f>SUM(G366:G366)</f>
        <v>0</v>
      </c>
      <c r="H365" s="28">
        <f>SUM(H366:H366)</f>
        <v>0</v>
      </c>
      <c r="I365" s="28">
        <f>SUM(I366:I366)+500</f>
        <v>500</v>
      </c>
      <c r="J365" s="28">
        <f t="shared" ref="J365:O365" si="155">SUM(J366:J366)</f>
        <v>0</v>
      </c>
      <c r="K365" s="28">
        <f t="shared" si="155"/>
        <v>0</v>
      </c>
      <c r="L365" s="28">
        <f t="shared" si="155"/>
        <v>0</v>
      </c>
      <c r="M365" s="28">
        <f t="shared" si="155"/>
        <v>0</v>
      </c>
      <c r="N365" s="28">
        <f t="shared" si="155"/>
        <v>0</v>
      </c>
      <c r="O365" s="28">
        <f t="shared" si="155"/>
        <v>0</v>
      </c>
      <c r="P365" s="27" t="s">
        <v>976</v>
      </c>
      <c r="Q365" s="29" t="s">
        <v>35</v>
      </c>
      <c r="R365" s="30" t="s">
        <v>48</v>
      </c>
    </row>
    <row r="366" spans="1:18" ht="69.75" x14ac:dyDescent="0.25">
      <c r="A366" s="25" t="s">
        <v>977</v>
      </c>
      <c r="B366" s="26" t="s">
        <v>978</v>
      </c>
      <c r="C366" s="27"/>
      <c r="D366" s="27"/>
      <c r="E366" s="27"/>
      <c r="F366" s="31">
        <v>0</v>
      </c>
      <c r="G366" s="31">
        <v>0</v>
      </c>
      <c r="H366" s="31">
        <v>0</v>
      </c>
      <c r="I366" s="31">
        <v>0</v>
      </c>
      <c r="J366" s="31">
        <v>0</v>
      </c>
      <c r="K366" s="31">
        <v>0</v>
      </c>
      <c r="L366" s="31">
        <v>0</v>
      </c>
      <c r="M366" s="31">
        <v>0</v>
      </c>
      <c r="N366" s="31">
        <v>0</v>
      </c>
      <c r="O366" s="31">
        <v>0</v>
      </c>
      <c r="P366" s="27"/>
      <c r="Q366" s="29"/>
      <c r="R366" s="30"/>
    </row>
    <row r="367" spans="1:18" ht="69.75" x14ac:dyDescent="0.25">
      <c r="A367" s="25" t="s">
        <v>979</v>
      </c>
      <c r="B367" s="26" t="s">
        <v>980</v>
      </c>
      <c r="C367" s="27" t="s">
        <v>277</v>
      </c>
      <c r="D367" s="27" t="s">
        <v>932</v>
      </c>
      <c r="E367" s="27" t="s">
        <v>40</v>
      </c>
      <c r="F367" s="28">
        <f>SUM(F368:F368)+4000</f>
        <v>4000</v>
      </c>
      <c r="G367" s="28">
        <f>SUM(G368:G368)</f>
        <v>0</v>
      </c>
      <c r="H367" s="28">
        <f>SUM(H368:H368)</f>
        <v>0</v>
      </c>
      <c r="I367" s="28">
        <f>SUM(I368:I368)+4000</f>
        <v>4000</v>
      </c>
      <c r="J367" s="28">
        <f t="shared" ref="J367:O367" si="156">SUM(J368:J368)</f>
        <v>0</v>
      </c>
      <c r="K367" s="28">
        <f t="shared" si="156"/>
        <v>0</v>
      </c>
      <c r="L367" s="28">
        <f t="shared" si="156"/>
        <v>0</v>
      </c>
      <c r="M367" s="28">
        <f t="shared" si="156"/>
        <v>0</v>
      </c>
      <c r="N367" s="28">
        <f t="shared" si="156"/>
        <v>0</v>
      </c>
      <c r="O367" s="28">
        <f t="shared" si="156"/>
        <v>0</v>
      </c>
      <c r="P367" s="27" t="s">
        <v>981</v>
      </c>
      <c r="Q367" s="29" t="s">
        <v>35</v>
      </c>
      <c r="R367" s="30" t="s">
        <v>144</v>
      </c>
    </row>
    <row r="368" spans="1:18" ht="69.75" x14ac:dyDescent="0.25">
      <c r="A368" s="25" t="s">
        <v>982</v>
      </c>
      <c r="B368" s="26" t="s">
        <v>983</v>
      </c>
      <c r="C368" s="27"/>
      <c r="D368" s="27"/>
      <c r="E368" s="27"/>
      <c r="F368" s="31">
        <v>0</v>
      </c>
      <c r="G368" s="31">
        <v>0</v>
      </c>
      <c r="H368" s="31">
        <v>0</v>
      </c>
      <c r="I368" s="31">
        <v>0</v>
      </c>
      <c r="J368" s="31">
        <v>0</v>
      </c>
      <c r="K368" s="31">
        <v>0</v>
      </c>
      <c r="L368" s="31">
        <v>0</v>
      </c>
      <c r="M368" s="31">
        <v>0</v>
      </c>
      <c r="N368" s="31">
        <v>0</v>
      </c>
      <c r="O368" s="31">
        <v>0</v>
      </c>
      <c r="P368" s="27"/>
      <c r="Q368" s="29"/>
      <c r="R368" s="30"/>
    </row>
    <row r="369" spans="1:18" ht="139.5" x14ac:dyDescent="0.25">
      <c r="A369" s="25" t="s">
        <v>984</v>
      </c>
      <c r="B369" s="26" t="s">
        <v>985</v>
      </c>
      <c r="C369" s="27" t="s">
        <v>277</v>
      </c>
      <c r="D369" s="27" t="s">
        <v>932</v>
      </c>
      <c r="E369" s="27" t="s">
        <v>40</v>
      </c>
      <c r="F369" s="28">
        <f>SUM(F370:F370)+1000</f>
        <v>1000</v>
      </c>
      <c r="G369" s="28">
        <f>SUM(G370:G370)</f>
        <v>0</v>
      </c>
      <c r="H369" s="28">
        <f>SUM(H370:H370)</f>
        <v>0</v>
      </c>
      <c r="I369" s="28">
        <f>SUM(I370:I370)+1000</f>
        <v>1000</v>
      </c>
      <c r="J369" s="28">
        <f t="shared" ref="J369:O369" si="157">SUM(J370:J370)</f>
        <v>0</v>
      </c>
      <c r="K369" s="28">
        <f t="shared" si="157"/>
        <v>0</v>
      </c>
      <c r="L369" s="28">
        <f t="shared" si="157"/>
        <v>0</v>
      </c>
      <c r="M369" s="28">
        <f t="shared" si="157"/>
        <v>0</v>
      </c>
      <c r="N369" s="28">
        <f t="shared" si="157"/>
        <v>0</v>
      </c>
      <c r="O369" s="28">
        <f t="shared" si="157"/>
        <v>0</v>
      </c>
      <c r="P369" s="27" t="s">
        <v>595</v>
      </c>
      <c r="Q369" s="29" t="s">
        <v>35</v>
      </c>
      <c r="R369" s="30" t="s">
        <v>48</v>
      </c>
    </row>
    <row r="370" spans="1:18" ht="46.5" x14ac:dyDescent="0.25">
      <c r="A370" s="25" t="s">
        <v>986</v>
      </c>
      <c r="B370" s="26" t="s">
        <v>987</v>
      </c>
      <c r="C370" s="27"/>
      <c r="D370" s="27"/>
      <c r="E370" s="27"/>
      <c r="F370" s="31">
        <v>0</v>
      </c>
      <c r="G370" s="31">
        <v>0</v>
      </c>
      <c r="H370" s="31">
        <v>0</v>
      </c>
      <c r="I370" s="31">
        <v>0</v>
      </c>
      <c r="J370" s="31">
        <v>0</v>
      </c>
      <c r="K370" s="31">
        <v>0</v>
      </c>
      <c r="L370" s="31">
        <v>0</v>
      </c>
      <c r="M370" s="31">
        <v>0</v>
      </c>
      <c r="N370" s="31">
        <v>0</v>
      </c>
      <c r="O370" s="31">
        <v>0</v>
      </c>
      <c r="P370" s="27"/>
      <c r="Q370" s="29"/>
      <c r="R370" s="30"/>
    </row>
    <row r="371" spans="1:18" ht="46.5" x14ac:dyDescent="0.25">
      <c r="A371" s="25" t="s">
        <v>988</v>
      </c>
      <c r="B371" s="26" t="s">
        <v>989</v>
      </c>
      <c r="C371" s="27" t="s">
        <v>277</v>
      </c>
      <c r="D371" s="27" t="s">
        <v>932</v>
      </c>
      <c r="E371" s="27" t="s">
        <v>40</v>
      </c>
      <c r="F371" s="28">
        <f>SUM(F372:F372)+26690</f>
        <v>26690</v>
      </c>
      <c r="G371" s="28">
        <f>SUM(G372:G372)</f>
        <v>0</v>
      </c>
      <c r="H371" s="28">
        <f>SUM(H372:H372)</f>
        <v>0</v>
      </c>
      <c r="I371" s="28">
        <f>SUM(I372:I372)+26690</f>
        <v>26690</v>
      </c>
      <c r="J371" s="28">
        <f t="shared" ref="J371:O371" si="158">SUM(J372:J372)</f>
        <v>0</v>
      </c>
      <c r="K371" s="28">
        <f t="shared" si="158"/>
        <v>0</v>
      </c>
      <c r="L371" s="28">
        <f t="shared" si="158"/>
        <v>0</v>
      </c>
      <c r="M371" s="28">
        <f t="shared" si="158"/>
        <v>0</v>
      </c>
      <c r="N371" s="28">
        <f t="shared" si="158"/>
        <v>0</v>
      </c>
      <c r="O371" s="28">
        <f t="shared" si="158"/>
        <v>0</v>
      </c>
      <c r="P371" s="27" t="s">
        <v>990</v>
      </c>
      <c r="Q371" s="29" t="s">
        <v>35</v>
      </c>
      <c r="R371" s="30" t="s">
        <v>991</v>
      </c>
    </row>
    <row r="372" spans="1:18" ht="69.75" x14ac:dyDescent="0.25">
      <c r="A372" s="25" t="s">
        <v>992</v>
      </c>
      <c r="B372" s="26" t="s">
        <v>993</v>
      </c>
      <c r="C372" s="27"/>
      <c r="D372" s="27"/>
      <c r="E372" s="27"/>
      <c r="F372" s="31">
        <v>0</v>
      </c>
      <c r="G372" s="31">
        <v>0</v>
      </c>
      <c r="H372" s="31">
        <v>0</v>
      </c>
      <c r="I372" s="31">
        <v>0</v>
      </c>
      <c r="J372" s="31">
        <v>0</v>
      </c>
      <c r="K372" s="31">
        <v>0</v>
      </c>
      <c r="L372" s="31">
        <v>0</v>
      </c>
      <c r="M372" s="31">
        <v>0</v>
      </c>
      <c r="N372" s="31">
        <v>0</v>
      </c>
      <c r="O372" s="31">
        <v>0</v>
      </c>
      <c r="P372" s="27"/>
      <c r="Q372" s="29"/>
      <c r="R372" s="30"/>
    </row>
    <row r="373" spans="1:18" ht="69.75" x14ac:dyDescent="0.25">
      <c r="A373" s="25" t="s">
        <v>994</v>
      </c>
      <c r="B373" s="26" t="s">
        <v>995</v>
      </c>
      <c r="C373" s="27" t="s">
        <v>277</v>
      </c>
      <c r="D373" s="27" t="s">
        <v>932</v>
      </c>
      <c r="E373" s="27" t="s">
        <v>40</v>
      </c>
      <c r="F373" s="28">
        <f>SUM(F374:F374)+11931</f>
        <v>11931</v>
      </c>
      <c r="G373" s="28">
        <f>SUM(G374:G374)</f>
        <v>0</v>
      </c>
      <c r="H373" s="28">
        <f>SUM(H374:H374)</f>
        <v>0</v>
      </c>
      <c r="I373" s="28">
        <f>SUM(I374:I374)+11931</f>
        <v>11931</v>
      </c>
      <c r="J373" s="28">
        <f t="shared" ref="J373:O373" si="159">SUM(J374:J374)</f>
        <v>0</v>
      </c>
      <c r="K373" s="28">
        <f t="shared" si="159"/>
        <v>0</v>
      </c>
      <c r="L373" s="28">
        <f t="shared" si="159"/>
        <v>0</v>
      </c>
      <c r="M373" s="28">
        <f t="shared" si="159"/>
        <v>0</v>
      </c>
      <c r="N373" s="28">
        <f t="shared" si="159"/>
        <v>0</v>
      </c>
      <c r="O373" s="28">
        <f t="shared" si="159"/>
        <v>0</v>
      </c>
      <c r="P373" s="27" t="s">
        <v>996</v>
      </c>
      <c r="Q373" s="29" t="s">
        <v>35</v>
      </c>
      <c r="R373" s="30" t="s">
        <v>991</v>
      </c>
    </row>
    <row r="374" spans="1:18" ht="69.75" x14ac:dyDescent="0.25">
      <c r="A374" s="25" t="s">
        <v>997</v>
      </c>
      <c r="B374" s="26" t="s">
        <v>998</v>
      </c>
      <c r="C374" s="27"/>
      <c r="D374" s="27"/>
      <c r="E374" s="27"/>
      <c r="F374" s="31">
        <v>0</v>
      </c>
      <c r="G374" s="31">
        <v>0</v>
      </c>
      <c r="H374" s="31">
        <v>0</v>
      </c>
      <c r="I374" s="31">
        <v>0</v>
      </c>
      <c r="J374" s="31">
        <v>0</v>
      </c>
      <c r="K374" s="31">
        <v>0</v>
      </c>
      <c r="L374" s="31">
        <v>0</v>
      </c>
      <c r="M374" s="31">
        <v>0</v>
      </c>
      <c r="N374" s="31">
        <v>0</v>
      </c>
      <c r="O374" s="31">
        <v>0</v>
      </c>
      <c r="P374" s="27"/>
      <c r="Q374" s="29"/>
      <c r="R374" s="30"/>
    </row>
    <row r="375" spans="1:18" ht="69.75" x14ac:dyDescent="0.25">
      <c r="A375" s="25" t="s">
        <v>999</v>
      </c>
      <c r="B375" s="26" t="s">
        <v>1000</v>
      </c>
      <c r="C375" s="27" t="s">
        <v>277</v>
      </c>
      <c r="D375" s="27" t="s">
        <v>932</v>
      </c>
      <c r="E375" s="27" t="s">
        <v>40</v>
      </c>
      <c r="F375" s="28">
        <f t="shared" ref="F375:O375" si="160">SUM(F376:F376)</f>
        <v>0</v>
      </c>
      <c r="G375" s="28">
        <f t="shared" si="160"/>
        <v>0</v>
      </c>
      <c r="H375" s="28">
        <f t="shared" si="160"/>
        <v>0</v>
      </c>
      <c r="I375" s="28">
        <f t="shared" si="160"/>
        <v>0</v>
      </c>
      <c r="J375" s="28">
        <f t="shared" si="160"/>
        <v>0</v>
      </c>
      <c r="K375" s="28">
        <f t="shared" si="160"/>
        <v>0</v>
      </c>
      <c r="L375" s="28">
        <f t="shared" si="160"/>
        <v>0</v>
      </c>
      <c r="M375" s="28">
        <f t="shared" si="160"/>
        <v>0</v>
      </c>
      <c r="N375" s="28">
        <f t="shared" si="160"/>
        <v>0</v>
      </c>
      <c r="O375" s="28">
        <f t="shared" si="160"/>
        <v>0</v>
      </c>
      <c r="P375" s="27" t="s">
        <v>1001</v>
      </c>
      <c r="Q375" s="29" t="s">
        <v>35</v>
      </c>
      <c r="R375" s="30" t="s">
        <v>48</v>
      </c>
    </row>
    <row r="376" spans="1:18" ht="46.5" x14ac:dyDescent="0.25">
      <c r="A376" s="25" t="s">
        <v>1002</v>
      </c>
      <c r="B376" s="26" t="s">
        <v>1003</v>
      </c>
      <c r="C376" s="27"/>
      <c r="D376" s="27"/>
      <c r="E376" s="27"/>
      <c r="F376" s="31">
        <v>0</v>
      </c>
      <c r="G376" s="31">
        <v>0</v>
      </c>
      <c r="H376" s="31">
        <v>0</v>
      </c>
      <c r="I376" s="31">
        <v>0</v>
      </c>
      <c r="J376" s="31">
        <v>0</v>
      </c>
      <c r="K376" s="31">
        <v>0</v>
      </c>
      <c r="L376" s="31">
        <v>0</v>
      </c>
      <c r="M376" s="31">
        <v>0</v>
      </c>
      <c r="N376" s="31">
        <v>0</v>
      </c>
      <c r="O376" s="31">
        <v>0</v>
      </c>
      <c r="P376" s="27"/>
      <c r="Q376" s="29"/>
      <c r="R376" s="30"/>
    </row>
    <row r="377" spans="1:18" ht="93" x14ac:dyDescent="0.25">
      <c r="A377" s="25" t="s">
        <v>1004</v>
      </c>
      <c r="B377" s="26" t="s">
        <v>1005</v>
      </c>
      <c r="C377" s="27" t="s">
        <v>277</v>
      </c>
      <c r="D377" s="27" t="s">
        <v>932</v>
      </c>
      <c r="E377" s="27" t="s">
        <v>40</v>
      </c>
      <c r="F377" s="28">
        <f t="shared" ref="F377:O377" si="161">SUM(F378:F378)</f>
        <v>0</v>
      </c>
      <c r="G377" s="28">
        <f t="shared" si="161"/>
        <v>0</v>
      </c>
      <c r="H377" s="28">
        <f t="shared" si="161"/>
        <v>0</v>
      </c>
      <c r="I377" s="28">
        <f t="shared" si="161"/>
        <v>0</v>
      </c>
      <c r="J377" s="28">
        <f t="shared" si="161"/>
        <v>0</v>
      </c>
      <c r="K377" s="28">
        <f t="shared" si="161"/>
        <v>0</v>
      </c>
      <c r="L377" s="28">
        <f t="shared" si="161"/>
        <v>0</v>
      </c>
      <c r="M377" s="28">
        <f t="shared" si="161"/>
        <v>0</v>
      </c>
      <c r="N377" s="28">
        <f t="shared" si="161"/>
        <v>0</v>
      </c>
      <c r="O377" s="28">
        <f t="shared" si="161"/>
        <v>0</v>
      </c>
      <c r="P377" s="27" t="s">
        <v>1006</v>
      </c>
      <c r="Q377" s="29" t="s">
        <v>35</v>
      </c>
      <c r="R377" s="30" t="s">
        <v>48</v>
      </c>
    </row>
    <row r="378" spans="1:18" ht="93" x14ac:dyDescent="0.25">
      <c r="A378" s="25" t="s">
        <v>1007</v>
      </c>
      <c r="B378" s="26" t="s">
        <v>1008</v>
      </c>
      <c r="C378" s="27"/>
      <c r="D378" s="27"/>
      <c r="E378" s="27"/>
      <c r="F378" s="31">
        <v>0</v>
      </c>
      <c r="G378" s="31">
        <v>0</v>
      </c>
      <c r="H378" s="31">
        <v>0</v>
      </c>
      <c r="I378" s="31">
        <v>0</v>
      </c>
      <c r="J378" s="31">
        <v>0</v>
      </c>
      <c r="K378" s="31">
        <v>0</v>
      </c>
      <c r="L378" s="31">
        <v>0</v>
      </c>
      <c r="M378" s="31">
        <v>0</v>
      </c>
      <c r="N378" s="31">
        <v>0</v>
      </c>
      <c r="O378" s="31">
        <v>0</v>
      </c>
      <c r="P378" s="27"/>
      <c r="Q378" s="29"/>
      <c r="R378" s="30"/>
    </row>
    <row r="379" spans="1:18" ht="135" x14ac:dyDescent="0.25">
      <c r="A379" s="19" t="s">
        <v>1009</v>
      </c>
      <c r="B379" s="20" t="s">
        <v>1010</v>
      </c>
      <c r="C379" s="21" t="s">
        <v>277</v>
      </c>
      <c r="D379" s="21" t="s">
        <v>923</v>
      </c>
      <c r="E379" s="21" t="s">
        <v>33</v>
      </c>
      <c r="F379" s="22">
        <f t="shared" ref="F379:O379" si="162">F380+F382+F384+F386+F388+F390+F392+F394+F396+F398+F400+F402+F404+F406+F408+F410+F412</f>
        <v>2087667</v>
      </c>
      <c r="G379" s="22">
        <f t="shared" si="162"/>
        <v>2087667</v>
      </c>
      <c r="H379" s="22">
        <f t="shared" si="162"/>
        <v>0</v>
      </c>
      <c r="I379" s="22">
        <f t="shared" si="162"/>
        <v>0</v>
      </c>
      <c r="J379" s="22">
        <f t="shared" si="162"/>
        <v>0</v>
      </c>
      <c r="K379" s="22">
        <f t="shared" si="162"/>
        <v>0</v>
      </c>
      <c r="L379" s="22">
        <f t="shared" si="162"/>
        <v>0</v>
      </c>
      <c r="M379" s="22">
        <f t="shared" si="162"/>
        <v>0</v>
      </c>
      <c r="N379" s="22">
        <f t="shared" si="162"/>
        <v>0</v>
      </c>
      <c r="O379" s="22">
        <f t="shared" si="162"/>
        <v>0</v>
      </c>
      <c r="P379" s="21" t="s">
        <v>285</v>
      </c>
      <c r="Q379" s="23" t="s">
        <v>35</v>
      </c>
      <c r="R379" s="24" t="s">
        <v>991</v>
      </c>
    </row>
    <row r="380" spans="1:18" ht="69.75" x14ac:dyDescent="0.25">
      <c r="A380" s="25" t="s">
        <v>1011</v>
      </c>
      <c r="B380" s="26" t="s">
        <v>1012</v>
      </c>
      <c r="C380" s="27" t="s">
        <v>277</v>
      </c>
      <c r="D380" s="27" t="s">
        <v>932</v>
      </c>
      <c r="E380" s="27" t="s">
        <v>40</v>
      </c>
      <c r="F380" s="28">
        <f>SUM(F381:F381)+7000</f>
        <v>7000</v>
      </c>
      <c r="G380" s="28">
        <f>SUM(G381:G381)+7000</f>
        <v>7000</v>
      </c>
      <c r="H380" s="28">
        <f t="shared" ref="H380:O380" si="163">SUM(H381:H381)</f>
        <v>0</v>
      </c>
      <c r="I380" s="28">
        <f t="shared" si="163"/>
        <v>0</v>
      </c>
      <c r="J380" s="28">
        <f t="shared" si="163"/>
        <v>0</v>
      </c>
      <c r="K380" s="28">
        <f t="shared" si="163"/>
        <v>0</v>
      </c>
      <c r="L380" s="28">
        <f t="shared" si="163"/>
        <v>0</v>
      </c>
      <c r="M380" s="28">
        <f t="shared" si="163"/>
        <v>0</v>
      </c>
      <c r="N380" s="28">
        <f t="shared" si="163"/>
        <v>0</v>
      </c>
      <c r="O380" s="28">
        <f t="shared" si="163"/>
        <v>0</v>
      </c>
      <c r="P380" s="27" t="s">
        <v>1013</v>
      </c>
      <c r="Q380" s="29" t="s">
        <v>35</v>
      </c>
      <c r="R380" s="30" t="s">
        <v>864</v>
      </c>
    </row>
    <row r="381" spans="1:18" ht="139.5" x14ac:dyDescent="0.25">
      <c r="A381" s="25" t="s">
        <v>1014</v>
      </c>
      <c r="B381" s="26" t="s">
        <v>1015</v>
      </c>
      <c r="C381" s="27"/>
      <c r="D381" s="27"/>
      <c r="E381" s="27"/>
      <c r="F381" s="31">
        <v>0</v>
      </c>
      <c r="G381" s="31">
        <v>0</v>
      </c>
      <c r="H381" s="31">
        <v>0</v>
      </c>
      <c r="I381" s="31">
        <v>0</v>
      </c>
      <c r="J381" s="31">
        <v>0</v>
      </c>
      <c r="K381" s="31">
        <v>0</v>
      </c>
      <c r="L381" s="31">
        <v>0</v>
      </c>
      <c r="M381" s="31">
        <v>0</v>
      </c>
      <c r="N381" s="31">
        <v>0</v>
      </c>
      <c r="O381" s="31">
        <v>0</v>
      </c>
      <c r="P381" s="27"/>
      <c r="Q381" s="29"/>
      <c r="R381" s="30"/>
    </row>
    <row r="382" spans="1:18" ht="69.75" x14ac:dyDescent="0.25">
      <c r="A382" s="25" t="s">
        <v>1016</v>
      </c>
      <c r="B382" s="26" t="s">
        <v>1017</v>
      </c>
      <c r="C382" s="27" t="s">
        <v>277</v>
      </c>
      <c r="D382" s="27" t="s">
        <v>932</v>
      </c>
      <c r="E382" s="27" t="s">
        <v>40</v>
      </c>
      <c r="F382" s="28">
        <f>SUM(F383:F383)+4000</f>
        <v>4000</v>
      </c>
      <c r="G382" s="28">
        <f>SUM(G383:G383)+4000</f>
        <v>4000</v>
      </c>
      <c r="H382" s="28">
        <f t="shared" ref="H382:O382" si="164">SUM(H383:H383)</f>
        <v>0</v>
      </c>
      <c r="I382" s="28">
        <f t="shared" si="164"/>
        <v>0</v>
      </c>
      <c r="J382" s="28">
        <f t="shared" si="164"/>
        <v>0</v>
      </c>
      <c r="K382" s="28">
        <f t="shared" si="164"/>
        <v>0</v>
      </c>
      <c r="L382" s="28">
        <f t="shared" si="164"/>
        <v>0</v>
      </c>
      <c r="M382" s="28">
        <f t="shared" si="164"/>
        <v>0</v>
      </c>
      <c r="N382" s="28">
        <f t="shared" si="164"/>
        <v>0</v>
      </c>
      <c r="O382" s="28">
        <f t="shared" si="164"/>
        <v>0</v>
      </c>
      <c r="P382" s="27" t="s">
        <v>1006</v>
      </c>
      <c r="Q382" s="29" t="s">
        <v>35</v>
      </c>
      <c r="R382" s="30" t="s">
        <v>48</v>
      </c>
    </row>
    <row r="383" spans="1:18" ht="93" x14ac:dyDescent="0.25">
      <c r="A383" s="25" t="s">
        <v>1018</v>
      </c>
      <c r="B383" s="26" t="s">
        <v>1019</v>
      </c>
      <c r="C383" s="27"/>
      <c r="D383" s="27"/>
      <c r="E383" s="27"/>
      <c r="F383" s="31">
        <v>0</v>
      </c>
      <c r="G383" s="31">
        <v>0</v>
      </c>
      <c r="H383" s="31">
        <v>0</v>
      </c>
      <c r="I383" s="31">
        <v>0</v>
      </c>
      <c r="J383" s="31">
        <v>0</v>
      </c>
      <c r="K383" s="31">
        <v>0</v>
      </c>
      <c r="L383" s="31">
        <v>0</v>
      </c>
      <c r="M383" s="31">
        <v>0</v>
      </c>
      <c r="N383" s="31">
        <v>0</v>
      </c>
      <c r="O383" s="31">
        <v>0</v>
      </c>
      <c r="P383" s="27"/>
      <c r="Q383" s="29"/>
      <c r="R383" s="30"/>
    </row>
    <row r="384" spans="1:18" ht="46.5" x14ac:dyDescent="0.25">
      <c r="A384" s="25" t="s">
        <v>1020</v>
      </c>
      <c r="B384" s="26" t="s">
        <v>1021</v>
      </c>
      <c r="C384" s="27" t="s">
        <v>726</v>
      </c>
      <c r="D384" s="27" t="s">
        <v>727</v>
      </c>
      <c r="E384" s="27" t="s">
        <v>40</v>
      </c>
      <c r="F384" s="28">
        <f>SUM(F385:F385)+59298</f>
        <v>59298</v>
      </c>
      <c r="G384" s="28">
        <f>SUM(G385:G385)+59298</f>
        <v>59298</v>
      </c>
      <c r="H384" s="28">
        <f t="shared" ref="H384:O384" si="165">SUM(H385:H385)</f>
        <v>0</v>
      </c>
      <c r="I384" s="28">
        <f t="shared" si="165"/>
        <v>0</v>
      </c>
      <c r="J384" s="28">
        <f t="shared" si="165"/>
        <v>0</v>
      </c>
      <c r="K384" s="28">
        <f t="shared" si="165"/>
        <v>0</v>
      </c>
      <c r="L384" s="28">
        <f t="shared" si="165"/>
        <v>0</v>
      </c>
      <c r="M384" s="28">
        <f t="shared" si="165"/>
        <v>0</v>
      </c>
      <c r="N384" s="28">
        <f t="shared" si="165"/>
        <v>0</v>
      </c>
      <c r="O384" s="28">
        <f t="shared" si="165"/>
        <v>0</v>
      </c>
      <c r="P384" s="27" t="s">
        <v>1022</v>
      </c>
      <c r="Q384" s="29" t="s">
        <v>1023</v>
      </c>
      <c r="R384" s="30" t="s">
        <v>70</v>
      </c>
    </row>
    <row r="385" spans="1:18" ht="69.75" x14ac:dyDescent="0.25">
      <c r="A385" s="25" t="s">
        <v>1024</v>
      </c>
      <c r="B385" s="26" t="s">
        <v>1025</v>
      </c>
      <c r="C385" s="27"/>
      <c r="D385" s="27"/>
      <c r="E385" s="27"/>
      <c r="F385" s="31">
        <v>0</v>
      </c>
      <c r="G385" s="31">
        <v>0</v>
      </c>
      <c r="H385" s="31">
        <v>0</v>
      </c>
      <c r="I385" s="31">
        <v>0</v>
      </c>
      <c r="J385" s="31">
        <v>0</v>
      </c>
      <c r="K385" s="31">
        <v>0</v>
      </c>
      <c r="L385" s="31">
        <v>0</v>
      </c>
      <c r="M385" s="31">
        <v>0</v>
      </c>
      <c r="N385" s="31">
        <v>0</v>
      </c>
      <c r="O385" s="31">
        <v>0</v>
      </c>
      <c r="P385" s="27"/>
      <c r="Q385" s="29"/>
      <c r="R385" s="30"/>
    </row>
    <row r="386" spans="1:18" ht="46.5" x14ac:dyDescent="0.25">
      <c r="A386" s="25" t="s">
        <v>1026</v>
      </c>
      <c r="B386" s="26" t="s">
        <v>1027</v>
      </c>
      <c r="C386" s="27" t="s">
        <v>735</v>
      </c>
      <c r="D386" s="27" t="s">
        <v>736</v>
      </c>
      <c r="E386" s="27" t="s">
        <v>40</v>
      </c>
      <c r="F386" s="28">
        <f>SUM(F387:F387)+183646</f>
        <v>183646</v>
      </c>
      <c r="G386" s="28">
        <f>SUM(G387:G387)+183646</f>
        <v>183646</v>
      </c>
      <c r="H386" s="28">
        <f t="shared" ref="H386:O386" si="166">SUM(H387:H387)</f>
        <v>0</v>
      </c>
      <c r="I386" s="28">
        <f t="shared" si="166"/>
        <v>0</v>
      </c>
      <c r="J386" s="28">
        <f t="shared" si="166"/>
        <v>0</v>
      </c>
      <c r="K386" s="28">
        <f t="shared" si="166"/>
        <v>0</v>
      </c>
      <c r="L386" s="28">
        <f t="shared" si="166"/>
        <v>0</v>
      </c>
      <c r="M386" s="28">
        <f t="shared" si="166"/>
        <v>0</v>
      </c>
      <c r="N386" s="28">
        <f t="shared" si="166"/>
        <v>0</v>
      </c>
      <c r="O386" s="28">
        <f t="shared" si="166"/>
        <v>0</v>
      </c>
      <c r="P386" s="27" t="s">
        <v>1022</v>
      </c>
      <c r="Q386" s="29" t="s">
        <v>1023</v>
      </c>
      <c r="R386" s="30" t="s">
        <v>115</v>
      </c>
    </row>
    <row r="387" spans="1:18" ht="69.75" x14ac:dyDescent="0.25">
      <c r="A387" s="25" t="s">
        <v>1028</v>
      </c>
      <c r="B387" s="26" t="s">
        <v>1029</v>
      </c>
      <c r="C387" s="27"/>
      <c r="D387" s="27"/>
      <c r="E387" s="27"/>
      <c r="F387" s="31">
        <v>0</v>
      </c>
      <c r="G387" s="31">
        <v>0</v>
      </c>
      <c r="H387" s="31">
        <v>0</v>
      </c>
      <c r="I387" s="31">
        <v>0</v>
      </c>
      <c r="J387" s="31">
        <v>0</v>
      </c>
      <c r="K387" s="31">
        <v>0</v>
      </c>
      <c r="L387" s="31">
        <v>0</v>
      </c>
      <c r="M387" s="31">
        <v>0</v>
      </c>
      <c r="N387" s="31">
        <v>0</v>
      </c>
      <c r="O387" s="31">
        <v>0</v>
      </c>
      <c r="P387" s="27"/>
      <c r="Q387" s="29"/>
      <c r="R387" s="30"/>
    </row>
    <row r="388" spans="1:18" ht="46.5" x14ac:dyDescent="0.25">
      <c r="A388" s="25" t="s">
        <v>1030</v>
      </c>
      <c r="B388" s="26" t="s">
        <v>1031</v>
      </c>
      <c r="C388" s="27" t="s">
        <v>113</v>
      </c>
      <c r="D388" s="27" t="s">
        <v>741</v>
      </c>
      <c r="E388" s="27" t="s">
        <v>40</v>
      </c>
      <c r="F388" s="28">
        <f>SUM(F389:F389)+124564</f>
        <v>124564</v>
      </c>
      <c r="G388" s="28">
        <f>SUM(G389:G389)+124564</f>
        <v>124564</v>
      </c>
      <c r="H388" s="28">
        <f t="shared" ref="H388:O388" si="167">SUM(H389:H389)</f>
        <v>0</v>
      </c>
      <c r="I388" s="28">
        <f t="shared" si="167"/>
        <v>0</v>
      </c>
      <c r="J388" s="28">
        <f t="shared" si="167"/>
        <v>0</v>
      </c>
      <c r="K388" s="28">
        <f t="shared" si="167"/>
        <v>0</v>
      </c>
      <c r="L388" s="28">
        <f t="shared" si="167"/>
        <v>0</v>
      </c>
      <c r="M388" s="28">
        <f t="shared" si="167"/>
        <v>0</v>
      </c>
      <c r="N388" s="28">
        <f t="shared" si="167"/>
        <v>0</v>
      </c>
      <c r="O388" s="28">
        <f t="shared" si="167"/>
        <v>0</v>
      </c>
      <c r="P388" s="27" t="s">
        <v>1022</v>
      </c>
      <c r="Q388" s="29" t="s">
        <v>1023</v>
      </c>
      <c r="R388" s="30" t="s">
        <v>196</v>
      </c>
    </row>
    <row r="389" spans="1:18" ht="69.75" x14ac:dyDescent="0.25">
      <c r="A389" s="25" t="s">
        <v>1032</v>
      </c>
      <c r="B389" s="26" t="s">
        <v>1033</v>
      </c>
      <c r="C389" s="27"/>
      <c r="D389" s="27"/>
      <c r="E389" s="27"/>
      <c r="F389" s="31">
        <v>0</v>
      </c>
      <c r="G389" s="31">
        <v>0</v>
      </c>
      <c r="H389" s="31">
        <v>0</v>
      </c>
      <c r="I389" s="31">
        <v>0</v>
      </c>
      <c r="J389" s="31">
        <v>0</v>
      </c>
      <c r="K389" s="31">
        <v>0</v>
      </c>
      <c r="L389" s="31">
        <v>0</v>
      </c>
      <c r="M389" s="31">
        <v>0</v>
      </c>
      <c r="N389" s="31">
        <v>0</v>
      </c>
      <c r="O389" s="31">
        <v>0</v>
      </c>
      <c r="P389" s="27"/>
      <c r="Q389" s="29"/>
      <c r="R389" s="30"/>
    </row>
    <row r="390" spans="1:18" ht="46.5" x14ac:dyDescent="0.25">
      <c r="A390" s="25" t="s">
        <v>1034</v>
      </c>
      <c r="B390" s="26" t="s">
        <v>1035</v>
      </c>
      <c r="C390" s="27" t="s">
        <v>746</v>
      </c>
      <c r="D390" s="27" t="s">
        <v>747</v>
      </c>
      <c r="E390" s="27" t="s">
        <v>40</v>
      </c>
      <c r="F390" s="28">
        <f>SUM(F391:F391)+99584</f>
        <v>99584</v>
      </c>
      <c r="G390" s="28">
        <f>SUM(G391:G391)+99584</f>
        <v>99584</v>
      </c>
      <c r="H390" s="28">
        <f t="shared" ref="H390:O390" si="168">SUM(H391:H391)</f>
        <v>0</v>
      </c>
      <c r="I390" s="28">
        <f t="shared" si="168"/>
        <v>0</v>
      </c>
      <c r="J390" s="28">
        <f t="shared" si="168"/>
        <v>0</v>
      </c>
      <c r="K390" s="28">
        <f t="shared" si="168"/>
        <v>0</v>
      </c>
      <c r="L390" s="28">
        <f t="shared" si="168"/>
        <v>0</v>
      </c>
      <c r="M390" s="28">
        <f t="shared" si="168"/>
        <v>0</v>
      </c>
      <c r="N390" s="28">
        <f t="shared" si="168"/>
        <v>0</v>
      </c>
      <c r="O390" s="28">
        <f t="shared" si="168"/>
        <v>0</v>
      </c>
      <c r="P390" s="27" t="s">
        <v>1022</v>
      </c>
      <c r="Q390" s="29" t="s">
        <v>1023</v>
      </c>
      <c r="R390" s="30" t="s">
        <v>1036</v>
      </c>
    </row>
    <row r="391" spans="1:18" ht="69.75" x14ac:dyDescent="0.25">
      <c r="A391" s="25" t="s">
        <v>1037</v>
      </c>
      <c r="B391" s="26" t="s">
        <v>1038</v>
      </c>
      <c r="C391" s="27"/>
      <c r="D391" s="27"/>
      <c r="E391" s="27"/>
      <c r="F391" s="31">
        <v>0</v>
      </c>
      <c r="G391" s="31">
        <v>0</v>
      </c>
      <c r="H391" s="31">
        <v>0</v>
      </c>
      <c r="I391" s="31">
        <v>0</v>
      </c>
      <c r="J391" s="31">
        <v>0</v>
      </c>
      <c r="K391" s="31">
        <v>0</v>
      </c>
      <c r="L391" s="31">
        <v>0</v>
      </c>
      <c r="M391" s="31">
        <v>0</v>
      </c>
      <c r="N391" s="31">
        <v>0</v>
      </c>
      <c r="O391" s="31">
        <v>0</v>
      </c>
      <c r="P391" s="27"/>
      <c r="Q391" s="29"/>
      <c r="R391" s="30"/>
    </row>
    <row r="392" spans="1:18" ht="46.5" x14ac:dyDescent="0.25">
      <c r="A392" s="25" t="s">
        <v>1039</v>
      </c>
      <c r="B392" s="26" t="s">
        <v>1040</v>
      </c>
      <c r="C392" s="27" t="s">
        <v>746</v>
      </c>
      <c r="D392" s="27" t="s">
        <v>752</v>
      </c>
      <c r="E392" s="27" t="s">
        <v>40</v>
      </c>
      <c r="F392" s="28">
        <f>SUM(F393:F393)+127002</f>
        <v>127002</v>
      </c>
      <c r="G392" s="28">
        <f>SUM(G393:G393)+127002</f>
        <v>127002</v>
      </c>
      <c r="H392" s="28">
        <f t="shared" ref="H392:O392" si="169">SUM(H393:H393)</f>
        <v>0</v>
      </c>
      <c r="I392" s="28">
        <f t="shared" si="169"/>
        <v>0</v>
      </c>
      <c r="J392" s="28">
        <f t="shared" si="169"/>
        <v>0</v>
      </c>
      <c r="K392" s="28">
        <f t="shared" si="169"/>
        <v>0</v>
      </c>
      <c r="L392" s="28">
        <f t="shared" si="169"/>
        <v>0</v>
      </c>
      <c r="M392" s="28">
        <f t="shared" si="169"/>
        <v>0</v>
      </c>
      <c r="N392" s="28">
        <f t="shared" si="169"/>
        <v>0</v>
      </c>
      <c r="O392" s="28">
        <f t="shared" si="169"/>
        <v>0</v>
      </c>
      <c r="P392" s="27" t="s">
        <v>1022</v>
      </c>
      <c r="Q392" s="29" t="s">
        <v>1023</v>
      </c>
      <c r="R392" s="30" t="s">
        <v>1041</v>
      </c>
    </row>
    <row r="393" spans="1:18" ht="69.75" x14ac:dyDescent="0.25">
      <c r="A393" s="25" t="s">
        <v>1042</v>
      </c>
      <c r="B393" s="26" t="s">
        <v>1043</v>
      </c>
      <c r="C393" s="27"/>
      <c r="D393" s="27"/>
      <c r="E393" s="27"/>
      <c r="F393" s="31">
        <v>0</v>
      </c>
      <c r="G393" s="31">
        <v>0</v>
      </c>
      <c r="H393" s="31">
        <v>0</v>
      </c>
      <c r="I393" s="31">
        <v>0</v>
      </c>
      <c r="J393" s="31">
        <v>0</v>
      </c>
      <c r="K393" s="31">
        <v>0</v>
      </c>
      <c r="L393" s="31">
        <v>0</v>
      </c>
      <c r="M393" s="31">
        <v>0</v>
      </c>
      <c r="N393" s="31">
        <v>0</v>
      </c>
      <c r="O393" s="31">
        <v>0</v>
      </c>
      <c r="P393" s="27"/>
      <c r="Q393" s="29"/>
      <c r="R393" s="30"/>
    </row>
    <row r="394" spans="1:18" ht="46.5" x14ac:dyDescent="0.25">
      <c r="A394" s="25" t="s">
        <v>1044</v>
      </c>
      <c r="B394" s="26" t="s">
        <v>1045</v>
      </c>
      <c r="C394" s="27" t="s">
        <v>124</v>
      </c>
      <c r="D394" s="27" t="s">
        <v>757</v>
      </c>
      <c r="E394" s="27" t="s">
        <v>40</v>
      </c>
      <c r="F394" s="28">
        <f>SUM(F395:F395)+219734</f>
        <v>219734</v>
      </c>
      <c r="G394" s="28">
        <f>SUM(G395:G395)+219734</f>
        <v>219734</v>
      </c>
      <c r="H394" s="28">
        <f t="shared" ref="H394:O394" si="170">SUM(H395:H395)</f>
        <v>0</v>
      </c>
      <c r="I394" s="28">
        <f t="shared" si="170"/>
        <v>0</v>
      </c>
      <c r="J394" s="28">
        <f t="shared" si="170"/>
        <v>0</v>
      </c>
      <c r="K394" s="28">
        <f t="shared" si="170"/>
        <v>0</v>
      </c>
      <c r="L394" s="28">
        <f t="shared" si="170"/>
        <v>0</v>
      </c>
      <c r="M394" s="28">
        <f t="shared" si="170"/>
        <v>0</v>
      </c>
      <c r="N394" s="28">
        <f t="shared" si="170"/>
        <v>0</v>
      </c>
      <c r="O394" s="28">
        <f t="shared" si="170"/>
        <v>0</v>
      </c>
      <c r="P394" s="27" t="s">
        <v>1022</v>
      </c>
      <c r="Q394" s="29" t="s">
        <v>1023</v>
      </c>
      <c r="R394" s="30" t="s">
        <v>169</v>
      </c>
    </row>
    <row r="395" spans="1:18" ht="69.75" x14ac:dyDescent="0.25">
      <c r="A395" s="25" t="s">
        <v>1046</v>
      </c>
      <c r="B395" s="26" t="s">
        <v>1047</v>
      </c>
      <c r="C395" s="27"/>
      <c r="D395" s="27"/>
      <c r="E395" s="27"/>
      <c r="F395" s="31">
        <v>0</v>
      </c>
      <c r="G395" s="31">
        <v>0</v>
      </c>
      <c r="H395" s="31">
        <v>0</v>
      </c>
      <c r="I395" s="31">
        <v>0</v>
      </c>
      <c r="J395" s="31">
        <v>0</v>
      </c>
      <c r="K395" s="31">
        <v>0</v>
      </c>
      <c r="L395" s="31">
        <v>0</v>
      </c>
      <c r="M395" s="31">
        <v>0</v>
      </c>
      <c r="N395" s="31">
        <v>0</v>
      </c>
      <c r="O395" s="31">
        <v>0</v>
      </c>
      <c r="P395" s="27"/>
      <c r="Q395" s="29"/>
      <c r="R395" s="30"/>
    </row>
    <row r="396" spans="1:18" ht="46.5" x14ac:dyDescent="0.25">
      <c r="A396" s="25" t="s">
        <v>1048</v>
      </c>
      <c r="B396" s="26" t="s">
        <v>1049</v>
      </c>
      <c r="C396" s="27" t="s">
        <v>129</v>
      </c>
      <c r="D396" s="27" t="s">
        <v>762</v>
      </c>
      <c r="E396" s="27" t="s">
        <v>40</v>
      </c>
      <c r="F396" s="28">
        <f>SUM(F397:F397)+130724</f>
        <v>130724</v>
      </c>
      <c r="G396" s="28">
        <f>SUM(G397:G397)+130724</f>
        <v>130724</v>
      </c>
      <c r="H396" s="28">
        <f t="shared" ref="H396:O396" si="171">SUM(H397:H397)</f>
        <v>0</v>
      </c>
      <c r="I396" s="28">
        <f t="shared" si="171"/>
        <v>0</v>
      </c>
      <c r="J396" s="28">
        <f t="shared" si="171"/>
        <v>0</v>
      </c>
      <c r="K396" s="28">
        <f t="shared" si="171"/>
        <v>0</v>
      </c>
      <c r="L396" s="28">
        <f t="shared" si="171"/>
        <v>0</v>
      </c>
      <c r="M396" s="28">
        <f t="shared" si="171"/>
        <v>0</v>
      </c>
      <c r="N396" s="28">
        <f t="shared" si="171"/>
        <v>0</v>
      </c>
      <c r="O396" s="28">
        <f t="shared" si="171"/>
        <v>0</v>
      </c>
      <c r="P396" s="27" t="s">
        <v>1022</v>
      </c>
      <c r="Q396" s="29" t="s">
        <v>1023</v>
      </c>
      <c r="R396" s="30" t="s">
        <v>1050</v>
      </c>
    </row>
    <row r="397" spans="1:18" ht="69.75" x14ac:dyDescent="0.25">
      <c r="A397" s="25" t="s">
        <v>1051</v>
      </c>
      <c r="B397" s="26" t="s">
        <v>1052</v>
      </c>
      <c r="C397" s="27"/>
      <c r="D397" s="27"/>
      <c r="E397" s="27"/>
      <c r="F397" s="31">
        <v>0</v>
      </c>
      <c r="G397" s="31">
        <v>0</v>
      </c>
      <c r="H397" s="31">
        <v>0</v>
      </c>
      <c r="I397" s="31">
        <v>0</v>
      </c>
      <c r="J397" s="31">
        <v>0</v>
      </c>
      <c r="K397" s="31">
        <v>0</v>
      </c>
      <c r="L397" s="31">
        <v>0</v>
      </c>
      <c r="M397" s="31">
        <v>0</v>
      </c>
      <c r="N397" s="31">
        <v>0</v>
      </c>
      <c r="O397" s="31">
        <v>0</v>
      </c>
      <c r="P397" s="27"/>
      <c r="Q397" s="29"/>
      <c r="R397" s="30"/>
    </row>
    <row r="398" spans="1:18" ht="46.5" x14ac:dyDescent="0.25">
      <c r="A398" s="25" t="s">
        <v>1053</v>
      </c>
      <c r="B398" s="26" t="s">
        <v>1054</v>
      </c>
      <c r="C398" s="27" t="s">
        <v>767</v>
      </c>
      <c r="D398" s="27" t="s">
        <v>768</v>
      </c>
      <c r="E398" s="27" t="s">
        <v>40</v>
      </c>
      <c r="F398" s="28">
        <f>SUM(F399:F399)+153028</f>
        <v>153028</v>
      </c>
      <c r="G398" s="28">
        <f>SUM(G399:G399)+153028</f>
        <v>153028</v>
      </c>
      <c r="H398" s="28">
        <f t="shared" ref="H398:O398" si="172">SUM(H399:H399)</f>
        <v>0</v>
      </c>
      <c r="I398" s="28">
        <f t="shared" si="172"/>
        <v>0</v>
      </c>
      <c r="J398" s="28">
        <f t="shared" si="172"/>
        <v>0</v>
      </c>
      <c r="K398" s="28">
        <f t="shared" si="172"/>
        <v>0</v>
      </c>
      <c r="L398" s="28">
        <f t="shared" si="172"/>
        <v>0</v>
      </c>
      <c r="M398" s="28">
        <f t="shared" si="172"/>
        <v>0</v>
      </c>
      <c r="N398" s="28">
        <f t="shared" si="172"/>
        <v>0</v>
      </c>
      <c r="O398" s="28">
        <f t="shared" si="172"/>
        <v>0</v>
      </c>
      <c r="P398" s="27" t="s">
        <v>1022</v>
      </c>
      <c r="Q398" s="29" t="s">
        <v>1023</v>
      </c>
      <c r="R398" s="30" t="s">
        <v>1055</v>
      </c>
    </row>
    <row r="399" spans="1:18" ht="69.75" x14ac:dyDescent="0.25">
      <c r="A399" s="25" t="s">
        <v>1056</v>
      </c>
      <c r="B399" s="26" t="s">
        <v>1057</v>
      </c>
      <c r="C399" s="27"/>
      <c r="D399" s="27"/>
      <c r="E399" s="27"/>
      <c r="F399" s="31">
        <v>0</v>
      </c>
      <c r="G399" s="31">
        <v>0</v>
      </c>
      <c r="H399" s="31">
        <v>0</v>
      </c>
      <c r="I399" s="31">
        <v>0</v>
      </c>
      <c r="J399" s="31">
        <v>0</v>
      </c>
      <c r="K399" s="31">
        <v>0</v>
      </c>
      <c r="L399" s="31">
        <v>0</v>
      </c>
      <c r="M399" s="31">
        <v>0</v>
      </c>
      <c r="N399" s="31">
        <v>0</v>
      </c>
      <c r="O399" s="31">
        <v>0</v>
      </c>
      <c r="P399" s="27"/>
      <c r="Q399" s="29"/>
      <c r="R399" s="30"/>
    </row>
    <row r="400" spans="1:18" ht="46.5" x14ac:dyDescent="0.25">
      <c r="A400" s="25" t="s">
        <v>1058</v>
      </c>
      <c r="B400" s="26" t="s">
        <v>1059</v>
      </c>
      <c r="C400" s="27" t="s">
        <v>773</v>
      </c>
      <c r="D400" s="27" t="s">
        <v>774</v>
      </c>
      <c r="E400" s="27" t="s">
        <v>40</v>
      </c>
      <c r="F400" s="28">
        <f>SUM(F401:F401)+96782</f>
        <v>96782</v>
      </c>
      <c r="G400" s="28">
        <f>SUM(G401:G401)+96782</f>
        <v>96782</v>
      </c>
      <c r="H400" s="28">
        <f t="shared" ref="H400:O400" si="173">SUM(H401:H401)</f>
        <v>0</v>
      </c>
      <c r="I400" s="28">
        <f t="shared" si="173"/>
        <v>0</v>
      </c>
      <c r="J400" s="28">
        <f t="shared" si="173"/>
        <v>0</v>
      </c>
      <c r="K400" s="28">
        <f t="shared" si="173"/>
        <v>0</v>
      </c>
      <c r="L400" s="28">
        <f t="shared" si="173"/>
        <v>0</v>
      </c>
      <c r="M400" s="28">
        <f t="shared" si="173"/>
        <v>0</v>
      </c>
      <c r="N400" s="28">
        <f t="shared" si="173"/>
        <v>0</v>
      </c>
      <c r="O400" s="28">
        <f t="shared" si="173"/>
        <v>0</v>
      </c>
      <c r="P400" s="27" t="s">
        <v>1022</v>
      </c>
      <c r="Q400" s="29" t="s">
        <v>1023</v>
      </c>
      <c r="R400" s="30" t="s">
        <v>1060</v>
      </c>
    </row>
    <row r="401" spans="1:18" ht="69.75" x14ac:dyDescent="0.25">
      <c r="A401" s="25" t="s">
        <v>1061</v>
      </c>
      <c r="B401" s="26" t="s">
        <v>1062</v>
      </c>
      <c r="C401" s="27"/>
      <c r="D401" s="27"/>
      <c r="E401" s="27"/>
      <c r="F401" s="31">
        <v>0</v>
      </c>
      <c r="G401" s="31">
        <v>0</v>
      </c>
      <c r="H401" s="31">
        <v>0</v>
      </c>
      <c r="I401" s="31">
        <v>0</v>
      </c>
      <c r="J401" s="31">
        <v>0</v>
      </c>
      <c r="K401" s="31">
        <v>0</v>
      </c>
      <c r="L401" s="31">
        <v>0</v>
      </c>
      <c r="M401" s="31">
        <v>0</v>
      </c>
      <c r="N401" s="31">
        <v>0</v>
      </c>
      <c r="O401" s="31">
        <v>0</v>
      </c>
      <c r="P401" s="27"/>
      <c r="Q401" s="29"/>
      <c r="R401" s="30"/>
    </row>
    <row r="402" spans="1:18" ht="46.5" x14ac:dyDescent="0.25">
      <c r="A402" s="25" t="s">
        <v>1063</v>
      </c>
      <c r="B402" s="26" t="s">
        <v>1064</v>
      </c>
      <c r="C402" s="27" t="s">
        <v>779</v>
      </c>
      <c r="D402" s="27" t="s">
        <v>780</v>
      </c>
      <c r="E402" s="27" t="s">
        <v>40</v>
      </c>
      <c r="F402" s="28">
        <f>SUM(F403:F403)+91002</f>
        <v>91002</v>
      </c>
      <c r="G402" s="28">
        <f>SUM(G403:G403)+91002</f>
        <v>91002</v>
      </c>
      <c r="H402" s="28">
        <f t="shared" ref="H402:O402" si="174">SUM(H403:H403)</f>
        <v>0</v>
      </c>
      <c r="I402" s="28">
        <f t="shared" si="174"/>
        <v>0</v>
      </c>
      <c r="J402" s="28">
        <f t="shared" si="174"/>
        <v>0</v>
      </c>
      <c r="K402" s="28">
        <f t="shared" si="174"/>
        <v>0</v>
      </c>
      <c r="L402" s="28">
        <f t="shared" si="174"/>
        <v>0</v>
      </c>
      <c r="M402" s="28">
        <f t="shared" si="174"/>
        <v>0</v>
      </c>
      <c r="N402" s="28">
        <f t="shared" si="174"/>
        <v>0</v>
      </c>
      <c r="O402" s="28">
        <f t="shared" si="174"/>
        <v>0</v>
      </c>
      <c r="P402" s="27" t="s">
        <v>1022</v>
      </c>
      <c r="Q402" s="29" t="s">
        <v>1023</v>
      </c>
      <c r="R402" s="30" t="s">
        <v>264</v>
      </c>
    </row>
    <row r="403" spans="1:18" ht="69.75" x14ac:dyDescent="0.25">
      <c r="A403" s="25" t="s">
        <v>1065</v>
      </c>
      <c r="B403" s="26" t="s">
        <v>1066</v>
      </c>
      <c r="C403" s="27"/>
      <c r="D403" s="27"/>
      <c r="E403" s="27"/>
      <c r="F403" s="31">
        <v>0</v>
      </c>
      <c r="G403" s="31">
        <v>0</v>
      </c>
      <c r="H403" s="31">
        <v>0</v>
      </c>
      <c r="I403" s="31">
        <v>0</v>
      </c>
      <c r="J403" s="31">
        <v>0</v>
      </c>
      <c r="K403" s="31">
        <v>0</v>
      </c>
      <c r="L403" s="31">
        <v>0</v>
      </c>
      <c r="M403" s="31">
        <v>0</v>
      </c>
      <c r="N403" s="31">
        <v>0</v>
      </c>
      <c r="O403" s="31">
        <v>0</v>
      </c>
      <c r="P403" s="27"/>
      <c r="Q403" s="29"/>
      <c r="R403" s="30"/>
    </row>
    <row r="404" spans="1:18" ht="46.5" x14ac:dyDescent="0.25">
      <c r="A404" s="25" t="s">
        <v>1067</v>
      </c>
      <c r="B404" s="26" t="s">
        <v>1068</v>
      </c>
      <c r="C404" s="27" t="s">
        <v>787</v>
      </c>
      <c r="D404" s="27" t="s">
        <v>788</v>
      </c>
      <c r="E404" s="27" t="s">
        <v>40</v>
      </c>
      <c r="F404" s="28">
        <f>SUM(F405:F405)+73255</f>
        <v>73255</v>
      </c>
      <c r="G404" s="28">
        <f>SUM(G405:G405)+73255</f>
        <v>73255</v>
      </c>
      <c r="H404" s="28">
        <f t="shared" ref="H404:O404" si="175">SUM(H405:H405)</f>
        <v>0</v>
      </c>
      <c r="I404" s="28">
        <f t="shared" si="175"/>
        <v>0</v>
      </c>
      <c r="J404" s="28">
        <f t="shared" si="175"/>
        <v>0</v>
      </c>
      <c r="K404" s="28">
        <f t="shared" si="175"/>
        <v>0</v>
      </c>
      <c r="L404" s="28">
        <f t="shared" si="175"/>
        <v>0</v>
      </c>
      <c r="M404" s="28">
        <f t="shared" si="175"/>
        <v>0</v>
      </c>
      <c r="N404" s="28">
        <f t="shared" si="175"/>
        <v>0</v>
      </c>
      <c r="O404" s="28">
        <f t="shared" si="175"/>
        <v>0</v>
      </c>
      <c r="P404" s="27" t="s">
        <v>1022</v>
      </c>
      <c r="Q404" s="29" t="s">
        <v>1023</v>
      </c>
      <c r="R404" s="30" t="s">
        <v>1069</v>
      </c>
    </row>
    <row r="405" spans="1:18" ht="69.75" x14ac:dyDescent="0.25">
      <c r="A405" s="25" t="s">
        <v>1070</v>
      </c>
      <c r="B405" s="26" t="s">
        <v>1071</v>
      </c>
      <c r="C405" s="27"/>
      <c r="D405" s="27"/>
      <c r="E405" s="27"/>
      <c r="F405" s="31">
        <v>0</v>
      </c>
      <c r="G405" s="31">
        <v>0</v>
      </c>
      <c r="H405" s="31">
        <v>0</v>
      </c>
      <c r="I405" s="31">
        <v>0</v>
      </c>
      <c r="J405" s="31">
        <v>0</v>
      </c>
      <c r="K405" s="31">
        <v>0</v>
      </c>
      <c r="L405" s="31">
        <v>0</v>
      </c>
      <c r="M405" s="31">
        <v>0</v>
      </c>
      <c r="N405" s="31">
        <v>0</v>
      </c>
      <c r="O405" s="31">
        <v>0</v>
      </c>
      <c r="P405" s="27"/>
      <c r="Q405" s="29"/>
      <c r="R405" s="30"/>
    </row>
    <row r="406" spans="1:18" ht="46.5" x14ac:dyDescent="0.25">
      <c r="A406" s="25" t="s">
        <v>1072</v>
      </c>
      <c r="B406" s="26" t="s">
        <v>1073</v>
      </c>
      <c r="C406" s="27" t="s">
        <v>134</v>
      </c>
      <c r="D406" s="27" t="s">
        <v>793</v>
      </c>
      <c r="E406" s="27" t="s">
        <v>40</v>
      </c>
      <c r="F406" s="28">
        <f>SUM(F407:F407)+111140</f>
        <v>111140</v>
      </c>
      <c r="G406" s="28">
        <f>SUM(G407:G407)+111140</f>
        <v>111140</v>
      </c>
      <c r="H406" s="28">
        <f t="shared" ref="H406:O406" si="176">SUM(H407:H407)</f>
        <v>0</v>
      </c>
      <c r="I406" s="28">
        <f t="shared" si="176"/>
        <v>0</v>
      </c>
      <c r="J406" s="28">
        <f t="shared" si="176"/>
        <v>0</v>
      </c>
      <c r="K406" s="28">
        <f t="shared" si="176"/>
        <v>0</v>
      </c>
      <c r="L406" s="28">
        <f t="shared" si="176"/>
        <v>0</v>
      </c>
      <c r="M406" s="28">
        <f t="shared" si="176"/>
        <v>0</v>
      </c>
      <c r="N406" s="28">
        <f t="shared" si="176"/>
        <v>0</v>
      </c>
      <c r="O406" s="28">
        <f t="shared" si="176"/>
        <v>0</v>
      </c>
      <c r="P406" s="27" t="s">
        <v>1022</v>
      </c>
      <c r="Q406" s="29" t="s">
        <v>1023</v>
      </c>
      <c r="R406" s="30" t="s">
        <v>125</v>
      </c>
    </row>
    <row r="407" spans="1:18" ht="69.75" x14ac:dyDescent="0.25">
      <c r="A407" s="25" t="s">
        <v>1074</v>
      </c>
      <c r="B407" s="26" t="s">
        <v>1075</v>
      </c>
      <c r="C407" s="27"/>
      <c r="D407" s="27"/>
      <c r="E407" s="27"/>
      <c r="F407" s="31">
        <v>0</v>
      </c>
      <c r="G407" s="31">
        <v>0</v>
      </c>
      <c r="H407" s="31">
        <v>0</v>
      </c>
      <c r="I407" s="31">
        <v>0</v>
      </c>
      <c r="J407" s="31">
        <v>0</v>
      </c>
      <c r="K407" s="31">
        <v>0</v>
      </c>
      <c r="L407" s="31">
        <v>0</v>
      </c>
      <c r="M407" s="31">
        <v>0</v>
      </c>
      <c r="N407" s="31">
        <v>0</v>
      </c>
      <c r="O407" s="31">
        <v>0</v>
      </c>
      <c r="P407" s="27"/>
      <c r="Q407" s="29"/>
      <c r="R407" s="30"/>
    </row>
    <row r="408" spans="1:18" ht="46.5" x14ac:dyDescent="0.25">
      <c r="A408" s="25" t="s">
        <v>1076</v>
      </c>
      <c r="B408" s="26" t="s">
        <v>1077</v>
      </c>
      <c r="C408" s="27" t="s">
        <v>798</v>
      </c>
      <c r="D408" s="27" t="s">
        <v>799</v>
      </c>
      <c r="E408" s="27" t="s">
        <v>40</v>
      </c>
      <c r="F408" s="28">
        <f>SUM(F409:F409)+535846</f>
        <v>535846</v>
      </c>
      <c r="G408" s="28">
        <f>SUM(G409:G409)+535846</f>
        <v>535846</v>
      </c>
      <c r="H408" s="28">
        <f t="shared" ref="H408:O408" si="177">SUM(H409:H409)</f>
        <v>0</v>
      </c>
      <c r="I408" s="28">
        <f t="shared" si="177"/>
        <v>0</v>
      </c>
      <c r="J408" s="28">
        <f t="shared" si="177"/>
        <v>0</v>
      </c>
      <c r="K408" s="28">
        <f t="shared" si="177"/>
        <v>0</v>
      </c>
      <c r="L408" s="28">
        <f t="shared" si="177"/>
        <v>0</v>
      </c>
      <c r="M408" s="28">
        <f t="shared" si="177"/>
        <v>0</v>
      </c>
      <c r="N408" s="28">
        <f t="shared" si="177"/>
        <v>0</v>
      </c>
      <c r="O408" s="28">
        <f t="shared" si="177"/>
        <v>0</v>
      </c>
      <c r="P408" s="27" t="s">
        <v>1022</v>
      </c>
      <c r="Q408" s="29" t="s">
        <v>1023</v>
      </c>
      <c r="R408" s="30" t="s">
        <v>1078</v>
      </c>
    </row>
    <row r="409" spans="1:18" ht="69.75" x14ac:dyDescent="0.25">
      <c r="A409" s="25" t="s">
        <v>1079</v>
      </c>
      <c r="B409" s="26" t="s">
        <v>1080</v>
      </c>
      <c r="C409" s="27"/>
      <c r="D409" s="27"/>
      <c r="E409" s="27"/>
      <c r="F409" s="31">
        <v>0</v>
      </c>
      <c r="G409" s="31">
        <v>0</v>
      </c>
      <c r="H409" s="31">
        <v>0</v>
      </c>
      <c r="I409" s="31">
        <v>0</v>
      </c>
      <c r="J409" s="31">
        <v>0</v>
      </c>
      <c r="K409" s="31">
        <v>0</v>
      </c>
      <c r="L409" s="31">
        <v>0</v>
      </c>
      <c r="M409" s="31">
        <v>0</v>
      </c>
      <c r="N409" s="31">
        <v>0</v>
      </c>
      <c r="O409" s="31">
        <v>0</v>
      </c>
      <c r="P409" s="27"/>
      <c r="Q409" s="29"/>
      <c r="R409" s="30"/>
    </row>
    <row r="410" spans="1:18" ht="46.5" x14ac:dyDescent="0.25">
      <c r="A410" s="25" t="s">
        <v>1081</v>
      </c>
      <c r="B410" s="26" t="s">
        <v>1082</v>
      </c>
      <c r="C410" s="27" t="s">
        <v>804</v>
      </c>
      <c r="D410" s="27" t="s">
        <v>805</v>
      </c>
      <c r="E410" s="27" t="s">
        <v>40</v>
      </c>
      <c r="F410" s="28">
        <f>SUM(F411:F411)+62072</f>
        <v>62072</v>
      </c>
      <c r="G410" s="28">
        <f>SUM(G411:G411)+62072</f>
        <v>62072</v>
      </c>
      <c r="H410" s="28">
        <f t="shared" ref="H410:O410" si="178">SUM(H411:H411)</f>
        <v>0</v>
      </c>
      <c r="I410" s="28">
        <f t="shared" si="178"/>
        <v>0</v>
      </c>
      <c r="J410" s="28">
        <f t="shared" si="178"/>
        <v>0</v>
      </c>
      <c r="K410" s="28">
        <f t="shared" si="178"/>
        <v>0</v>
      </c>
      <c r="L410" s="28">
        <f t="shared" si="178"/>
        <v>0</v>
      </c>
      <c r="M410" s="28">
        <f t="shared" si="178"/>
        <v>0</v>
      </c>
      <c r="N410" s="28">
        <f t="shared" si="178"/>
        <v>0</v>
      </c>
      <c r="O410" s="28">
        <f t="shared" si="178"/>
        <v>0</v>
      </c>
      <c r="P410" s="27" t="s">
        <v>1022</v>
      </c>
      <c r="Q410" s="29" t="s">
        <v>1023</v>
      </c>
      <c r="R410" s="30" t="s">
        <v>233</v>
      </c>
    </row>
    <row r="411" spans="1:18" ht="69.75" x14ac:dyDescent="0.25">
      <c r="A411" s="25" t="s">
        <v>1083</v>
      </c>
      <c r="B411" s="26" t="s">
        <v>1084</v>
      </c>
      <c r="C411" s="27"/>
      <c r="D411" s="27"/>
      <c r="E411" s="27"/>
      <c r="F411" s="31">
        <v>0</v>
      </c>
      <c r="G411" s="31">
        <v>0</v>
      </c>
      <c r="H411" s="31">
        <v>0</v>
      </c>
      <c r="I411" s="31">
        <v>0</v>
      </c>
      <c r="J411" s="31">
        <v>0</v>
      </c>
      <c r="K411" s="31">
        <v>0</v>
      </c>
      <c r="L411" s="31">
        <v>0</v>
      </c>
      <c r="M411" s="31">
        <v>0</v>
      </c>
      <c r="N411" s="31">
        <v>0</v>
      </c>
      <c r="O411" s="31">
        <v>0</v>
      </c>
      <c r="P411" s="27"/>
      <c r="Q411" s="29"/>
      <c r="R411" s="30"/>
    </row>
    <row r="412" spans="1:18" ht="69.75" x14ac:dyDescent="0.25">
      <c r="A412" s="25" t="s">
        <v>1085</v>
      </c>
      <c r="B412" s="26" t="s">
        <v>1086</v>
      </c>
      <c r="C412" s="27" t="s">
        <v>277</v>
      </c>
      <c r="D412" s="27" t="s">
        <v>1087</v>
      </c>
      <c r="E412" s="27"/>
      <c r="F412" s="31">
        <v>8990</v>
      </c>
      <c r="G412" s="31">
        <v>8990</v>
      </c>
      <c r="H412" s="31">
        <v>0</v>
      </c>
      <c r="I412" s="31">
        <v>0</v>
      </c>
      <c r="J412" s="31">
        <v>0</v>
      </c>
      <c r="K412" s="31">
        <v>0</v>
      </c>
      <c r="L412" s="31">
        <v>0</v>
      </c>
      <c r="M412" s="31">
        <v>0</v>
      </c>
      <c r="N412" s="31">
        <v>0</v>
      </c>
      <c r="O412" s="31">
        <v>0</v>
      </c>
      <c r="P412" s="27" t="s">
        <v>1088</v>
      </c>
      <c r="Q412" s="29" t="s">
        <v>35</v>
      </c>
      <c r="R412" s="30" t="s">
        <v>48</v>
      </c>
    </row>
    <row r="413" spans="1:18" ht="90" x14ac:dyDescent="0.25">
      <c r="A413" s="19" t="s">
        <v>1089</v>
      </c>
      <c r="B413" s="20" t="s">
        <v>1090</v>
      </c>
      <c r="C413" s="21" t="s">
        <v>277</v>
      </c>
      <c r="D413" s="21" t="s">
        <v>923</v>
      </c>
      <c r="E413" s="21" t="s">
        <v>33</v>
      </c>
      <c r="F413" s="22">
        <f t="shared" ref="F413:O413" si="179">F414+F416+F418</f>
        <v>39980</v>
      </c>
      <c r="G413" s="22">
        <f t="shared" si="179"/>
        <v>10546</v>
      </c>
      <c r="H413" s="22">
        <f t="shared" si="179"/>
        <v>26000</v>
      </c>
      <c r="I413" s="22">
        <f t="shared" si="179"/>
        <v>0</v>
      </c>
      <c r="J413" s="22">
        <f t="shared" si="179"/>
        <v>0</v>
      </c>
      <c r="K413" s="22">
        <f t="shared" si="179"/>
        <v>0</v>
      </c>
      <c r="L413" s="22">
        <f t="shared" si="179"/>
        <v>0</v>
      </c>
      <c r="M413" s="22">
        <f t="shared" si="179"/>
        <v>3434</v>
      </c>
      <c r="N413" s="22">
        <f t="shared" si="179"/>
        <v>0</v>
      </c>
      <c r="O413" s="22">
        <f t="shared" si="179"/>
        <v>0</v>
      </c>
      <c r="P413" s="21" t="s">
        <v>1091</v>
      </c>
      <c r="Q413" s="23" t="s">
        <v>1092</v>
      </c>
      <c r="R413" s="24" t="s">
        <v>869</v>
      </c>
    </row>
    <row r="414" spans="1:18" ht="46.5" x14ac:dyDescent="0.25">
      <c r="A414" s="25" t="s">
        <v>1093</v>
      </c>
      <c r="B414" s="26" t="s">
        <v>1094</v>
      </c>
      <c r="C414" s="27" t="s">
        <v>798</v>
      </c>
      <c r="D414" s="27" t="s">
        <v>799</v>
      </c>
      <c r="E414" s="27" t="s">
        <v>40</v>
      </c>
      <c r="F414" s="28">
        <f>SUM(F415:F415)+26000</f>
        <v>26000</v>
      </c>
      <c r="G414" s="28">
        <f>SUM(G415:G415)</f>
        <v>0</v>
      </c>
      <c r="H414" s="28">
        <f>SUM(H415:H415)+26000</f>
        <v>26000</v>
      </c>
      <c r="I414" s="28">
        <f t="shared" ref="I414:O414" si="180">SUM(I415:I415)</f>
        <v>0</v>
      </c>
      <c r="J414" s="28">
        <f t="shared" si="180"/>
        <v>0</v>
      </c>
      <c r="K414" s="28">
        <f t="shared" si="180"/>
        <v>0</v>
      </c>
      <c r="L414" s="28">
        <f t="shared" si="180"/>
        <v>0</v>
      </c>
      <c r="M414" s="28">
        <f t="shared" si="180"/>
        <v>0</v>
      </c>
      <c r="N414" s="28">
        <f t="shared" si="180"/>
        <v>0</v>
      </c>
      <c r="O414" s="28">
        <f t="shared" si="180"/>
        <v>0</v>
      </c>
      <c r="P414" s="27" t="s">
        <v>1095</v>
      </c>
      <c r="Q414" s="29" t="s">
        <v>35</v>
      </c>
      <c r="R414" s="30" t="s">
        <v>48</v>
      </c>
    </row>
    <row r="415" spans="1:18" ht="46.5" x14ac:dyDescent="0.25">
      <c r="A415" s="25" t="s">
        <v>1096</v>
      </c>
      <c r="B415" s="26" t="s">
        <v>1097</v>
      </c>
      <c r="C415" s="27"/>
      <c r="D415" s="27"/>
      <c r="E415" s="27"/>
      <c r="F415" s="31">
        <v>0</v>
      </c>
      <c r="G415" s="31">
        <v>0</v>
      </c>
      <c r="H415" s="31">
        <v>0</v>
      </c>
      <c r="I415" s="31">
        <v>0</v>
      </c>
      <c r="J415" s="31">
        <v>0</v>
      </c>
      <c r="K415" s="31">
        <v>0</v>
      </c>
      <c r="L415" s="31">
        <v>0</v>
      </c>
      <c r="M415" s="31">
        <v>0</v>
      </c>
      <c r="N415" s="31">
        <v>0</v>
      </c>
      <c r="O415" s="31">
        <v>0</v>
      </c>
      <c r="P415" s="27"/>
      <c r="Q415" s="29"/>
      <c r="R415" s="30"/>
    </row>
    <row r="416" spans="1:18" ht="116.25" x14ac:dyDescent="0.25">
      <c r="A416" s="25" t="s">
        <v>1098</v>
      </c>
      <c r="B416" s="26" t="s">
        <v>1099</v>
      </c>
      <c r="C416" s="27" t="s">
        <v>277</v>
      </c>
      <c r="D416" s="27" t="s">
        <v>932</v>
      </c>
      <c r="E416" s="27" t="s">
        <v>40</v>
      </c>
      <c r="F416" s="28">
        <f>SUM(F417:F417)+5000</f>
        <v>5000</v>
      </c>
      <c r="G416" s="28">
        <f>SUM(G417:G417)+5000</f>
        <v>5000</v>
      </c>
      <c r="H416" s="28">
        <f t="shared" ref="H416:O416" si="181">SUM(H417:H417)</f>
        <v>0</v>
      </c>
      <c r="I416" s="28">
        <f t="shared" si="181"/>
        <v>0</v>
      </c>
      <c r="J416" s="28">
        <f t="shared" si="181"/>
        <v>0</v>
      </c>
      <c r="K416" s="28">
        <f t="shared" si="181"/>
        <v>0</v>
      </c>
      <c r="L416" s="28">
        <f t="shared" si="181"/>
        <v>0</v>
      </c>
      <c r="M416" s="28">
        <f t="shared" si="181"/>
        <v>0</v>
      </c>
      <c r="N416" s="28">
        <f t="shared" si="181"/>
        <v>0</v>
      </c>
      <c r="O416" s="28">
        <f t="shared" si="181"/>
        <v>0</v>
      </c>
      <c r="P416" s="27" t="s">
        <v>1100</v>
      </c>
      <c r="Q416" s="29" t="s">
        <v>951</v>
      </c>
      <c r="R416" s="30" t="s">
        <v>150</v>
      </c>
    </row>
    <row r="417" spans="1:18" ht="69.75" x14ac:dyDescent="0.25">
      <c r="A417" s="25" t="s">
        <v>1101</v>
      </c>
      <c r="B417" s="26" t="s">
        <v>1102</v>
      </c>
      <c r="C417" s="27"/>
      <c r="D417" s="27"/>
      <c r="E417" s="27"/>
      <c r="F417" s="31">
        <v>0</v>
      </c>
      <c r="G417" s="31">
        <v>0</v>
      </c>
      <c r="H417" s="31">
        <v>0</v>
      </c>
      <c r="I417" s="31">
        <v>0</v>
      </c>
      <c r="J417" s="31">
        <v>0</v>
      </c>
      <c r="K417" s="31">
        <v>0</v>
      </c>
      <c r="L417" s="31">
        <v>0</v>
      </c>
      <c r="M417" s="31">
        <v>0</v>
      </c>
      <c r="N417" s="31">
        <v>0</v>
      </c>
      <c r="O417" s="31">
        <v>0</v>
      </c>
      <c r="P417" s="27"/>
      <c r="Q417" s="29"/>
      <c r="R417" s="30"/>
    </row>
    <row r="418" spans="1:18" ht="93" x14ac:dyDescent="0.25">
      <c r="A418" s="25" t="s">
        <v>1103</v>
      </c>
      <c r="B418" s="26" t="s">
        <v>1104</v>
      </c>
      <c r="C418" s="27" t="s">
        <v>277</v>
      </c>
      <c r="D418" s="27" t="s">
        <v>932</v>
      </c>
      <c r="E418" s="27" t="s">
        <v>40</v>
      </c>
      <c r="F418" s="28">
        <f>SUM(F419:F419)+8980</f>
        <v>8980</v>
      </c>
      <c r="G418" s="28">
        <f>SUM(G419:G419)+5546</f>
        <v>5546</v>
      </c>
      <c r="H418" s="28">
        <f>SUM(H419:H419)</f>
        <v>0</v>
      </c>
      <c r="I418" s="28">
        <f>SUM(I419:I419)</f>
        <v>0</v>
      </c>
      <c r="J418" s="28">
        <f>SUM(J419:J419)</f>
        <v>0</v>
      </c>
      <c r="K418" s="28">
        <f>SUM(K419:K419)</f>
        <v>0</v>
      </c>
      <c r="L418" s="28">
        <f>SUM(L419:L419)</f>
        <v>0</v>
      </c>
      <c r="M418" s="28">
        <f>SUM(M419:M419)+3434</f>
        <v>3434</v>
      </c>
      <c r="N418" s="28">
        <f>SUM(N419:N419)</f>
        <v>0</v>
      </c>
      <c r="O418" s="28">
        <f>SUM(O419:O419)</f>
        <v>0</v>
      </c>
      <c r="P418" s="27" t="s">
        <v>1105</v>
      </c>
      <c r="Q418" s="29" t="s">
        <v>35</v>
      </c>
      <c r="R418" s="30" t="s">
        <v>48</v>
      </c>
    </row>
    <row r="419" spans="1:18" ht="69.75" x14ac:dyDescent="0.25">
      <c r="A419" s="25" t="s">
        <v>1106</v>
      </c>
      <c r="B419" s="26" t="s">
        <v>1107</v>
      </c>
      <c r="C419" s="27"/>
      <c r="D419" s="27"/>
      <c r="E419" s="27"/>
      <c r="F419" s="31">
        <v>0</v>
      </c>
      <c r="G419" s="31">
        <v>0</v>
      </c>
      <c r="H419" s="31">
        <v>0</v>
      </c>
      <c r="I419" s="31">
        <v>0</v>
      </c>
      <c r="J419" s="31">
        <v>0</v>
      </c>
      <c r="K419" s="31">
        <v>0</v>
      </c>
      <c r="L419" s="31">
        <v>0</v>
      </c>
      <c r="M419" s="31">
        <v>0</v>
      </c>
      <c r="N419" s="31">
        <v>0</v>
      </c>
      <c r="O419" s="31">
        <v>0</v>
      </c>
      <c r="P419" s="27"/>
      <c r="Q419" s="29"/>
      <c r="R419" s="30"/>
    </row>
    <row r="420" spans="1:18" ht="45" x14ac:dyDescent="0.25">
      <c r="A420" s="19" t="s">
        <v>1108</v>
      </c>
      <c r="B420" s="20" t="s">
        <v>1109</v>
      </c>
      <c r="C420" s="21" t="s">
        <v>277</v>
      </c>
      <c r="D420" s="21"/>
      <c r="E420" s="21" t="s">
        <v>33</v>
      </c>
      <c r="F420" s="22">
        <f t="shared" ref="F420:O420" si="182">SUM(F421:F421)</f>
        <v>80000</v>
      </c>
      <c r="G420" s="22">
        <f t="shared" si="182"/>
        <v>80000</v>
      </c>
      <c r="H420" s="22">
        <f t="shared" si="182"/>
        <v>0</v>
      </c>
      <c r="I420" s="22">
        <f t="shared" si="182"/>
        <v>0</v>
      </c>
      <c r="J420" s="22">
        <f t="shared" si="182"/>
        <v>0</v>
      </c>
      <c r="K420" s="22">
        <f t="shared" si="182"/>
        <v>0</v>
      </c>
      <c r="L420" s="22">
        <f t="shared" si="182"/>
        <v>0</v>
      </c>
      <c r="M420" s="22">
        <f t="shared" si="182"/>
        <v>0</v>
      </c>
      <c r="N420" s="22">
        <f t="shared" si="182"/>
        <v>0</v>
      </c>
      <c r="O420" s="22">
        <f t="shared" si="182"/>
        <v>0</v>
      </c>
      <c r="P420" s="21" t="s">
        <v>1110</v>
      </c>
      <c r="Q420" s="23" t="s">
        <v>35</v>
      </c>
      <c r="R420" s="24" t="s">
        <v>181</v>
      </c>
    </row>
    <row r="421" spans="1:18" ht="46.5" x14ac:dyDescent="0.25">
      <c r="A421" s="25" t="s">
        <v>1111</v>
      </c>
      <c r="B421" s="26" t="s">
        <v>1112</v>
      </c>
      <c r="C421" s="27" t="s">
        <v>277</v>
      </c>
      <c r="D421" s="27" t="s">
        <v>281</v>
      </c>
      <c r="E421" s="27"/>
      <c r="F421" s="28">
        <f>SUM(F422:F422)+80000</f>
        <v>80000</v>
      </c>
      <c r="G421" s="28">
        <f>SUM(G422:G422)+80000</f>
        <v>80000</v>
      </c>
      <c r="H421" s="28">
        <f t="shared" ref="H421:O421" si="183">SUM(H422:H422)</f>
        <v>0</v>
      </c>
      <c r="I421" s="28">
        <f t="shared" si="183"/>
        <v>0</v>
      </c>
      <c r="J421" s="28">
        <f t="shared" si="183"/>
        <v>0</v>
      </c>
      <c r="K421" s="28">
        <f t="shared" si="183"/>
        <v>0</v>
      </c>
      <c r="L421" s="28">
        <f t="shared" si="183"/>
        <v>0</v>
      </c>
      <c r="M421" s="28">
        <f t="shared" si="183"/>
        <v>0</v>
      </c>
      <c r="N421" s="28">
        <f t="shared" si="183"/>
        <v>0</v>
      </c>
      <c r="O421" s="28">
        <f t="shared" si="183"/>
        <v>0</v>
      </c>
      <c r="P421" s="27" t="s">
        <v>1113</v>
      </c>
      <c r="Q421" s="29" t="s">
        <v>35</v>
      </c>
      <c r="R421" s="30" t="s">
        <v>36</v>
      </c>
    </row>
    <row r="422" spans="1:18" ht="46.5" x14ac:dyDescent="0.25">
      <c r="A422" s="25" t="s">
        <v>1114</v>
      </c>
      <c r="B422" s="26" t="s">
        <v>1115</v>
      </c>
      <c r="C422" s="27"/>
      <c r="D422" s="27"/>
      <c r="E422" s="27"/>
      <c r="F422" s="31">
        <v>0</v>
      </c>
      <c r="G422" s="31">
        <v>0</v>
      </c>
      <c r="H422" s="31">
        <v>0</v>
      </c>
      <c r="I422" s="31">
        <v>0</v>
      </c>
      <c r="J422" s="31">
        <v>0</v>
      </c>
      <c r="K422" s="31">
        <v>0</v>
      </c>
      <c r="L422" s="31">
        <v>0</v>
      </c>
      <c r="M422" s="31">
        <v>0</v>
      </c>
      <c r="N422" s="31">
        <v>0</v>
      </c>
      <c r="O422" s="31">
        <v>0</v>
      </c>
      <c r="P422" s="27"/>
      <c r="Q422" s="29"/>
      <c r="R422" s="30"/>
    </row>
    <row r="423" spans="1:18" ht="112.5" x14ac:dyDescent="0.25">
      <c r="A423" s="19" t="s">
        <v>1116</v>
      </c>
      <c r="B423" s="20" t="s">
        <v>1117</v>
      </c>
      <c r="C423" s="21" t="s">
        <v>277</v>
      </c>
      <c r="D423" s="21" t="s">
        <v>281</v>
      </c>
      <c r="E423" s="21" t="s">
        <v>33</v>
      </c>
      <c r="F423" s="22">
        <f t="shared" ref="F423:O423" si="184">SUM(F424:F425)</f>
        <v>35000</v>
      </c>
      <c r="G423" s="22">
        <f t="shared" si="184"/>
        <v>35000</v>
      </c>
      <c r="H423" s="22">
        <f t="shared" si="184"/>
        <v>0</v>
      </c>
      <c r="I423" s="22">
        <f t="shared" si="184"/>
        <v>0</v>
      </c>
      <c r="J423" s="22">
        <f t="shared" si="184"/>
        <v>0</v>
      </c>
      <c r="K423" s="22">
        <f t="shared" si="184"/>
        <v>0</v>
      </c>
      <c r="L423" s="22">
        <f t="shared" si="184"/>
        <v>0</v>
      </c>
      <c r="M423" s="22">
        <f t="shared" si="184"/>
        <v>0</v>
      </c>
      <c r="N423" s="22">
        <f t="shared" si="184"/>
        <v>0</v>
      </c>
      <c r="O423" s="22">
        <f t="shared" si="184"/>
        <v>0</v>
      </c>
      <c r="P423" s="21" t="s">
        <v>1118</v>
      </c>
      <c r="Q423" s="23" t="s">
        <v>35</v>
      </c>
      <c r="R423" s="24" t="s">
        <v>1119</v>
      </c>
    </row>
    <row r="424" spans="1:18" x14ac:dyDescent="0.25">
      <c r="A424" s="32"/>
      <c r="B424" s="33"/>
      <c r="C424" s="34"/>
      <c r="D424" s="34"/>
      <c r="E424" s="34"/>
      <c r="F424" s="35">
        <v>0</v>
      </c>
      <c r="G424" s="35">
        <v>0</v>
      </c>
      <c r="H424" s="35">
        <v>0</v>
      </c>
      <c r="I424" s="35">
        <v>0</v>
      </c>
      <c r="J424" s="35">
        <v>0</v>
      </c>
      <c r="K424" s="35">
        <v>0</v>
      </c>
      <c r="L424" s="35">
        <v>0</v>
      </c>
      <c r="M424" s="35">
        <v>0</v>
      </c>
      <c r="N424" s="35">
        <v>0</v>
      </c>
      <c r="O424" s="35">
        <v>0</v>
      </c>
      <c r="P424" s="34" t="s">
        <v>1120</v>
      </c>
      <c r="Q424" s="36" t="s">
        <v>35</v>
      </c>
      <c r="R424" s="37" t="s">
        <v>1121</v>
      </c>
    </row>
    <row r="425" spans="1:18" ht="116.25" x14ac:dyDescent="0.25">
      <c r="A425" s="25" t="s">
        <v>1122</v>
      </c>
      <c r="B425" s="26" t="s">
        <v>1123</v>
      </c>
      <c r="C425" s="27" t="s">
        <v>277</v>
      </c>
      <c r="D425" s="27" t="s">
        <v>281</v>
      </c>
      <c r="E425" s="27" t="s">
        <v>40</v>
      </c>
      <c r="F425" s="28">
        <f>SUM(F426:F426)+35000</f>
        <v>35000</v>
      </c>
      <c r="G425" s="28">
        <f>SUM(G426:G426)+35000</f>
        <v>35000</v>
      </c>
      <c r="H425" s="28">
        <f t="shared" ref="H425:O425" si="185">SUM(H426:H426)</f>
        <v>0</v>
      </c>
      <c r="I425" s="28">
        <f t="shared" si="185"/>
        <v>0</v>
      </c>
      <c r="J425" s="28">
        <f t="shared" si="185"/>
        <v>0</v>
      </c>
      <c r="K425" s="28">
        <f t="shared" si="185"/>
        <v>0</v>
      </c>
      <c r="L425" s="28">
        <f t="shared" si="185"/>
        <v>0</v>
      </c>
      <c r="M425" s="28">
        <f t="shared" si="185"/>
        <v>0</v>
      </c>
      <c r="N425" s="28">
        <f t="shared" si="185"/>
        <v>0</v>
      </c>
      <c r="O425" s="28">
        <f t="shared" si="185"/>
        <v>0</v>
      </c>
      <c r="P425" s="27" t="s">
        <v>1124</v>
      </c>
      <c r="Q425" s="29" t="s">
        <v>35</v>
      </c>
      <c r="R425" s="30" t="s">
        <v>150</v>
      </c>
    </row>
    <row r="426" spans="1:18" ht="93" x14ac:dyDescent="0.25">
      <c r="A426" s="25" t="s">
        <v>1125</v>
      </c>
      <c r="B426" s="26" t="s">
        <v>1126</v>
      </c>
      <c r="C426" s="27"/>
      <c r="D426" s="27"/>
      <c r="E426" s="27"/>
      <c r="F426" s="31">
        <v>0</v>
      </c>
      <c r="G426" s="31">
        <v>0</v>
      </c>
      <c r="H426" s="31">
        <v>0</v>
      </c>
      <c r="I426" s="31">
        <v>0</v>
      </c>
      <c r="J426" s="31">
        <v>0</v>
      </c>
      <c r="K426" s="31">
        <v>0</v>
      </c>
      <c r="L426" s="31">
        <v>0</v>
      </c>
      <c r="M426" s="31">
        <v>0</v>
      </c>
      <c r="N426" s="31">
        <v>0</v>
      </c>
      <c r="O426" s="31">
        <v>0</v>
      </c>
      <c r="P426" s="27"/>
      <c r="Q426" s="29"/>
      <c r="R426" s="30"/>
    </row>
    <row r="427" spans="1:18" ht="135" x14ac:dyDescent="0.25">
      <c r="A427" s="19" t="s">
        <v>1127</v>
      </c>
      <c r="B427" s="20" t="s">
        <v>1128</v>
      </c>
      <c r="C427" s="21" t="s">
        <v>277</v>
      </c>
      <c r="D427" s="21" t="s">
        <v>281</v>
      </c>
      <c r="E427" s="21" t="s">
        <v>248</v>
      </c>
      <c r="F427" s="22">
        <f t="shared" ref="F427:O427" si="186">SUM(F428:F428)</f>
        <v>85000</v>
      </c>
      <c r="G427" s="22">
        <f t="shared" si="186"/>
        <v>85000</v>
      </c>
      <c r="H427" s="22">
        <f t="shared" si="186"/>
        <v>0</v>
      </c>
      <c r="I427" s="22">
        <f t="shared" si="186"/>
        <v>0</v>
      </c>
      <c r="J427" s="22">
        <f t="shared" si="186"/>
        <v>0</v>
      </c>
      <c r="K427" s="22">
        <f t="shared" si="186"/>
        <v>0</v>
      </c>
      <c r="L427" s="22">
        <f t="shared" si="186"/>
        <v>0</v>
      </c>
      <c r="M427" s="22">
        <f t="shared" si="186"/>
        <v>0</v>
      </c>
      <c r="N427" s="22">
        <f t="shared" si="186"/>
        <v>0</v>
      </c>
      <c r="O427" s="22">
        <f t="shared" si="186"/>
        <v>0</v>
      </c>
      <c r="P427" s="21" t="s">
        <v>1129</v>
      </c>
      <c r="Q427" s="23" t="s">
        <v>295</v>
      </c>
      <c r="R427" s="24" t="s">
        <v>181</v>
      </c>
    </row>
    <row r="428" spans="1:18" ht="46.5" x14ac:dyDescent="0.25">
      <c r="A428" s="25" t="s">
        <v>1130</v>
      </c>
      <c r="B428" s="26" t="s">
        <v>1131</v>
      </c>
      <c r="C428" s="27" t="s">
        <v>277</v>
      </c>
      <c r="D428" s="27" t="s">
        <v>281</v>
      </c>
      <c r="E428" s="27" t="s">
        <v>253</v>
      </c>
      <c r="F428" s="28">
        <f>SUM(F429:F429)+85000</f>
        <v>85000</v>
      </c>
      <c r="G428" s="28">
        <f>SUM(G429:G429)+85000</f>
        <v>85000</v>
      </c>
      <c r="H428" s="28">
        <f t="shared" ref="H428:O428" si="187">SUM(H429:H429)</f>
        <v>0</v>
      </c>
      <c r="I428" s="28">
        <f t="shared" si="187"/>
        <v>0</v>
      </c>
      <c r="J428" s="28">
        <f t="shared" si="187"/>
        <v>0</v>
      </c>
      <c r="K428" s="28">
        <f t="shared" si="187"/>
        <v>0</v>
      </c>
      <c r="L428" s="28">
        <f t="shared" si="187"/>
        <v>0</v>
      </c>
      <c r="M428" s="28">
        <f t="shared" si="187"/>
        <v>0</v>
      </c>
      <c r="N428" s="28">
        <f t="shared" si="187"/>
        <v>0</v>
      </c>
      <c r="O428" s="28">
        <f t="shared" si="187"/>
        <v>0</v>
      </c>
      <c r="P428" s="27" t="s">
        <v>1132</v>
      </c>
      <c r="Q428" s="29" t="s">
        <v>35</v>
      </c>
      <c r="R428" s="30" t="s">
        <v>144</v>
      </c>
    </row>
    <row r="429" spans="1:18" ht="46.5" x14ac:dyDescent="0.25">
      <c r="A429" s="25" t="s">
        <v>1133</v>
      </c>
      <c r="B429" s="26" t="s">
        <v>1134</v>
      </c>
      <c r="C429" s="27"/>
      <c r="D429" s="27"/>
      <c r="E429" s="27"/>
      <c r="F429" s="31">
        <v>0</v>
      </c>
      <c r="G429" s="31">
        <v>0</v>
      </c>
      <c r="H429" s="31">
        <v>0</v>
      </c>
      <c r="I429" s="31">
        <v>0</v>
      </c>
      <c r="J429" s="31">
        <v>0</v>
      </c>
      <c r="K429" s="31">
        <v>0</v>
      </c>
      <c r="L429" s="31">
        <v>0</v>
      </c>
      <c r="M429" s="31">
        <v>0</v>
      </c>
      <c r="N429" s="31">
        <v>0</v>
      </c>
      <c r="O429" s="31">
        <v>0</v>
      </c>
      <c r="P429" s="27"/>
      <c r="Q429" s="29"/>
      <c r="R429" s="30"/>
    </row>
    <row r="430" spans="1:18" ht="67.5" x14ac:dyDescent="0.25">
      <c r="A430" s="13" t="s">
        <v>1135</v>
      </c>
      <c r="B430" s="14" t="s">
        <v>1136</v>
      </c>
      <c r="C430" s="15" t="s">
        <v>277</v>
      </c>
      <c r="D430" s="15" t="s">
        <v>281</v>
      </c>
      <c r="E430" s="15"/>
      <c r="F430" s="16">
        <f t="shared" ref="F430:O430" si="188">F431+F432+F441+F444</f>
        <v>640210</v>
      </c>
      <c r="G430" s="16">
        <f t="shared" si="188"/>
        <v>640210</v>
      </c>
      <c r="H430" s="16">
        <f t="shared" si="188"/>
        <v>0</v>
      </c>
      <c r="I430" s="16">
        <f t="shared" si="188"/>
        <v>0</v>
      </c>
      <c r="J430" s="16">
        <f t="shared" si="188"/>
        <v>0</v>
      </c>
      <c r="K430" s="16">
        <f t="shared" si="188"/>
        <v>0</v>
      </c>
      <c r="L430" s="16">
        <f t="shared" si="188"/>
        <v>0</v>
      </c>
      <c r="M430" s="16">
        <f t="shared" si="188"/>
        <v>0</v>
      </c>
      <c r="N430" s="16">
        <f t="shared" si="188"/>
        <v>0</v>
      </c>
      <c r="O430" s="16">
        <f t="shared" si="188"/>
        <v>0</v>
      </c>
      <c r="P430" s="15" t="s">
        <v>356</v>
      </c>
      <c r="Q430" s="17" t="s">
        <v>29</v>
      </c>
      <c r="R430" s="18" t="s">
        <v>88</v>
      </c>
    </row>
    <row r="431" spans="1:18" ht="46.5" x14ac:dyDescent="0.25">
      <c r="A431" s="32"/>
      <c r="B431" s="33"/>
      <c r="C431" s="34"/>
      <c r="D431" s="34"/>
      <c r="E431" s="34"/>
      <c r="F431" s="35">
        <v>0</v>
      </c>
      <c r="G431" s="35">
        <v>0</v>
      </c>
      <c r="H431" s="35">
        <v>0</v>
      </c>
      <c r="I431" s="35">
        <v>0</v>
      </c>
      <c r="J431" s="35">
        <v>0</v>
      </c>
      <c r="K431" s="35">
        <v>0</v>
      </c>
      <c r="L431" s="35">
        <v>0</v>
      </c>
      <c r="M431" s="35">
        <v>0</v>
      </c>
      <c r="N431" s="35">
        <v>0</v>
      </c>
      <c r="O431" s="35">
        <v>0</v>
      </c>
      <c r="P431" s="34" t="s">
        <v>1137</v>
      </c>
      <c r="Q431" s="36" t="s">
        <v>29</v>
      </c>
      <c r="R431" s="37" t="s">
        <v>1138</v>
      </c>
    </row>
    <row r="432" spans="1:18" ht="90" x14ac:dyDescent="0.25">
      <c r="A432" s="19" t="s">
        <v>1139</v>
      </c>
      <c r="B432" s="20" t="s">
        <v>1140</v>
      </c>
      <c r="C432" s="21" t="s">
        <v>277</v>
      </c>
      <c r="D432" s="21" t="s">
        <v>923</v>
      </c>
      <c r="E432" s="21" t="s">
        <v>33</v>
      </c>
      <c r="F432" s="22">
        <f t="shared" ref="F432:O432" si="189">F433+F435+F437+F439</f>
        <v>600210</v>
      </c>
      <c r="G432" s="22">
        <f t="shared" si="189"/>
        <v>600210</v>
      </c>
      <c r="H432" s="22">
        <f t="shared" si="189"/>
        <v>0</v>
      </c>
      <c r="I432" s="22">
        <f t="shared" si="189"/>
        <v>0</v>
      </c>
      <c r="J432" s="22">
        <f t="shared" si="189"/>
        <v>0</v>
      </c>
      <c r="K432" s="22">
        <f t="shared" si="189"/>
        <v>0</v>
      </c>
      <c r="L432" s="22">
        <f t="shared" si="189"/>
        <v>0</v>
      </c>
      <c r="M432" s="22">
        <f t="shared" si="189"/>
        <v>0</v>
      </c>
      <c r="N432" s="22">
        <f t="shared" si="189"/>
        <v>0</v>
      </c>
      <c r="O432" s="22">
        <f t="shared" si="189"/>
        <v>0</v>
      </c>
      <c r="P432" s="21" t="s">
        <v>1141</v>
      </c>
      <c r="Q432" s="23" t="s">
        <v>35</v>
      </c>
      <c r="R432" s="24" t="s">
        <v>48</v>
      </c>
    </row>
    <row r="433" spans="1:18" ht="69.75" x14ac:dyDescent="0.25">
      <c r="A433" s="25" t="s">
        <v>1142</v>
      </c>
      <c r="B433" s="26" t="s">
        <v>1143</v>
      </c>
      <c r="C433" s="27" t="s">
        <v>277</v>
      </c>
      <c r="D433" s="27" t="s">
        <v>932</v>
      </c>
      <c r="E433" s="27" t="s">
        <v>40</v>
      </c>
      <c r="F433" s="28">
        <f>SUM(F434:F434)+56000</f>
        <v>56000</v>
      </c>
      <c r="G433" s="28">
        <f>SUM(G434:G434)+56000</f>
        <v>56000</v>
      </c>
      <c r="H433" s="28">
        <f t="shared" ref="H433:O433" si="190">SUM(H434:H434)</f>
        <v>0</v>
      </c>
      <c r="I433" s="28">
        <f t="shared" si="190"/>
        <v>0</v>
      </c>
      <c r="J433" s="28">
        <f t="shared" si="190"/>
        <v>0</v>
      </c>
      <c r="K433" s="28">
        <f t="shared" si="190"/>
        <v>0</v>
      </c>
      <c r="L433" s="28">
        <f t="shared" si="190"/>
        <v>0</v>
      </c>
      <c r="M433" s="28">
        <f t="shared" si="190"/>
        <v>0</v>
      </c>
      <c r="N433" s="28">
        <f t="shared" si="190"/>
        <v>0</v>
      </c>
      <c r="O433" s="28">
        <f t="shared" si="190"/>
        <v>0</v>
      </c>
      <c r="P433" s="27" t="s">
        <v>1144</v>
      </c>
      <c r="Q433" s="29" t="s">
        <v>35</v>
      </c>
      <c r="R433" s="30" t="s">
        <v>36</v>
      </c>
    </row>
    <row r="434" spans="1:18" ht="46.5" x14ac:dyDescent="0.25">
      <c r="A434" s="25" t="s">
        <v>1145</v>
      </c>
      <c r="B434" s="26" t="s">
        <v>1146</v>
      </c>
      <c r="C434" s="27"/>
      <c r="D434" s="27"/>
      <c r="E434" s="27"/>
      <c r="F434" s="31">
        <v>0</v>
      </c>
      <c r="G434" s="31">
        <v>0</v>
      </c>
      <c r="H434" s="31">
        <v>0</v>
      </c>
      <c r="I434" s="31">
        <v>0</v>
      </c>
      <c r="J434" s="31">
        <v>0</v>
      </c>
      <c r="K434" s="31">
        <v>0</v>
      </c>
      <c r="L434" s="31">
        <v>0</v>
      </c>
      <c r="M434" s="31">
        <v>0</v>
      </c>
      <c r="N434" s="31">
        <v>0</v>
      </c>
      <c r="O434" s="31">
        <v>0</v>
      </c>
      <c r="P434" s="27"/>
      <c r="Q434" s="29"/>
      <c r="R434" s="30"/>
    </row>
    <row r="435" spans="1:18" ht="46.5" x14ac:dyDescent="0.25">
      <c r="A435" s="25" t="s">
        <v>1147</v>
      </c>
      <c r="B435" s="26" t="s">
        <v>1148</v>
      </c>
      <c r="C435" s="27" t="s">
        <v>277</v>
      </c>
      <c r="D435" s="27" t="s">
        <v>932</v>
      </c>
      <c r="E435" s="27" t="s">
        <v>40</v>
      </c>
      <c r="F435" s="28">
        <f>SUM(F436:F436)+181000</f>
        <v>181000</v>
      </c>
      <c r="G435" s="28">
        <f>SUM(G436:G436)+181000</f>
        <v>181000</v>
      </c>
      <c r="H435" s="28">
        <f t="shared" ref="H435:O435" si="191">SUM(H436:H436)</f>
        <v>0</v>
      </c>
      <c r="I435" s="28">
        <f t="shared" si="191"/>
        <v>0</v>
      </c>
      <c r="J435" s="28">
        <f t="shared" si="191"/>
        <v>0</v>
      </c>
      <c r="K435" s="28">
        <f t="shared" si="191"/>
        <v>0</v>
      </c>
      <c r="L435" s="28">
        <f t="shared" si="191"/>
        <v>0</v>
      </c>
      <c r="M435" s="28">
        <f t="shared" si="191"/>
        <v>0</v>
      </c>
      <c r="N435" s="28">
        <f t="shared" si="191"/>
        <v>0</v>
      </c>
      <c r="O435" s="28">
        <f t="shared" si="191"/>
        <v>0</v>
      </c>
      <c r="P435" s="27" t="s">
        <v>1149</v>
      </c>
      <c r="Q435" s="29" t="s">
        <v>35</v>
      </c>
      <c r="R435" s="30" t="s">
        <v>163</v>
      </c>
    </row>
    <row r="436" spans="1:18" ht="46.5" x14ac:dyDescent="0.25">
      <c r="A436" s="25" t="s">
        <v>1150</v>
      </c>
      <c r="B436" s="26" t="s">
        <v>1151</v>
      </c>
      <c r="C436" s="27"/>
      <c r="D436" s="27"/>
      <c r="E436" s="27"/>
      <c r="F436" s="31">
        <v>0</v>
      </c>
      <c r="G436" s="31">
        <v>0</v>
      </c>
      <c r="H436" s="31">
        <v>0</v>
      </c>
      <c r="I436" s="31">
        <v>0</v>
      </c>
      <c r="J436" s="31">
        <v>0</v>
      </c>
      <c r="K436" s="31">
        <v>0</v>
      </c>
      <c r="L436" s="31">
        <v>0</v>
      </c>
      <c r="M436" s="31">
        <v>0</v>
      </c>
      <c r="N436" s="31">
        <v>0</v>
      </c>
      <c r="O436" s="31">
        <v>0</v>
      </c>
      <c r="P436" s="27"/>
      <c r="Q436" s="29"/>
      <c r="R436" s="30"/>
    </row>
    <row r="437" spans="1:18" ht="46.5" x14ac:dyDescent="0.25">
      <c r="A437" s="25" t="s">
        <v>1152</v>
      </c>
      <c r="B437" s="26" t="s">
        <v>1153</v>
      </c>
      <c r="C437" s="27" t="s">
        <v>277</v>
      </c>
      <c r="D437" s="27" t="s">
        <v>932</v>
      </c>
      <c r="E437" s="27" t="s">
        <v>40</v>
      </c>
      <c r="F437" s="28">
        <f>SUM(F438:F438)+4000</f>
        <v>4000</v>
      </c>
      <c r="G437" s="28">
        <f>SUM(G438:G438)+4000</f>
        <v>4000</v>
      </c>
      <c r="H437" s="28">
        <f t="shared" ref="H437:O437" si="192">SUM(H438:H438)</f>
        <v>0</v>
      </c>
      <c r="I437" s="28">
        <f t="shared" si="192"/>
        <v>0</v>
      </c>
      <c r="J437" s="28">
        <f t="shared" si="192"/>
        <v>0</v>
      </c>
      <c r="K437" s="28">
        <f t="shared" si="192"/>
        <v>0</v>
      </c>
      <c r="L437" s="28">
        <f t="shared" si="192"/>
        <v>0</v>
      </c>
      <c r="M437" s="28">
        <f t="shared" si="192"/>
        <v>0</v>
      </c>
      <c r="N437" s="28">
        <f t="shared" si="192"/>
        <v>0</v>
      </c>
      <c r="O437" s="28">
        <f t="shared" si="192"/>
        <v>0</v>
      </c>
      <c r="P437" s="27" t="s">
        <v>1154</v>
      </c>
      <c r="Q437" s="29" t="s">
        <v>35</v>
      </c>
      <c r="R437" s="30" t="s">
        <v>36</v>
      </c>
    </row>
    <row r="438" spans="1:18" ht="46.5" x14ac:dyDescent="0.25">
      <c r="A438" s="25" t="s">
        <v>1155</v>
      </c>
      <c r="B438" s="26" t="s">
        <v>1156</v>
      </c>
      <c r="C438" s="27"/>
      <c r="D438" s="27"/>
      <c r="E438" s="27"/>
      <c r="F438" s="31">
        <v>0</v>
      </c>
      <c r="G438" s="31">
        <v>0</v>
      </c>
      <c r="H438" s="31">
        <v>0</v>
      </c>
      <c r="I438" s="31">
        <v>0</v>
      </c>
      <c r="J438" s="31">
        <v>0</v>
      </c>
      <c r="K438" s="31">
        <v>0</v>
      </c>
      <c r="L438" s="31">
        <v>0</v>
      </c>
      <c r="M438" s="31">
        <v>0</v>
      </c>
      <c r="N438" s="31">
        <v>0</v>
      </c>
      <c r="O438" s="31">
        <v>0</v>
      </c>
      <c r="P438" s="27"/>
      <c r="Q438" s="29"/>
      <c r="R438" s="30"/>
    </row>
    <row r="439" spans="1:18" ht="46.5" x14ac:dyDescent="0.25">
      <c r="A439" s="25" t="s">
        <v>1157</v>
      </c>
      <c r="B439" s="26" t="s">
        <v>1158</v>
      </c>
      <c r="C439" s="27" t="s">
        <v>277</v>
      </c>
      <c r="D439" s="27" t="s">
        <v>923</v>
      </c>
      <c r="E439" s="27" t="s">
        <v>40</v>
      </c>
      <c r="F439" s="28">
        <f>SUM(F440:F440)+359210</f>
        <v>359210</v>
      </c>
      <c r="G439" s="28">
        <f>SUM(G440:G440)+359210</f>
        <v>359210</v>
      </c>
      <c r="H439" s="28">
        <f t="shared" ref="H439:O439" si="193">SUM(H440:H440)</f>
        <v>0</v>
      </c>
      <c r="I439" s="28">
        <f t="shared" si="193"/>
        <v>0</v>
      </c>
      <c r="J439" s="28">
        <f t="shared" si="193"/>
        <v>0</v>
      </c>
      <c r="K439" s="28">
        <f t="shared" si="193"/>
        <v>0</v>
      </c>
      <c r="L439" s="28">
        <f t="shared" si="193"/>
        <v>0</v>
      </c>
      <c r="M439" s="28">
        <f t="shared" si="193"/>
        <v>0</v>
      </c>
      <c r="N439" s="28">
        <f t="shared" si="193"/>
        <v>0</v>
      </c>
      <c r="O439" s="28">
        <f t="shared" si="193"/>
        <v>0</v>
      </c>
      <c r="P439" s="27" t="s">
        <v>1159</v>
      </c>
      <c r="Q439" s="29" t="s">
        <v>35</v>
      </c>
      <c r="R439" s="30" t="s">
        <v>144</v>
      </c>
    </row>
    <row r="440" spans="1:18" ht="46.5" x14ac:dyDescent="0.25">
      <c r="A440" s="25" t="s">
        <v>1160</v>
      </c>
      <c r="B440" s="26" t="s">
        <v>1161</v>
      </c>
      <c r="C440" s="27"/>
      <c r="D440" s="27"/>
      <c r="E440" s="27"/>
      <c r="F440" s="31">
        <v>0</v>
      </c>
      <c r="G440" s="31">
        <v>0</v>
      </c>
      <c r="H440" s="31">
        <v>0</v>
      </c>
      <c r="I440" s="31">
        <v>0</v>
      </c>
      <c r="J440" s="31">
        <v>0</v>
      </c>
      <c r="K440" s="31">
        <v>0</v>
      </c>
      <c r="L440" s="31">
        <v>0</v>
      </c>
      <c r="M440" s="31">
        <v>0</v>
      </c>
      <c r="N440" s="31">
        <v>0</v>
      </c>
      <c r="O440" s="31">
        <v>0</v>
      </c>
      <c r="P440" s="27"/>
      <c r="Q440" s="29"/>
      <c r="R440" s="30"/>
    </row>
    <row r="441" spans="1:18" ht="67.5" x14ac:dyDescent="0.25">
      <c r="A441" s="19" t="s">
        <v>1162</v>
      </c>
      <c r="B441" s="20" t="s">
        <v>1163</v>
      </c>
      <c r="C441" s="21" t="s">
        <v>277</v>
      </c>
      <c r="D441" s="21" t="s">
        <v>923</v>
      </c>
      <c r="E441" s="21" t="s">
        <v>33</v>
      </c>
      <c r="F441" s="22">
        <f t="shared" ref="F441:O441" si="194">SUM(F442:F442)</f>
        <v>35000</v>
      </c>
      <c r="G441" s="22">
        <f t="shared" si="194"/>
        <v>35000</v>
      </c>
      <c r="H441" s="22">
        <f t="shared" si="194"/>
        <v>0</v>
      </c>
      <c r="I441" s="22">
        <f t="shared" si="194"/>
        <v>0</v>
      </c>
      <c r="J441" s="22">
        <f t="shared" si="194"/>
        <v>0</v>
      </c>
      <c r="K441" s="22">
        <f t="shared" si="194"/>
        <v>0</v>
      </c>
      <c r="L441" s="22">
        <f t="shared" si="194"/>
        <v>0</v>
      </c>
      <c r="M441" s="22">
        <f t="shared" si="194"/>
        <v>0</v>
      </c>
      <c r="N441" s="22">
        <f t="shared" si="194"/>
        <v>0</v>
      </c>
      <c r="O441" s="22">
        <f t="shared" si="194"/>
        <v>0</v>
      </c>
      <c r="P441" s="21" t="s">
        <v>1164</v>
      </c>
      <c r="Q441" s="23" t="s">
        <v>372</v>
      </c>
      <c r="R441" s="24" t="s">
        <v>48</v>
      </c>
    </row>
    <row r="442" spans="1:18" ht="93" x14ac:dyDescent="0.25">
      <c r="A442" s="25" t="s">
        <v>1165</v>
      </c>
      <c r="B442" s="26" t="s">
        <v>1166</v>
      </c>
      <c r="C442" s="27" t="s">
        <v>277</v>
      </c>
      <c r="D442" s="27" t="s">
        <v>932</v>
      </c>
      <c r="E442" s="27" t="s">
        <v>40</v>
      </c>
      <c r="F442" s="28">
        <f>SUM(F443:F443)+35000</f>
        <v>35000</v>
      </c>
      <c r="G442" s="28">
        <f>SUM(G443:G443)+35000</f>
        <v>35000</v>
      </c>
      <c r="H442" s="28">
        <f t="shared" ref="H442:O442" si="195">SUM(H443:H443)</f>
        <v>0</v>
      </c>
      <c r="I442" s="28">
        <f t="shared" si="195"/>
        <v>0</v>
      </c>
      <c r="J442" s="28">
        <f t="shared" si="195"/>
        <v>0</v>
      </c>
      <c r="K442" s="28">
        <f t="shared" si="195"/>
        <v>0</v>
      </c>
      <c r="L442" s="28">
        <f t="shared" si="195"/>
        <v>0</v>
      </c>
      <c r="M442" s="28">
        <f t="shared" si="195"/>
        <v>0</v>
      </c>
      <c r="N442" s="28">
        <f t="shared" si="195"/>
        <v>0</v>
      </c>
      <c r="O442" s="28">
        <f t="shared" si="195"/>
        <v>0</v>
      </c>
      <c r="P442" s="27" t="s">
        <v>1167</v>
      </c>
      <c r="Q442" s="29" t="s">
        <v>35</v>
      </c>
      <c r="R442" s="30" t="s">
        <v>48</v>
      </c>
    </row>
    <row r="443" spans="1:18" ht="46.5" x14ac:dyDescent="0.25">
      <c r="A443" s="25" t="s">
        <v>1168</v>
      </c>
      <c r="B443" s="26" t="s">
        <v>1169</v>
      </c>
      <c r="C443" s="27"/>
      <c r="D443" s="27"/>
      <c r="E443" s="27"/>
      <c r="F443" s="31">
        <v>0</v>
      </c>
      <c r="G443" s="31">
        <v>0</v>
      </c>
      <c r="H443" s="31">
        <v>0</v>
      </c>
      <c r="I443" s="31">
        <v>0</v>
      </c>
      <c r="J443" s="31">
        <v>0</v>
      </c>
      <c r="K443" s="31">
        <v>0</v>
      </c>
      <c r="L443" s="31">
        <v>0</v>
      </c>
      <c r="M443" s="31">
        <v>0</v>
      </c>
      <c r="N443" s="31">
        <v>0</v>
      </c>
      <c r="O443" s="31">
        <v>0</v>
      </c>
      <c r="P443" s="27"/>
      <c r="Q443" s="29"/>
      <c r="R443" s="30"/>
    </row>
    <row r="444" spans="1:18" ht="67.5" x14ac:dyDescent="0.25">
      <c r="A444" s="19" t="s">
        <v>1170</v>
      </c>
      <c r="B444" s="20" t="s">
        <v>1171</v>
      </c>
      <c r="C444" s="21" t="s">
        <v>277</v>
      </c>
      <c r="D444" s="21" t="s">
        <v>923</v>
      </c>
      <c r="E444" s="21" t="s">
        <v>33</v>
      </c>
      <c r="F444" s="22">
        <f t="shared" ref="F444:O444" si="196">SUM(F445:F445)</f>
        <v>5000</v>
      </c>
      <c r="G444" s="22">
        <f t="shared" si="196"/>
        <v>5000</v>
      </c>
      <c r="H444" s="22">
        <f t="shared" si="196"/>
        <v>0</v>
      </c>
      <c r="I444" s="22">
        <f t="shared" si="196"/>
        <v>0</v>
      </c>
      <c r="J444" s="22">
        <f t="shared" si="196"/>
        <v>0</v>
      </c>
      <c r="K444" s="22">
        <f t="shared" si="196"/>
        <v>0</v>
      </c>
      <c r="L444" s="22">
        <f t="shared" si="196"/>
        <v>0</v>
      </c>
      <c r="M444" s="22">
        <f t="shared" si="196"/>
        <v>0</v>
      </c>
      <c r="N444" s="22">
        <f t="shared" si="196"/>
        <v>0</v>
      </c>
      <c r="O444" s="22">
        <f t="shared" si="196"/>
        <v>0</v>
      </c>
      <c r="P444" s="21" t="s">
        <v>1172</v>
      </c>
      <c r="Q444" s="23" t="s">
        <v>35</v>
      </c>
      <c r="R444" s="24" t="s">
        <v>48</v>
      </c>
    </row>
    <row r="445" spans="1:18" ht="46.5" x14ac:dyDescent="0.25">
      <c r="A445" s="25" t="s">
        <v>1173</v>
      </c>
      <c r="B445" s="26" t="s">
        <v>1174</v>
      </c>
      <c r="C445" s="27" t="s">
        <v>277</v>
      </c>
      <c r="D445" s="27" t="s">
        <v>932</v>
      </c>
      <c r="E445" s="27" t="s">
        <v>40</v>
      </c>
      <c r="F445" s="28">
        <f>SUM(F446:F446)+5000</f>
        <v>5000</v>
      </c>
      <c r="G445" s="28">
        <f>SUM(G446:G446)+5000</f>
        <v>5000</v>
      </c>
      <c r="H445" s="28">
        <f t="shared" ref="H445:O445" si="197">SUM(H446:H446)</f>
        <v>0</v>
      </c>
      <c r="I445" s="28">
        <f t="shared" si="197"/>
        <v>0</v>
      </c>
      <c r="J445" s="28">
        <f t="shared" si="197"/>
        <v>0</v>
      </c>
      <c r="K445" s="28">
        <f t="shared" si="197"/>
        <v>0</v>
      </c>
      <c r="L445" s="28">
        <f t="shared" si="197"/>
        <v>0</v>
      </c>
      <c r="M445" s="28">
        <f t="shared" si="197"/>
        <v>0</v>
      </c>
      <c r="N445" s="28">
        <f t="shared" si="197"/>
        <v>0</v>
      </c>
      <c r="O445" s="28">
        <f t="shared" si="197"/>
        <v>0</v>
      </c>
      <c r="P445" s="27" t="s">
        <v>1175</v>
      </c>
      <c r="Q445" s="29" t="s">
        <v>372</v>
      </c>
      <c r="R445" s="30" t="s">
        <v>36</v>
      </c>
    </row>
    <row r="446" spans="1:18" ht="46.5" x14ac:dyDescent="0.25">
      <c r="A446" s="25" t="s">
        <v>1176</v>
      </c>
      <c r="B446" s="26" t="s">
        <v>1177</v>
      </c>
      <c r="C446" s="27"/>
      <c r="D446" s="27"/>
      <c r="E446" s="27"/>
      <c r="F446" s="31">
        <v>0</v>
      </c>
      <c r="G446" s="31">
        <v>0</v>
      </c>
      <c r="H446" s="31">
        <v>0</v>
      </c>
      <c r="I446" s="31">
        <v>0</v>
      </c>
      <c r="J446" s="31">
        <v>0</v>
      </c>
      <c r="K446" s="31">
        <v>0</v>
      </c>
      <c r="L446" s="31">
        <v>0</v>
      </c>
      <c r="M446" s="31">
        <v>0</v>
      </c>
      <c r="N446" s="31">
        <v>0</v>
      </c>
      <c r="O446" s="31">
        <v>0</v>
      </c>
      <c r="P446" s="27"/>
      <c r="Q446" s="29"/>
      <c r="R446" s="30"/>
    </row>
    <row r="447" spans="1:18" ht="45" x14ac:dyDescent="0.25">
      <c r="A447" s="13" t="s">
        <v>1178</v>
      </c>
      <c r="B447" s="14" t="s">
        <v>1179</v>
      </c>
      <c r="C447" s="15" t="s">
        <v>277</v>
      </c>
      <c r="D447" s="15" t="s">
        <v>281</v>
      </c>
      <c r="E447" s="15"/>
      <c r="F447" s="16">
        <f t="shared" ref="F447:O447" si="198">F448+F480+F483+F486+F491</f>
        <v>3288134</v>
      </c>
      <c r="G447" s="16">
        <f t="shared" si="198"/>
        <v>1371221.78</v>
      </c>
      <c r="H447" s="16">
        <f t="shared" si="198"/>
        <v>19410.89</v>
      </c>
      <c r="I447" s="16">
        <f t="shared" si="198"/>
        <v>0</v>
      </c>
      <c r="J447" s="16">
        <f t="shared" si="198"/>
        <v>0</v>
      </c>
      <c r="K447" s="16">
        <f t="shared" si="198"/>
        <v>0</v>
      </c>
      <c r="L447" s="16">
        <f t="shared" si="198"/>
        <v>0</v>
      </c>
      <c r="M447" s="16">
        <f t="shared" si="198"/>
        <v>1897501.33</v>
      </c>
      <c r="N447" s="16">
        <f t="shared" si="198"/>
        <v>0</v>
      </c>
      <c r="O447" s="16">
        <f t="shared" si="198"/>
        <v>0</v>
      </c>
      <c r="P447" s="15" t="s">
        <v>367</v>
      </c>
      <c r="Q447" s="17" t="s">
        <v>29</v>
      </c>
      <c r="R447" s="18" t="s">
        <v>368</v>
      </c>
    </row>
    <row r="448" spans="1:18" ht="90" x14ac:dyDescent="0.25">
      <c r="A448" s="19" t="s">
        <v>1180</v>
      </c>
      <c r="B448" s="20" t="s">
        <v>1181</v>
      </c>
      <c r="C448" s="21" t="s">
        <v>277</v>
      </c>
      <c r="D448" s="21" t="s">
        <v>281</v>
      </c>
      <c r="E448" s="21" t="s">
        <v>33</v>
      </c>
      <c r="F448" s="22">
        <f t="shared" ref="F448:O448" si="199">F449+F452+F454+F456+F458+F460+F462+F464+F466+F468+F470+F472+F474+F476+F478</f>
        <v>2533134</v>
      </c>
      <c r="G448" s="22">
        <f t="shared" si="199"/>
        <v>616221.78</v>
      </c>
      <c r="H448" s="22">
        <f t="shared" si="199"/>
        <v>19410.89</v>
      </c>
      <c r="I448" s="22">
        <f t="shared" si="199"/>
        <v>0</v>
      </c>
      <c r="J448" s="22">
        <f t="shared" si="199"/>
        <v>0</v>
      </c>
      <c r="K448" s="22">
        <f t="shared" si="199"/>
        <v>0</v>
      </c>
      <c r="L448" s="22">
        <f t="shared" si="199"/>
        <v>0</v>
      </c>
      <c r="M448" s="22">
        <f t="shared" si="199"/>
        <v>1897501.33</v>
      </c>
      <c r="N448" s="22">
        <f t="shared" si="199"/>
        <v>0</v>
      </c>
      <c r="O448" s="22">
        <f t="shared" si="199"/>
        <v>0</v>
      </c>
      <c r="P448" s="21" t="s">
        <v>371</v>
      </c>
      <c r="Q448" s="23" t="s">
        <v>372</v>
      </c>
      <c r="R448" s="24" t="s">
        <v>144</v>
      </c>
    </row>
    <row r="449" spans="1:18" ht="116.25" x14ac:dyDescent="0.25">
      <c r="A449" s="25" t="s">
        <v>1182</v>
      </c>
      <c r="B449" s="26" t="s">
        <v>1183</v>
      </c>
      <c r="C449" s="27" t="s">
        <v>277</v>
      </c>
      <c r="D449" s="27" t="s">
        <v>281</v>
      </c>
      <c r="E449" s="27" t="s">
        <v>40</v>
      </c>
      <c r="F449" s="28">
        <f>SUM(F450:F451)+2110217</f>
        <v>2110217</v>
      </c>
      <c r="G449" s="28">
        <f>SUM(G450:G451)+193304.78</f>
        <v>193304.78</v>
      </c>
      <c r="H449" s="28">
        <f>SUM(H450:H451)+19410.89</f>
        <v>19410.89</v>
      </c>
      <c r="I449" s="28">
        <f>SUM(I450:I451)</f>
        <v>0</v>
      </c>
      <c r="J449" s="28">
        <f>SUM(J450:J451)</f>
        <v>0</v>
      </c>
      <c r="K449" s="28">
        <f>SUM(K450:K451)</f>
        <v>0</v>
      </c>
      <c r="L449" s="28">
        <f>SUM(L450:L451)</f>
        <v>0</v>
      </c>
      <c r="M449" s="28">
        <f>SUM(M450:M451)+1897501.33</f>
        <v>1897501.33</v>
      </c>
      <c r="N449" s="28">
        <f>SUM(N450:N451)</f>
        <v>0</v>
      </c>
      <c r="O449" s="28">
        <f>SUM(O450:O451)</f>
        <v>0</v>
      </c>
      <c r="P449" s="27" t="s">
        <v>1184</v>
      </c>
      <c r="Q449" s="29" t="s">
        <v>372</v>
      </c>
      <c r="R449" s="30" t="s">
        <v>1185</v>
      </c>
    </row>
    <row r="450" spans="1:18" ht="46.5" x14ac:dyDescent="0.25">
      <c r="A450" s="32"/>
      <c r="B450" s="33"/>
      <c r="C450" s="34"/>
      <c r="D450" s="34"/>
      <c r="E450" s="34"/>
      <c r="F450" s="35">
        <v>0</v>
      </c>
      <c r="G450" s="35">
        <v>0</v>
      </c>
      <c r="H450" s="35">
        <v>0</v>
      </c>
      <c r="I450" s="35">
        <v>0</v>
      </c>
      <c r="J450" s="35">
        <v>0</v>
      </c>
      <c r="K450" s="35">
        <v>0</v>
      </c>
      <c r="L450" s="35">
        <v>0</v>
      </c>
      <c r="M450" s="35">
        <v>0</v>
      </c>
      <c r="N450" s="35">
        <v>0</v>
      </c>
      <c r="O450" s="35">
        <v>0</v>
      </c>
      <c r="P450" s="34" t="s">
        <v>1186</v>
      </c>
      <c r="Q450" s="36" t="s">
        <v>35</v>
      </c>
      <c r="R450" s="37" t="s">
        <v>144</v>
      </c>
    </row>
    <row r="451" spans="1:18" ht="232.5" x14ac:dyDescent="0.25">
      <c r="A451" s="25" t="s">
        <v>1187</v>
      </c>
      <c r="B451" s="26" t="s">
        <v>1188</v>
      </c>
      <c r="C451" s="27"/>
      <c r="D451" s="27"/>
      <c r="E451" s="27"/>
      <c r="F451" s="31">
        <v>0</v>
      </c>
      <c r="G451" s="31">
        <v>0</v>
      </c>
      <c r="H451" s="31">
        <v>0</v>
      </c>
      <c r="I451" s="31">
        <v>0</v>
      </c>
      <c r="J451" s="31">
        <v>0</v>
      </c>
      <c r="K451" s="31">
        <v>0</v>
      </c>
      <c r="L451" s="31">
        <v>0</v>
      </c>
      <c r="M451" s="31">
        <v>0</v>
      </c>
      <c r="N451" s="31">
        <v>0</v>
      </c>
      <c r="O451" s="31">
        <v>0</v>
      </c>
      <c r="P451" s="27"/>
      <c r="Q451" s="29"/>
      <c r="R451" s="30"/>
    </row>
    <row r="452" spans="1:18" ht="69.75" x14ac:dyDescent="0.25">
      <c r="A452" s="25" t="s">
        <v>1189</v>
      </c>
      <c r="B452" s="26" t="s">
        <v>1190</v>
      </c>
      <c r="C452" s="27" t="s">
        <v>726</v>
      </c>
      <c r="D452" s="27" t="s">
        <v>727</v>
      </c>
      <c r="E452" s="27" t="s">
        <v>40</v>
      </c>
      <c r="F452" s="28">
        <f>SUM(F453:F453)+24167</f>
        <v>24167</v>
      </c>
      <c r="G452" s="28">
        <f>SUM(G453:G453)+24167</f>
        <v>24167</v>
      </c>
      <c r="H452" s="28">
        <f t="shared" ref="H452:O452" si="200">SUM(H453:H453)</f>
        <v>0</v>
      </c>
      <c r="I452" s="28">
        <f t="shared" si="200"/>
        <v>0</v>
      </c>
      <c r="J452" s="28">
        <f t="shared" si="200"/>
        <v>0</v>
      </c>
      <c r="K452" s="28">
        <f t="shared" si="200"/>
        <v>0</v>
      </c>
      <c r="L452" s="28">
        <f t="shared" si="200"/>
        <v>0</v>
      </c>
      <c r="M452" s="28">
        <f t="shared" si="200"/>
        <v>0</v>
      </c>
      <c r="N452" s="28">
        <f t="shared" si="200"/>
        <v>0</v>
      </c>
      <c r="O452" s="28">
        <f t="shared" si="200"/>
        <v>0</v>
      </c>
      <c r="P452" s="27" t="s">
        <v>1191</v>
      </c>
      <c r="Q452" s="29" t="s">
        <v>372</v>
      </c>
      <c r="R452" s="30" t="s">
        <v>1192</v>
      </c>
    </row>
    <row r="453" spans="1:18" ht="46.5" x14ac:dyDescent="0.25">
      <c r="A453" s="25" t="s">
        <v>1193</v>
      </c>
      <c r="B453" s="26" t="s">
        <v>1194</v>
      </c>
      <c r="C453" s="27"/>
      <c r="D453" s="27"/>
      <c r="E453" s="27"/>
      <c r="F453" s="31">
        <v>0</v>
      </c>
      <c r="G453" s="31">
        <v>0</v>
      </c>
      <c r="H453" s="31">
        <v>0</v>
      </c>
      <c r="I453" s="31">
        <v>0</v>
      </c>
      <c r="J453" s="31">
        <v>0</v>
      </c>
      <c r="K453" s="31">
        <v>0</v>
      </c>
      <c r="L453" s="31">
        <v>0</v>
      </c>
      <c r="M453" s="31">
        <v>0</v>
      </c>
      <c r="N453" s="31">
        <v>0</v>
      </c>
      <c r="O453" s="31">
        <v>0</v>
      </c>
      <c r="P453" s="27"/>
      <c r="Q453" s="29"/>
      <c r="R453" s="30"/>
    </row>
    <row r="454" spans="1:18" ht="69.75" x14ac:dyDescent="0.25">
      <c r="A454" s="25" t="s">
        <v>1195</v>
      </c>
      <c r="B454" s="26" t="s">
        <v>1196</v>
      </c>
      <c r="C454" s="27" t="s">
        <v>735</v>
      </c>
      <c r="D454" s="27" t="s">
        <v>736</v>
      </c>
      <c r="E454" s="27" t="s">
        <v>40</v>
      </c>
      <c r="F454" s="28">
        <f>SUM(F455:F455)+25140</f>
        <v>25140</v>
      </c>
      <c r="G454" s="28">
        <f>SUM(G455:G455)+25140</f>
        <v>25140</v>
      </c>
      <c r="H454" s="28">
        <f t="shared" ref="H454:O454" si="201">SUM(H455:H455)</f>
        <v>0</v>
      </c>
      <c r="I454" s="28">
        <f t="shared" si="201"/>
        <v>0</v>
      </c>
      <c r="J454" s="28">
        <f t="shared" si="201"/>
        <v>0</v>
      </c>
      <c r="K454" s="28">
        <f t="shared" si="201"/>
        <v>0</v>
      </c>
      <c r="L454" s="28">
        <f t="shared" si="201"/>
        <v>0</v>
      </c>
      <c r="M454" s="28">
        <f t="shared" si="201"/>
        <v>0</v>
      </c>
      <c r="N454" s="28">
        <f t="shared" si="201"/>
        <v>0</v>
      </c>
      <c r="O454" s="28">
        <f t="shared" si="201"/>
        <v>0</v>
      </c>
      <c r="P454" s="27" t="s">
        <v>1191</v>
      </c>
      <c r="Q454" s="29" t="s">
        <v>372</v>
      </c>
      <c r="R454" s="30" t="s">
        <v>1197</v>
      </c>
    </row>
    <row r="455" spans="1:18" ht="46.5" x14ac:dyDescent="0.25">
      <c r="A455" s="25" t="s">
        <v>1198</v>
      </c>
      <c r="B455" s="26" t="s">
        <v>1194</v>
      </c>
      <c r="C455" s="27"/>
      <c r="D455" s="27"/>
      <c r="E455" s="27"/>
      <c r="F455" s="31">
        <v>0</v>
      </c>
      <c r="G455" s="31">
        <v>0</v>
      </c>
      <c r="H455" s="31">
        <v>0</v>
      </c>
      <c r="I455" s="31">
        <v>0</v>
      </c>
      <c r="J455" s="31">
        <v>0</v>
      </c>
      <c r="K455" s="31">
        <v>0</v>
      </c>
      <c r="L455" s="31">
        <v>0</v>
      </c>
      <c r="M455" s="31">
        <v>0</v>
      </c>
      <c r="N455" s="31">
        <v>0</v>
      </c>
      <c r="O455" s="31">
        <v>0</v>
      </c>
      <c r="P455" s="27"/>
      <c r="Q455" s="29"/>
      <c r="R455" s="30"/>
    </row>
    <row r="456" spans="1:18" ht="69.75" x14ac:dyDescent="0.25">
      <c r="A456" s="25" t="s">
        <v>1199</v>
      </c>
      <c r="B456" s="26" t="s">
        <v>1200</v>
      </c>
      <c r="C456" s="27" t="s">
        <v>113</v>
      </c>
      <c r="D456" s="27" t="s">
        <v>741</v>
      </c>
      <c r="E456" s="27" t="s">
        <v>40</v>
      </c>
      <c r="F456" s="28">
        <f>SUM(F457:F457)+39990</f>
        <v>39990</v>
      </c>
      <c r="G456" s="28">
        <f>SUM(G457:G457)+39990</f>
        <v>39990</v>
      </c>
      <c r="H456" s="28">
        <f t="shared" ref="H456:O456" si="202">SUM(H457:H457)</f>
        <v>0</v>
      </c>
      <c r="I456" s="28">
        <f t="shared" si="202"/>
        <v>0</v>
      </c>
      <c r="J456" s="28">
        <f t="shared" si="202"/>
        <v>0</v>
      </c>
      <c r="K456" s="28">
        <f t="shared" si="202"/>
        <v>0</v>
      </c>
      <c r="L456" s="28">
        <f t="shared" si="202"/>
        <v>0</v>
      </c>
      <c r="M456" s="28">
        <f t="shared" si="202"/>
        <v>0</v>
      </c>
      <c r="N456" s="28">
        <f t="shared" si="202"/>
        <v>0</v>
      </c>
      <c r="O456" s="28">
        <f t="shared" si="202"/>
        <v>0</v>
      </c>
      <c r="P456" s="27" t="s">
        <v>1191</v>
      </c>
      <c r="Q456" s="29" t="s">
        <v>372</v>
      </c>
      <c r="R456" s="30" t="s">
        <v>250</v>
      </c>
    </row>
    <row r="457" spans="1:18" ht="46.5" x14ac:dyDescent="0.25">
      <c r="A457" s="25" t="s">
        <v>1201</v>
      </c>
      <c r="B457" s="26" t="s">
        <v>1194</v>
      </c>
      <c r="C457" s="27"/>
      <c r="D457" s="27"/>
      <c r="E457" s="27"/>
      <c r="F457" s="31">
        <v>0</v>
      </c>
      <c r="G457" s="31">
        <v>0</v>
      </c>
      <c r="H457" s="31">
        <v>0</v>
      </c>
      <c r="I457" s="31">
        <v>0</v>
      </c>
      <c r="J457" s="31">
        <v>0</v>
      </c>
      <c r="K457" s="31">
        <v>0</v>
      </c>
      <c r="L457" s="31">
        <v>0</v>
      </c>
      <c r="M457" s="31">
        <v>0</v>
      </c>
      <c r="N457" s="31">
        <v>0</v>
      </c>
      <c r="O457" s="31">
        <v>0</v>
      </c>
      <c r="P457" s="27"/>
      <c r="Q457" s="29"/>
      <c r="R457" s="30"/>
    </row>
    <row r="458" spans="1:18" ht="69.75" x14ac:dyDescent="0.25">
      <c r="A458" s="25" t="s">
        <v>1202</v>
      </c>
      <c r="B458" s="26" t="s">
        <v>1203</v>
      </c>
      <c r="C458" s="27" t="s">
        <v>746</v>
      </c>
      <c r="D458" s="27" t="s">
        <v>747</v>
      </c>
      <c r="E458" s="27" t="s">
        <v>40</v>
      </c>
      <c r="F458" s="28">
        <f>SUM(F459:F459)+37660</f>
        <v>37660</v>
      </c>
      <c r="G458" s="28">
        <f>SUM(G459:G459)+37660</f>
        <v>37660</v>
      </c>
      <c r="H458" s="28">
        <f t="shared" ref="H458:O458" si="203">SUM(H459:H459)</f>
        <v>0</v>
      </c>
      <c r="I458" s="28">
        <f t="shared" si="203"/>
        <v>0</v>
      </c>
      <c r="J458" s="28">
        <f t="shared" si="203"/>
        <v>0</v>
      </c>
      <c r="K458" s="28">
        <f t="shared" si="203"/>
        <v>0</v>
      </c>
      <c r="L458" s="28">
        <f t="shared" si="203"/>
        <v>0</v>
      </c>
      <c r="M458" s="28">
        <f t="shared" si="203"/>
        <v>0</v>
      </c>
      <c r="N458" s="28">
        <f t="shared" si="203"/>
        <v>0</v>
      </c>
      <c r="O458" s="28">
        <f t="shared" si="203"/>
        <v>0</v>
      </c>
      <c r="P458" s="27" t="s">
        <v>1191</v>
      </c>
      <c r="Q458" s="29" t="s">
        <v>372</v>
      </c>
      <c r="R458" s="30" t="s">
        <v>1204</v>
      </c>
    </row>
    <row r="459" spans="1:18" ht="46.5" x14ac:dyDescent="0.25">
      <c r="A459" s="25" t="s">
        <v>1205</v>
      </c>
      <c r="B459" s="26" t="s">
        <v>1194</v>
      </c>
      <c r="C459" s="27"/>
      <c r="D459" s="27"/>
      <c r="E459" s="27"/>
      <c r="F459" s="31">
        <v>0</v>
      </c>
      <c r="G459" s="31">
        <v>0</v>
      </c>
      <c r="H459" s="31">
        <v>0</v>
      </c>
      <c r="I459" s="31">
        <v>0</v>
      </c>
      <c r="J459" s="31">
        <v>0</v>
      </c>
      <c r="K459" s="31">
        <v>0</v>
      </c>
      <c r="L459" s="31">
        <v>0</v>
      </c>
      <c r="M459" s="31">
        <v>0</v>
      </c>
      <c r="N459" s="31">
        <v>0</v>
      </c>
      <c r="O459" s="31">
        <v>0</v>
      </c>
      <c r="P459" s="27"/>
      <c r="Q459" s="29"/>
      <c r="R459" s="30"/>
    </row>
    <row r="460" spans="1:18" ht="69.75" x14ac:dyDescent="0.25">
      <c r="A460" s="25" t="s">
        <v>1206</v>
      </c>
      <c r="B460" s="26" t="s">
        <v>1207</v>
      </c>
      <c r="C460" s="27" t="s">
        <v>120</v>
      </c>
      <c r="D460" s="27" t="s">
        <v>752</v>
      </c>
      <c r="E460" s="27" t="s">
        <v>40</v>
      </c>
      <c r="F460" s="28">
        <f>SUM(F461:F461)+36010</f>
        <v>36010</v>
      </c>
      <c r="G460" s="28">
        <f>SUM(G461:G461)+36010</f>
        <v>36010</v>
      </c>
      <c r="H460" s="28">
        <f t="shared" ref="H460:O460" si="204">SUM(H461:H461)</f>
        <v>0</v>
      </c>
      <c r="I460" s="28">
        <f t="shared" si="204"/>
        <v>0</v>
      </c>
      <c r="J460" s="28">
        <f t="shared" si="204"/>
        <v>0</v>
      </c>
      <c r="K460" s="28">
        <f t="shared" si="204"/>
        <v>0</v>
      </c>
      <c r="L460" s="28">
        <f t="shared" si="204"/>
        <v>0</v>
      </c>
      <c r="M460" s="28">
        <f t="shared" si="204"/>
        <v>0</v>
      </c>
      <c r="N460" s="28">
        <f t="shared" si="204"/>
        <v>0</v>
      </c>
      <c r="O460" s="28">
        <f t="shared" si="204"/>
        <v>0</v>
      </c>
      <c r="P460" s="27" t="s">
        <v>1191</v>
      </c>
      <c r="Q460" s="29" t="s">
        <v>372</v>
      </c>
      <c r="R460" s="30" t="s">
        <v>1208</v>
      </c>
    </row>
    <row r="461" spans="1:18" ht="46.5" x14ac:dyDescent="0.25">
      <c r="A461" s="25" t="s">
        <v>1209</v>
      </c>
      <c r="B461" s="26" t="s">
        <v>1194</v>
      </c>
      <c r="C461" s="27"/>
      <c r="D461" s="27"/>
      <c r="E461" s="27"/>
      <c r="F461" s="31">
        <v>0</v>
      </c>
      <c r="G461" s="31">
        <v>0</v>
      </c>
      <c r="H461" s="31">
        <v>0</v>
      </c>
      <c r="I461" s="31">
        <v>0</v>
      </c>
      <c r="J461" s="31">
        <v>0</v>
      </c>
      <c r="K461" s="31">
        <v>0</v>
      </c>
      <c r="L461" s="31">
        <v>0</v>
      </c>
      <c r="M461" s="31">
        <v>0</v>
      </c>
      <c r="N461" s="31">
        <v>0</v>
      </c>
      <c r="O461" s="31">
        <v>0</v>
      </c>
      <c r="P461" s="27"/>
      <c r="Q461" s="29"/>
      <c r="R461" s="30"/>
    </row>
    <row r="462" spans="1:18" ht="69.75" x14ac:dyDescent="0.25">
      <c r="A462" s="25" t="s">
        <v>1210</v>
      </c>
      <c r="B462" s="26" t="s">
        <v>1211</v>
      </c>
      <c r="C462" s="27" t="s">
        <v>124</v>
      </c>
      <c r="D462" s="27" t="s">
        <v>757</v>
      </c>
      <c r="E462" s="27" t="s">
        <v>40</v>
      </c>
      <c r="F462" s="28">
        <f>SUM(F463:F463)+25840</f>
        <v>25840</v>
      </c>
      <c r="G462" s="28">
        <f>SUM(G463:G463)+25840</f>
        <v>25840</v>
      </c>
      <c r="H462" s="28">
        <f t="shared" ref="H462:O462" si="205">SUM(H463:H463)</f>
        <v>0</v>
      </c>
      <c r="I462" s="28">
        <f t="shared" si="205"/>
        <v>0</v>
      </c>
      <c r="J462" s="28">
        <f t="shared" si="205"/>
        <v>0</v>
      </c>
      <c r="K462" s="28">
        <f t="shared" si="205"/>
        <v>0</v>
      </c>
      <c r="L462" s="28">
        <f t="shared" si="205"/>
        <v>0</v>
      </c>
      <c r="M462" s="28">
        <f t="shared" si="205"/>
        <v>0</v>
      </c>
      <c r="N462" s="28">
        <f t="shared" si="205"/>
        <v>0</v>
      </c>
      <c r="O462" s="28">
        <f t="shared" si="205"/>
        <v>0</v>
      </c>
      <c r="P462" s="27" t="s">
        <v>1191</v>
      </c>
      <c r="Q462" s="29" t="s">
        <v>372</v>
      </c>
      <c r="R462" s="30" t="s">
        <v>1192</v>
      </c>
    </row>
    <row r="463" spans="1:18" ht="46.5" x14ac:dyDescent="0.25">
      <c r="A463" s="25" t="s">
        <v>1212</v>
      </c>
      <c r="B463" s="26" t="s">
        <v>1194</v>
      </c>
      <c r="C463" s="27"/>
      <c r="D463" s="27"/>
      <c r="E463" s="27"/>
      <c r="F463" s="31">
        <v>0</v>
      </c>
      <c r="G463" s="31">
        <v>0</v>
      </c>
      <c r="H463" s="31">
        <v>0</v>
      </c>
      <c r="I463" s="31">
        <v>0</v>
      </c>
      <c r="J463" s="31">
        <v>0</v>
      </c>
      <c r="K463" s="31">
        <v>0</v>
      </c>
      <c r="L463" s="31">
        <v>0</v>
      </c>
      <c r="M463" s="31">
        <v>0</v>
      </c>
      <c r="N463" s="31">
        <v>0</v>
      </c>
      <c r="O463" s="31">
        <v>0</v>
      </c>
      <c r="P463" s="27"/>
      <c r="Q463" s="29"/>
      <c r="R463" s="30"/>
    </row>
    <row r="464" spans="1:18" ht="69.75" x14ac:dyDescent="0.25">
      <c r="A464" s="25" t="s">
        <v>1213</v>
      </c>
      <c r="B464" s="26" t="s">
        <v>1214</v>
      </c>
      <c r="C464" s="27" t="s">
        <v>129</v>
      </c>
      <c r="D464" s="27" t="s">
        <v>762</v>
      </c>
      <c r="E464" s="27" t="s">
        <v>40</v>
      </c>
      <c r="F464" s="28">
        <f>SUM(F465:F465)+19070</f>
        <v>19070</v>
      </c>
      <c r="G464" s="28">
        <f>SUM(G465:G465)+19070</f>
        <v>19070</v>
      </c>
      <c r="H464" s="28">
        <f t="shared" ref="H464:O464" si="206">SUM(H465:H465)</f>
        <v>0</v>
      </c>
      <c r="I464" s="28">
        <f t="shared" si="206"/>
        <v>0</v>
      </c>
      <c r="J464" s="28">
        <f t="shared" si="206"/>
        <v>0</v>
      </c>
      <c r="K464" s="28">
        <f t="shared" si="206"/>
        <v>0</v>
      </c>
      <c r="L464" s="28">
        <f t="shared" si="206"/>
        <v>0</v>
      </c>
      <c r="M464" s="28">
        <f t="shared" si="206"/>
        <v>0</v>
      </c>
      <c r="N464" s="28">
        <f t="shared" si="206"/>
        <v>0</v>
      </c>
      <c r="O464" s="28">
        <f t="shared" si="206"/>
        <v>0</v>
      </c>
      <c r="P464" s="27" t="s">
        <v>1191</v>
      </c>
      <c r="Q464" s="29" t="s">
        <v>372</v>
      </c>
      <c r="R464" s="30" t="s">
        <v>421</v>
      </c>
    </row>
    <row r="465" spans="1:18" ht="46.5" x14ac:dyDescent="0.25">
      <c r="A465" s="25" t="s">
        <v>1215</v>
      </c>
      <c r="B465" s="26" t="s">
        <v>1194</v>
      </c>
      <c r="C465" s="27"/>
      <c r="D465" s="27"/>
      <c r="E465" s="27"/>
      <c r="F465" s="31">
        <v>0</v>
      </c>
      <c r="G465" s="31">
        <v>0</v>
      </c>
      <c r="H465" s="31">
        <v>0</v>
      </c>
      <c r="I465" s="31">
        <v>0</v>
      </c>
      <c r="J465" s="31">
        <v>0</v>
      </c>
      <c r="K465" s="31">
        <v>0</v>
      </c>
      <c r="L465" s="31">
        <v>0</v>
      </c>
      <c r="M465" s="31">
        <v>0</v>
      </c>
      <c r="N465" s="31">
        <v>0</v>
      </c>
      <c r="O465" s="31">
        <v>0</v>
      </c>
      <c r="P465" s="27"/>
      <c r="Q465" s="29"/>
      <c r="R465" s="30"/>
    </row>
    <row r="466" spans="1:18" ht="69.75" x14ac:dyDescent="0.25">
      <c r="A466" s="25" t="s">
        <v>1216</v>
      </c>
      <c r="B466" s="26" t="s">
        <v>1217</v>
      </c>
      <c r="C466" s="27" t="s">
        <v>767</v>
      </c>
      <c r="D466" s="27" t="s">
        <v>768</v>
      </c>
      <c r="E466" s="27" t="s">
        <v>40</v>
      </c>
      <c r="F466" s="28">
        <f>SUM(F467:F467)+43410</f>
        <v>43410</v>
      </c>
      <c r="G466" s="28">
        <f>SUM(G467:G467)+43410</f>
        <v>43410</v>
      </c>
      <c r="H466" s="28">
        <f t="shared" ref="H466:O466" si="207">SUM(H467:H467)</f>
        <v>0</v>
      </c>
      <c r="I466" s="28">
        <f t="shared" si="207"/>
        <v>0</v>
      </c>
      <c r="J466" s="28">
        <f t="shared" si="207"/>
        <v>0</v>
      </c>
      <c r="K466" s="28">
        <f t="shared" si="207"/>
        <v>0</v>
      </c>
      <c r="L466" s="28">
        <f t="shared" si="207"/>
        <v>0</v>
      </c>
      <c r="M466" s="28">
        <f t="shared" si="207"/>
        <v>0</v>
      </c>
      <c r="N466" s="28">
        <f t="shared" si="207"/>
        <v>0</v>
      </c>
      <c r="O466" s="28">
        <f t="shared" si="207"/>
        <v>0</v>
      </c>
      <c r="P466" s="27" t="s">
        <v>1191</v>
      </c>
      <c r="Q466" s="29" t="s">
        <v>372</v>
      </c>
      <c r="R466" s="30" t="s">
        <v>1218</v>
      </c>
    </row>
    <row r="467" spans="1:18" ht="46.5" x14ac:dyDescent="0.25">
      <c r="A467" s="25" t="s">
        <v>1219</v>
      </c>
      <c r="B467" s="26" t="s">
        <v>1194</v>
      </c>
      <c r="C467" s="27"/>
      <c r="D467" s="27"/>
      <c r="E467" s="27"/>
      <c r="F467" s="31">
        <v>0</v>
      </c>
      <c r="G467" s="31">
        <v>0</v>
      </c>
      <c r="H467" s="31">
        <v>0</v>
      </c>
      <c r="I467" s="31">
        <v>0</v>
      </c>
      <c r="J467" s="31">
        <v>0</v>
      </c>
      <c r="K467" s="31">
        <v>0</v>
      </c>
      <c r="L467" s="31">
        <v>0</v>
      </c>
      <c r="M467" s="31">
        <v>0</v>
      </c>
      <c r="N467" s="31">
        <v>0</v>
      </c>
      <c r="O467" s="31">
        <v>0</v>
      </c>
      <c r="P467" s="27"/>
      <c r="Q467" s="29"/>
      <c r="R467" s="30"/>
    </row>
    <row r="468" spans="1:18" ht="69.75" x14ac:dyDescent="0.25">
      <c r="A468" s="25" t="s">
        <v>1220</v>
      </c>
      <c r="B468" s="26" t="s">
        <v>1221</v>
      </c>
      <c r="C468" s="27" t="s">
        <v>773</v>
      </c>
      <c r="D468" s="27" t="s">
        <v>774</v>
      </c>
      <c r="E468" s="27" t="s">
        <v>40</v>
      </c>
      <c r="F468" s="28">
        <f>SUM(F469:F469)+31360</f>
        <v>31360</v>
      </c>
      <c r="G468" s="28">
        <f>SUM(G469:G469)+31360</f>
        <v>31360</v>
      </c>
      <c r="H468" s="28">
        <f t="shared" ref="H468:O468" si="208">SUM(H469:H469)</f>
        <v>0</v>
      </c>
      <c r="I468" s="28">
        <f t="shared" si="208"/>
        <v>0</v>
      </c>
      <c r="J468" s="28">
        <f t="shared" si="208"/>
        <v>0</v>
      </c>
      <c r="K468" s="28">
        <f t="shared" si="208"/>
        <v>0</v>
      </c>
      <c r="L468" s="28">
        <f t="shared" si="208"/>
        <v>0</v>
      </c>
      <c r="M468" s="28">
        <f t="shared" si="208"/>
        <v>0</v>
      </c>
      <c r="N468" s="28">
        <f t="shared" si="208"/>
        <v>0</v>
      </c>
      <c r="O468" s="28">
        <f t="shared" si="208"/>
        <v>0</v>
      </c>
      <c r="P468" s="27" t="s">
        <v>1191</v>
      </c>
      <c r="Q468" s="29" t="s">
        <v>372</v>
      </c>
      <c r="R468" s="30" t="s">
        <v>1138</v>
      </c>
    </row>
    <row r="469" spans="1:18" ht="46.5" x14ac:dyDescent="0.25">
      <c r="A469" s="25" t="s">
        <v>1222</v>
      </c>
      <c r="B469" s="26" t="s">
        <v>1194</v>
      </c>
      <c r="C469" s="27"/>
      <c r="D469" s="27"/>
      <c r="E469" s="27"/>
      <c r="F469" s="31">
        <v>0</v>
      </c>
      <c r="G469" s="31">
        <v>0</v>
      </c>
      <c r="H469" s="31">
        <v>0</v>
      </c>
      <c r="I469" s="31">
        <v>0</v>
      </c>
      <c r="J469" s="31">
        <v>0</v>
      </c>
      <c r="K469" s="31">
        <v>0</v>
      </c>
      <c r="L469" s="31">
        <v>0</v>
      </c>
      <c r="M469" s="31">
        <v>0</v>
      </c>
      <c r="N469" s="31">
        <v>0</v>
      </c>
      <c r="O469" s="31">
        <v>0</v>
      </c>
      <c r="P469" s="27"/>
      <c r="Q469" s="29"/>
      <c r="R469" s="30"/>
    </row>
    <row r="470" spans="1:18" ht="69.75" x14ac:dyDescent="0.25">
      <c r="A470" s="25" t="s">
        <v>1223</v>
      </c>
      <c r="B470" s="26" t="s">
        <v>1224</v>
      </c>
      <c r="C470" s="27" t="s">
        <v>779</v>
      </c>
      <c r="D470" s="27" t="s">
        <v>780</v>
      </c>
      <c r="E470" s="27" t="s">
        <v>40</v>
      </c>
      <c r="F470" s="28">
        <f>SUM(F471:F471)+28520</f>
        <v>28520</v>
      </c>
      <c r="G470" s="28">
        <f>SUM(G471:G471)+28520</f>
        <v>28520</v>
      </c>
      <c r="H470" s="28">
        <f t="shared" ref="H470:O470" si="209">SUM(H471:H471)</f>
        <v>0</v>
      </c>
      <c r="I470" s="28">
        <f t="shared" si="209"/>
        <v>0</v>
      </c>
      <c r="J470" s="28">
        <f t="shared" si="209"/>
        <v>0</v>
      </c>
      <c r="K470" s="28">
        <f t="shared" si="209"/>
        <v>0</v>
      </c>
      <c r="L470" s="28">
        <f t="shared" si="209"/>
        <v>0</v>
      </c>
      <c r="M470" s="28">
        <f t="shared" si="209"/>
        <v>0</v>
      </c>
      <c r="N470" s="28">
        <f t="shared" si="209"/>
        <v>0</v>
      </c>
      <c r="O470" s="28">
        <f t="shared" si="209"/>
        <v>0</v>
      </c>
      <c r="P470" s="27" t="s">
        <v>1191</v>
      </c>
      <c r="Q470" s="29" t="s">
        <v>372</v>
      </c>
      <c r="R470" s="30" t="s">
        <v>1225</v>
      </c>
    </row>
    <row r="471" spans="1:18" ht="46.5" x14ac:dyDescent="0.25">
      <c r="A471" s="25" t="s">
        <v>1226</v>
      </c>
      <c r="B471" s="26" t="s">
        <v>1194</v>
      </c>
      <c r="C471" s="27"/>
      <c r="D471" s="27"/>
      <c r="E471" s="27"/>
      <c r="F471" s="31">
        <v>0</v>
      </c>
      <c r="G471" s="31">
        <v>0</v>
      </c>
      <c r="H471" s="31">
        <v>0</v>
      </c>
      <c r="I471" s="31">
        <v>0</v>
      </c>
      <c r="J471" s="31">
        <v>0</v>
      </c>
      <c r="K471" s="31">
        <v>0</v>
      </c>
      <c r="L471" s="31">
        <v>0</v>
      </c>
      <c r="M471" s="31">
        <v>0</v>
      </c>
      <c r="N471" s="31">
        <v>0</v>
      </c>
      <c r="O471" s="31">
        <v>0</v>
      </c>
      <c r="P471" s="27"/>
      <c r="Q471" s="29"/>
      <c r="R471" s="30"/>
    </row>
    <row r="472" spans="1:18" ht="69.75" x14ac:dyDescent="0.25">
      <c r="A472" s="25" t="s">
        <v>1227</v>
      </c>
      <c r="B472" s="26" t="s">
        <v>1228</v>
      </c>
      <c r="C472" s="27" t="s">
        <v>787</v>
      </c>
      <c r="D472" s="27" t="s">
        <v>788</v>
      </c>
      <c r="E472" s="27" t="s">
        <v>40</v>
      </c>
      <c r="F472" s="28">
        <f>SUM(F473:F473)+14430</f>
        <v>14430</v>
      </c>
      <c r="G472" s="28">
        <f>SUM(G473:G473)+14430</f>
        <v>14430</v>
      </c>
      <c r="H472" s="28">
        <f t="shared" ref="H472:O472" si="210">SUM(H473:H473)</f>
        <v>0</v>
      </c>
      <c r="I472" s="28">
        <f t="shared" si="210"/>
        <v>0</v>
      </c>
      <c r="J472" s="28">
        <f t="shared" si="210"/>
        <v>0</v>
      </c>
      <c r="K472" s="28">
        <f t="shared" si="210"/>
        <v>0</v>
      </c>
      <c r="L472" s="28">
        <f t="shared" si="210"/>
        <v>0</v>
      </c>
      <c r="M472" s="28">
        <f t="shared" si="210"/>
        <v>0</v>
      </c>
      <c r="N472" s="28">
        <f t="shared" si="210"/>
        <v>0</v>
      </c>
      <c r="O472" s="28">
        <f t="shared" si="210"/>
        <v>0</v>
      </c>
      <c r="P472" s="27" t="s">
        <v>1191</v>
      </c>
      <c r="Q472" s="29" t="s">
        <v>372</v>
      </c>
      <c r="R472" s="30" t="s">
        <v>1229</v>
      </c>
    </row>
    <row r="473" spans="1:18" ht="46.5" x14ac:dyDescent="0.25">
      <c r="A473" s="25" t="s">
        <v>1230</v>
      </c>
      <c r="B473" s="26" t="s">
        <v>1194</v>
      </c>
      <c r="C473" s="27"/>
      <c r="D473" s="27"/>
      <c r="E473" s="27"/>
      <c r="F473" s="31">
        <v>0</v>
      </c>
      <c r="G473" s="31">
        <v>0</v>
      </c>
      <c r="H473" s="31">
        <v>0</v>
      </c>
      <c r="I473" s="31">
        <v>0</v>
      </c>
      <c r="J473" s="31">
        <v>0</v>
      </c>
      <c r="K473" s="31">
        <v>0</v>
      </c>
      <c r="L473" s="31">
        <v>0</v>
      </c>
      <c r="M473" s="31">
        <v>0</v>
      </c>
      <c r="N473" s="31">
        <v>0</v>
      </c>
      <c r="O473" s="31">
        <v>0</v>
      </c>
      <c r="P473" s="27"/>
      <c r="Q473" s="29"/>
      <c r="R473" s="30"/>
    </row>
    <row r="474" spans="1:18" ht="69.75" x14ac:dyDescent="0.25">
      <c r="A474" s="25" t="s">
        <v>1231</v>
      </c>
      <c r="B474" s="26" t="s">
        <v>1232</v>
      </c>
      <c r="C474" s="27" t="s">
        <v>134</v>
      </c>
      <c r="D474" s="27" t="s">
        <v>793</v>
      </c>
      <c r="E474" s="27" t="s">
        <v>40</v>
      </c>
      <c r="F474" s="28">
        <f>SUM(F475:F475)+20720</f>
        <v>20720</v>
      </c>
      <c r="G474" s="28">
        <f>SUM(G475:G475)+20720</f>
        <v>20720</v>
      </c>
      <c r="H474" s="28">
        <f t="shared" ref="H474:O474" si="211">SUM(H475:H475)</f>
        <v>0</v>
      </c>
      <c r="I474" s="28">
        <f t="shared" si="211"/>
        <v>0</v>
      </c>
      <c r="J474" s="28">
        <f t="shared" si="211"/>
        <v>0</v>
      </c>
      <c r="K474" s="28">
        <f t="shared" si="211"/>
        <v>0</v>
      </c>
      <c r="L474" s="28">
        <f t="shared" si="211"/>
        <v>0</v>
      </c>
      <c r="M474" s="28">
        <f t="shared" si="211"/>
        <v>0</v>
      </c>
      <c r="N474" s="28">
        <f t="shared" si="211"/>
        <v>0</v>
      </c>
      <c r="O474" s="28">
        <f t="shared" si="211"/>
        <v>0</v>
      </c>
      <c r="P474" s="27" t="s">
        <v>1191</v>
      </c>
      <c r="Q474" s="29" t="s">
        <v>372</v>
      </c>
      <c r="R474" s="30" t="s">
        <v>1233</v>
      </c>
    </row>
    <row r="475" spans="1:18" ht="46.5" x14ac:dyDescent="0.25">
      <c r="A475" s="25" t="s">
        <v>1234</v>
      </c>
      <c r="B475" s="26" t="s">
        <v>1194</v>
      </c>
      <c r="C475" s="27"/>
      <c r="D475" s="27"/>
      <c r="E475" s="27"/>
      <c r="F475" s="31">
        <v>0</v>
      </c>
      <c r="G475" s="31">
        <v>0</v>
      </c>
      <c r="H475" s="31">
        <v>0</v>
      </c>
      <c r="I475" s="31">
        <v>0</v>
      </c>
      <c r="J475" s="31">
        <v>0</v>
      </c>
      <c r="K475" s="31">
        <v>0</v>
      </c>
      <c r="L475" s="31">
        <v>0</v>
      </c>
      <c r="M475" s="31">
        <v>0</v>
      </c>
      <c r="N475" s="31">
        <v>0</v>
      </c>
      <c r="O475" s="31">
        <v>0</v>
      </c>
      <c r="P475" s="27"/>
      <c r="Q475" s="29"/>
      <c r="R475" s="30"/>
    </row>
    <row r="476" spans="1:18" ht="69.75" x14ac:dyDescent="0.25">
      <c r="A476" s="25" t="s">
        <v>1235</v>
      </c>
      <c r="B476" s="26" t="s">
        <v>1236</v>
      </c>
      <c r="C476" s="27" t="s">
        <v>798</v>
      </c>
      <c r="D476" s="27" t="s">
        <v>799</v>
      </c>
      <c r="E476" s="27" t="s">
        <v>40</v>
      </c>
      <c r="F476" s="28">
        <f>SUM(F477:F477)+61430</f>
        <v>61430</v>
      </c>
      <c r="G476" s="28">
        <f>SUM(G477:G477)+61430</f>
        <v>61430</v>
      </c>
      <c r="H476" s="28">
        <f t="shared" ref="H476:O476" si="212">SUM(H477:H477)</f>
        <v>0</v>
      </c>
      <c r="I476" s="28">
        <f t="shared" si="212"/>
        <v>0</v>
      </c>
      <c r="J476" s="28">
        <f t="shared" si="212"/>
        <v>0</v>
      </c>
      <c r="K476" s="28">
        <f t="shared" si="212"/>
        <v>0</v>
      </c>
      <c r="L476" s="28">
        <f t="shared" si="212"/>
        <v>0</v>
      </c>
      <c r="M476" s="28">
        <f t="shared" si="212"/>
        <v>0</v>
      </c>
      <c r="N476" s="28">
        <f t="shared" si="212"/>
        <v>0</v>
      </c>
      <c r="O476" s="28">
        <f t="shared" si="212"/>
        <v>0</v>
      </c>
      <c r="P476" s="27" t="s">
        <v>1191</v>
      </c>
      <c r="Q476" s="29" t="s">
        <v>372</v>
      </c>
      <c r="R476" s="30" t="s">
        <v>1237</v>
      </c>
    </row>
    <row r="477" spans="1:18" ht="46.5" x14ac:dyDescent="0.25">
      <c r="A477" s="25" t="s">
        <v>1238</v>
      </c>
      <c r="B477" s="26" t="s">
        <v>1194</v>
      </c>
      <c r="C477" s="27"/>
      <c r="D477" s="27"/>
      <c r="E477" s="27"/>
      <c r="F477" s="31">
        <v>0</v>
      </c>
      <c r="G477" s="31">
        <v>0</v>
      </c>
      <c r="H477" s="31">
        <v>0</v>
      </c>
      <c r="I477" s="31">
        <v>0</v>
      </c>
      <c r="J477" s="31">
        <v>0</v>
      </c>
      <c r="K477" s="31">
        <v>0</v>
      </c>
      <c r="L477" s="31">
        <v>0</v>
      </c>
      <c r="M477" s="31">
        <v>0</v>
      </c>
      <c r="N477" s="31">
        <v>0</v>
      </c>
      <c r="O477" s="31">
        <v>0</v>
      </c>
      <c r="P477" s="27"/>
      <c r="Q477" s="29"/>
      <c r="R477" s="30"/>
    </row>
    <row r="478" spans="1:18" ht="69.75" x14ac:dyDescent="0.25">
      <c r="A478" s="25" t="s">
        <v>1239</v>
      </c>
      <c r="B478" s="26" t="s">
        <v>1240</v>
      </c>
      <c r="C478" s="27" t="s">
        <v>804</v>
      </c>
      <c r="D478" s="27" t="s">
        <v>805</v>
      </c>
      <c r="E478" s="27" t="s">
        <v>40</v>
      </c>
      <c r="F478" s="28">
        <f>SUM(F479:F479)+15170</f>
        <v>15170</v>
      </c>
      <c r="G478" s="28">
        <f>SUM(G479:G479)+15170</f>
        <v>15170</v>
      </c>
      <c r="H478" s="28">
        <f t="shared" ref="H478:O478" si="213">SUM(H479:H479)</f>
        <v>0</v>
      </c>
      <c r="I478" s="28">
        <f t="shared" si="213"/>
        <v>0</v>
      </c>
      <c r="J478" s="28">
        <f t="shared" si="213"/>
        <v>0</v>
      </c>
      <c r="K478" s="28">
        <f t="shared" si="213"/>
        <v>0</v>
      </c>
      <c r="L478" s="28">
        <f t="shared" si="213"/>
        <v>0</v>
      </c>
      <c r="M478" s="28">
        <f t="shared" si="213"/>
        <v>0</v>
      </c>
      <c r="N478" s="28">
        <f t="shared" si="213"/>
        <v>0</v>
      </c>
      <c r="O478" s="28">
        <f t="shared" si="213"/>
        <v>0</v>
      </c>
      <c r="P478" s="27" t="s">
        <v>1191</v>
      </c>
      <c r="Q478" s="29" t="s">
        <v>372</v>
      </c>
      <c r="R478" s="30" t="s">
        <v>1041</v>
      </c>
    </row>
    <row r="479" spans="1:18" ht="46.5" x14ac:dyDescent="0.25">
      <c r="A479" s="25" t="s">
        <v>1241</v>
      </c>
      <c r="B479" s="26" t="s">
        <v>1194</v>
      </c>
      <c r="C479" s="27"/>
      <c r="D479" s="27"/>
      <c r="E479" s="27"/>
      <c r="F479" s="31">
        <v>0</v>
      </c>
      <c r="G479" s="31">
        <v>0</v>
      </c>
      <c r="H479" s="31">
        <v>0</v>
      </c>
      <c r="I479" s="31">
        <v>0</v>
      </c>
      <c r="J479" s="31">
        <v>0</v>
      </c>
      <c r="K479" s="31">
        <v>0</v>
      </c>
      <c r="L479" s="31">
        <v>0</v>
      </c>
      <c r="M479" s="31">
        <v>0</v>
      </c>
      <c r="N479" s="31">
        <v>0</v>
      </c>
      <c r="O479" s="31">
        <v>0</v>
      </c>
      <c r="P479" s="27"/>
      <c r="Q479" s="29"/>
      <c r="R479" s="30"/>
    </row>
    <row r="480" spans="1:18" ht="67.5" x14ac:dyDescent="0.25">
      <c r="A480" s="19" t="s">
        <v>1242</v>
      </c>
      <c r="B480" s="20" t="s">
        <v>1243</v>
      </c>
      <c r="C480" s="21" t="s">
        <v>277</v>
      </c>
      <c r="D480" s="21" t="s">
        <v>281</v>
      </c>
      <c r="E480" s="21" t="s">
        <v>33</v>
      </c>
      <c r="F480" s="22">
        <f t="shared" ref="F480:O480" si="214">SUM(F481:F481)</f>
        <v>315900</v>
      </c>
      <c r="G480" s="22">
        <f t="shared" si="214"/>
        <v>315900</v>
      </c>
      <c r="H480" s="22">
        <f t="shared" si="214"/>
        <v>0</v>
      </c>
      <c r="I480" s="22">
        <f t="shared" si="214"/>
        <v>0</v>
      </c>
      <c r="J480" s="22">
        <f t="shared" si="214"/>
        <v>0</v>
      </c>
      <c r="K480" s="22">
        <f t="shared" si="214"/>
        <v>0</v>
      </c>
      <c r="L480" s="22">
        <f t="shared" si="214"/>
        <v>0</v>
      </c>
      <c r="M480" s="22">
        <f t="shared" si="214"/>
        <v>0</v>
      </c>
      <c r="N480" s="22">
        <f t="shared" si="214"/>
        <v>0</v>
      </c>
      <c r="O480" s="22">
        <f t="shared" si="214"/>
        <v>0</v>
      </c>
      <c r="P480" s="21" t="s">
        <v>1244</v>
      </c>
      <c r="Q480" s="23" t="s">
        <v>372</v>
      </c>
      <c r="R480" s="24" t="s">
        <v>36</v>
      </c>
    </row>
    <row r="481" spans="1:18" ht="69.75" x14ac:dyDescent="0.25">
      <c r="A481" s="25" t="s">
        <v>1245</v>
      </c>
      <c r="B481" s="26" t="s">
        <v>1246</v>
      </c>
      <c r="C481" s="27" t="s">
        <v>277</v>
      </c>
      <c r="D481" s="27" t="s">
        <v>281</v>
      </c>
      <c r="E481" s="27" t="s">
        <v>40</v>
      </c>
      <c r="F481" s="28">
        <f>SUM(F482:F482)+315900</f>
        <v>315900</v>
      </c>
      <c r="G481" s="28">
        <f>SUM(G482:G482)+315900</f>
        <v>315900</v>
      </c>
      <c r="H481" s="28">
        <f t="shared" ref="H481:O481" si="215">SUM(H482:H482)</f>
        <v>0</v>
      </c>
      <c r="I481" s="28">
        <f t="shared" si="215"/>
        <v>0</v>
      </c>
      <c r="J481" s="28">
        <f t="shared" si="215"/>
        <v>0</v>
      </c>
      <c r="K481" s="28">
        <f t="shared" si="215"/>
        <v>0</v>
      </c>
      <c r="L481" s="28">
        <f t="shared" si="215"/>
        <v>0</v>
      </c>
      <c r="M481" s="28">
        <f t="shared" si="215"/>
        <v>0</v>
      </c>
      <c r="N481" s="28">
        <f t="shared" si="215"/>
        <v>0</v>
      </c>
      <c r="O481" s="28">
        <f t="shared" si="215"/>
        <v>0</v>
      </c>
      <c r="P481" s="27" t="s">
        <v>1247</v>
      </c>
      <c r="Q481" s="29" t="s">
        <v>372</v>
      </c>
      <c r="R481" s="30" t="s">
        <v>1248</v>
      </c>
    </row>
    <row r="482" spans="1:18" ht="69.75" x14ac:dyDescent="0.25">
      <c r="A482" s="25" t="s">
        <v>1249</v>
      </c>
      <c r="B482" s="26" t="s">
        <v>1250</v>
      </c>
      <c r="C482" s="27"/>
      <c r="D482" s="27"/>
      <c r="E482" s="27"/>
      <c r="F482" s="31">
        <v>0</v>
      </c>
      <c r="G482" s="31">
        <v>0</v>
      </c>
      <c r="H482" s="31">
        <v>0</v>
      </c>
      <c r="I482" s="31">
        <v>0</v>
      </c>
      <c r="J482" s="31">
        <v>0</v>
      </c>
      <c r="K482" s="31">
        <v>0</v>
      </c>
      <c r="L482" s="31">
        <v>0</v>
      </c>
      <c r="M482" s="31">
        <v>0</v>
      </c>
      <c r="N482" s="31">
        <v>0</v>
      </c>
      <c r="O482" s="31">
        <v>0</v>
      </c>
      <c r="P482" s="27"/>
      <c r="Q482" s="29"/>
      <c r="R482" s="30"/>
    </row>
    <row r="483" spans="1:18" ht="157.5" x14ac:dyDescent="0.25">
      <c r="A483" s="19" t="s">
        <v>1251</v>
      </c>
      <c r="B483" s="20" t="s">
        <v>1252</v>
      </c>
      <c r="C483" s="21" t="s">
        <v>277</v>
      </c>
      <c r="D483" s="21" t="s">
        <v>281</v>
      </c>
      <c r="E483" s="21" t="s">
        <v>33</v>
      </c>
      <c r="F483" s="22">
        <f t="shared" ref="F483:O483" si="216">SUM(F484:F484)</f>
        <v>41500</v>
      </c>
      <c r="G483" s="22">
        <f t="shared" si="216"/>
        <v>41500</v>
      </c>
      <c r="H483" s="22">
        <f t="shared" si="216"/>
        <v>0</v>
      </c>
      <c r="I483" s="22">
        <f t="shared" si="216"/>
        <v>0</v>
      </c>
      <c r="J483" s="22">
        <f t="shared" si="216"/>
        <v>0</v>
      </c>
      <c r="K483" s="22">
        <f t="shared" si="216"/>
        <v>0</v>
      </c>
      <c r="L483" s="22">
        <f t="shared" si="216"/>
        <v>0</v>
      </c>
      <c r="M483" s="22">
        <f t="shared" si="216"/>
        <v>0</v>
      </c>
      <c r="N483" s="22">
        <f t="shared" si="216"/>
        <v>0</v>
      </c>
      <c r="O483" s="22">
        <f t="shared" si="216"/>
        <v>0</v>
      </c>
      <c r="P483" s="21" t="s">
        <v>1253</v>
      </c>
      <c r="Q483" s="23" t="s">
        <v>372</v>
      </c>
      <c r="R483" s="24" t="s">
        <v>48</v>
      </c>
    </row>
    <row r="484" spans="1:18" ht="69.75" x14ac:dyDescent="0.25">
      <c r="A484" s="25" t="s">
        <v>1254</v>
      </c>
      <c r="B484" s="26" t="s">
        <v>1255</v>
      </c>
      <c r="C484" s="27" t="s">
        <v>277</v>
      </c>
      <c r="D484" s="27" t="s">
        <v>281</v>
      </c>
      <c r="E484" s="27" t="s">
        <v>40</v>
      </c>
      <c r="F484" s="28">
        <f>SUM(F485:F485)+41500</f>
        <v>41500</v>
      </c>
      <c r="G484" s="28">
        <f>SUM(G485:G485)+41500</f>
        <v>41500</v>
      </c>
      <c r="H484" s="28">
        <f t="shared" ref="H484:O484" si="217">SUM(H485:H485)</f>
        <v>0</v>
      </c>
      <c r="I484" s="28">
        <f t="shared" si="217"/>
        <v>0</v>
      </c>
      <c r="J484" s="28">
        <f t="shared" si="217"/>
        <v>0</v>
      </c>
      <c r="K484" s="28">
        <f t="shared" si="217"/>
        <v>0</v>
      </c>
      <c r="L484" s="28">
        <f t="shared" si="217"/>
        <v>0</v>
      </c>
      <c r="M484" s="28">
        <f t="shared" si="217"/>
        <v>0</v>
      </c>
      <c r="N484" s="28">
        <f t="shared" si="217"/>
        <v>0</v>
      </c>
      <c r="O484" s="28">
        <f t="shared" si="217"/>
        <v>0</v>
      </c>
      <c r="P484" s="27" t="s">
        <v>1256</v>
      </c>
      <c r="Q484" s="29" t="s">
        <v>372</v>
      </c>
      <c r="R484" s="30" t="s">
        <v>48</v>
      </c>
    </row>
    <row r="485" spans="1:18" ht="116.25" x14ac:dyDescent="0.25">
      <c r="A485" s="25" t="s">
        <v>1257</v>
      </c>
      <c r="B485" s="26" t="s">
        <v>1258</v>
      </c>
      <c r="C485" s="27"/>
      <c r="D485" s="27"/>
      <c r="E485" s="27"/>
      <c r="F485" s="31">
        <v>0</v>
      </c>
      <c r="G485" s="31">
        <v>0</v>
      </c>
      <c r="H485" s="31">
        <v>0</v>
      </c>
      <c r="I485" s="31">
        <v>0</v>
      </c>
      <c r="J485" s="31">
        <v>0</v>
      </c>
      <c r="K485" s="31">
        <v>0</v>
      </c>
      <c r="L485" s="31">
        <v>0</v>
      </c>
      <c r="M485" s="31">
        <v>0</v>
      </c>
      <c r="N485" s="31">
        <v>0</v>
      </c>
      <c r="O485" s="31">
        <v>0</v>
      </c>
      <c r="P485" s="27"/>
      <c r="Q485" s="29"/>
      <c r="R485" s="30"/>
    </row>
    <row r="486" spans="1:18" ht="112.5" x14ac:dyDescent="0.25">
      <c r="A486" s="19" t="s">
        <v>1259</v>
      </c>
      <c r="B486" s="20" t="s">
        <v>1260</v>
      </c>
      <c r="C486" s="21" t="s">
        <v>277</v>
      </c>
      <c r="D486" s="21" t="s">
        <v>281</v>
      </c>
      <c r="E486" s="21" t="s">
        <v>33</v>
      </c>
      <c r="F486" s="22">
        <f t="shared" ref="F486:O486" si="218">F487+F489</f>
        <v>374000</v>
      </c>
      <c r="G486" s="22">
        <f t="shared" si="218"/>
        <v>374000</v>
      </c>
      <c r="H486" s="22">
        <f t="shared" si="218"/>
        <v>0</v>
      </c>
      <c r="I486" s="22">
        <f t="shared" si="218"/>
        <v>0</v>
      </c>
      <c r="J486" s="22">
        <f t="shared" si="218"/>
        <v>0</v>
      </c>
      <c r="K486" s="22">
        <f t="shared" si="218"/>
        <v>0</v>
      </c>
      <c r="L486" s="22">
        <f t="shared" si="218"/>
        <v>0</v>
      </c>
      <c r="M486" s="22">
        <f t="shared" si="218"/>
        <v>0</v>
      </c>
      <c r="N486" s="22">
        <f t="shared" si="218"/>
        <v>0</v>
      </c>
      <c r="O486" s="22">
        <f t="shared" si="218"/>
        <v>0</v>
      </c>
      <c r="P486" s="21" t="s">
        <v>1261</v>
      </c>
      <c r="Q486" s="23" t="s">
        <v>35</v>
      </c>
      <c r="R486" s="24" t="s">
        <v>68</v>
      </c>
    </row>
    <row r="487" spans="1:18" ht="69.75" x14ac:dyDescent="0.25">
      <c r="A487" s="25" t="s">
        <v>1262</v>
      </c>
      <c r="B487" s="26" t="s">
        <v>1263</v>
      </c>
      <c r="C487" s="27" t="s">
        <v>277</v>
      </c>
      <c r="D487" s="27" t="s">
        <v>281</v>
      </c>
      <c r="E487" s="27" t="s">
        <v>40</v>
      </c>
      <c r="F487" s="28">
        <f>SUM(F488:F488)+262500</f>
        <v>262500</v>
      </c>
      <c r="G487" s="28">
        <f>SUM(G488:G488)+262500</f>
        <v>262500</v>
      </c>
      <c r="H487" s="28">
        <f t="shared" ref="H487:O487" si="219">SUM(H488:H488)</f>
        <v>0</v>
      </c>
      <c r="I487" s="28">
        <f t="shared" si="219"/>
        <v>0</v>
      </c>
      <c r="J487" s="28">
        <f t="shared" si="219"/>
        <v>0</v>
      </c>
      <c r="K487" s="28">
        <f t="shared" si="219"/>
        <v>0</v>
      </c>
      <c r="L487" s="28">
        <f t="shared" si="219"/>
        <v>0</v>
      </c>
      <c r="M487" s="28">
        <f t="shared" si="219"/>
        <v>0</v>
      </c>
      <c r="N487" s="28">
        <f t="shared" si="219"/>
        <v>0</v>
      </c>
      <c r="O487" s="28">
        <f t="shared" si="219"/>
        <v>0</v>
      </c>
      <c r="P487" s="27" t="s">
        <v>1264</v>
      </c>
      <c r="Q487" s="29" t="s">
        <v>35</v>
      </c>
      <c r="R487" s="30" t="s">
        <v>163</v>
      </c>
    </row>
    <row r="488" spans="1:18" ht="46.5" x14ac:dyDescent="0.25">
      <c r="A488" s="25" t="s">
        <v>1265</v>
      </c>
      <c r="B488" s="26" t="s">
        <v>1266</v>
      </c>
      <c r="C488" s="27"/>
      <c r="D488" s="27"/>
      <c r="E488" s="27"/>
      <c r="F488" s="31">
        <v>0</v>
      </c>
      <c r="G488" s="31">
        <v>0</v>
      </c>
      <c r="H488" s="31">
        <v>0</v>
      </c>
      <c r="I488" s="31">
        <v>0</v>
      </c>
      <c r="J488" s="31">
        <v>0</v>
      </c>
      <c r="K488" s="31">
        <v>0</v>
      </c>
      <c r="L488" s="31">
        <v>0</v>
      </c>
      <c r="M488" s="31">
        <v>0</v>
      </c>
      <c r="N488" s="31">
        <v>0</v>
      </c>
      <c r="O488" s="31">
        <v>0</v>
      </c>
      <c r="P488" s="27"/>
      <c r="Q488" s="29"/>
      <c r="R488" s="30"/>
    </row>
    <row r="489" spans="1:18" ht="93" x14ac:dyDescent="0.25">
      <c r="A489" s="25" t="s">
        <v>1267</v>
      </c>
      <c r="B489" s="26" t="s">
        <v>1268</v>
      </c>
      <c r="C489" s="27" t="s">
        <v>277</v>
      </c>
      <c r="D489" s="27" t="s">
        <v>281</v>
      </c>
      <c r="E489" s="27" t="s">
        <v>40</v>
      </c>
      <c r="F489" s="28">
        <f>SUM(F490:F490)+111500</f>
        <v>111500</v>
      </c>
      <c r="G489" s="28">
        <f>SUM(G490:G490)+111500</f>
        <v>111500</v>
      </c>
      <c r="H489" s="28">
        <f t="shared" ref="H489:O489" si="220">SUM(H490:H490)</f>
        <v>0</v>
      </c>
      <c r="I489" s="28">
        <f t="shared" si="220"/>
        <v>0</v>
      </c>
      <c r="J489" s="28">
        <f t="shared" si="220"/>
        <v>0</v>
      </c>
      <c r="K489" s="28">
        <f t="shared" si="220"/>
        <v>0</v>
      </c>
      <c r="L489" s="28">
        <f t="shared" si="220"/>
        <v>0</v>
      </c>
      <c r="M489" s="28">
        <f t="shared" si="220"/>
        <v>0</v>
      </c>
      <c r="N489" s="28">
        <f t="shared" si="220"/>
        <v>0</v>
      </c>
      <c r="O489" s="28">
        <f t="shared" si="220"/>
        <v>0</v>
      </c>
      <c r="P489" s="27" t="s">
        <v>1269</v>
      </c>
      <c r="Q489" s="29" t="s">
        <v>35</v>
      </c>
      <c r="R489" s="30" t="s">
        <v>68</v>
      </c>
    </row>
    <row r="490" spans="1:18" ht="69.75" x14ac:dyDescent="0.25">
      <c r="A490" s="25" t="s">
        <v>1270</v>
      </c>
      <c r="B490" s="26" t="s">
        <v>1271</v>
      </c>
      <c r="C490" s="27"/>
      <c r="D490" s="27"/>
      <c r="E490" s="27"/>
      <c r="F490" s="31">
        <v>0</v>
      </c>
      <c r="G490" s="31">
        <v>0</v>
      </c>
      <c r="H490" s="31">
        <v>0</v>
      </c>
      <c r="I490" s="31">
        <v>0</v>
      </c>
      <c r="J490" s="31">
        <v>0</v>
      </c>
      <c r="K490" s="31">
        <v>0</v>
      </c>
      <c r="L490" s="31">
        <v>0</v>
      </c>
      <c r="M490" s="31">
        <v>0</v>
      </c>
      <c r="N490" s="31">
        <v>0</v>
      </c>
      <c r="O490" s="31">
        <v>0</v>
      </c>
      <c r="P490" s="27"/>
      <c r="Q490" s="29"/>
      <c r="R490" s="30"/>
    </row>
    <row r="491" spans="1:18" ht="90" x14ac:dyDescent="0.25">
      <c r="A491" s="19" t="s">
        <v>1272</v>
      </c>
      <c r="B491" s="20" t="s">
        <v>1273</v>
      </c>
      <c r="C491" s="21" t="s">
        <v>277</v>
      </c>
      <c r="D491" s="21" t="s">
        <v>281</v>
      </c>
      <c r="E491" s="21" t="s">
        <v>33</v>
      </c>
      <c r="F491" s="22">
        <f t="shared" ref="F491:O491" si="221">F492+F494</f>
        <v>23600</v>
      </c>
      <c r="G491" s="22">
        <f t="shared" si="221"/>
        <v>23600</v>
      </c>
      <c r="H491" s="22">
        <f t="shared" si="221"/>
        <v>0</v>
      </c>
      <c r="I491" s="22">
        <f t="shared" si="221"/>
        <v>0</v>
      </c>
      <c r="J491" s="22">
        <f t="shared" si="221"/>
        <v>0</v>
      </c>
      <c r="K491" s="22">
        <f t="shared" si="221"/>
        <v>0</v>
      </c>
      <c r="L491" s="22">
        <f t="shared" si="221"/>
        <v>0</v>
      </c>
      <c r="M491" s="22">
        <f t="shared" si="221"/>
        <v>0</v>
      </c>
      <c r="N491" s="22">
        <f t="shared" si="221"/>
        <v>0</v>
      </c>
      <c r="O491" s="22">
        <f t="shared" si="221"/>
        <v>0</v>
      </c>
      <c r="P491" s="21" t="s">
        <v>1274</v>
      </c>
      <c r="Q491" s="23" t="s">
        <v>35</v>
      </c>
      <c r="R491" s="24" t="s">
        <v>36</v>
      </c>
    </row>
    <row r="492" spans="1:18" ht="93" x14ac:dyDescent="0.25">
      <c r="A492" s="25" t="s">
        <v>1275</v>
      </c>
      <c r="B492" s="26" t="s">
        <v>1276</v>
      </c>
      <c r="C492" s="27" t="s">
        <v>277</v>
      </c>
      <c r="D492" s="27" t="s">
        <v>281</v>
      </c>
      <c r="E492" s="27" t="s">
        <v>40</v>
      </c>
      <c r="F492" s="28">
        <f>SUM(F493:F493)+1000</f>
        <v>1000</v>
      </c>
      <c r="G492" s="28">
        <f>SUM(G493:G493)+1000</f>
        <v>1000</v>
      </c>
      <c r="H492" s="28">
        <f t="shared" ref="H492:O492" si="222">SUM(H493:H493)</f>
        <v>0</v>
      </c>
      <c r="I492" s="28">
        <f t="shared" si="222"/>
        <v>0</v>
      </c>
      <c r="J492" s="28">
        <f t="shared" si="222"/>
        <v>0</v>
      </c>
      <c r="K492" s="28">
        <f t="shared" si="222"/>
        <v>0</v>
      </c>
      <c r="L492" s="28">
        <f t="shared" si="222"/>
        <v>0</v>
      </c>
      <c r="M492" s="28">
        <f t="shared" si="222"/>
        <v>0</v>
      </c>
      <c r="N492" s="28">
        <f t="shared" si="222"/>
        <v>0</v>
      </c>
      <c r="O492" s="28">
        <f t="shared" si="222"/>
        <v>0</v>
      </c>
      <c r="P492" s="27" t="s">
        <v>1277</v>
      </c>
      <c r="Q492" s="29" t="s">
        <v>35</v>
      </c>
      <c r="R492" s="30" t="s">
        <v>36</v>
      </c>
    </row>
    <row r="493" spans="1:18" ht="93" x14ac:dyDescent="0.25">
      <c r="A493" s="25" t="s">
        <v>1278</v>
      </c>
      <c r="B493" s="26" t="s">
        <v>1279</v>
      </c>
      <c r="C493" s="27"/>
      <c r="D493" s="27"/>
      <c r="E493" s="27"/>
      <c r="F493" s="31">
        <v>0</v>
      </c>
      <c r="G493" s="31">
        <v>0</v>
      </c>
      <c r="H493" s="31">
        <v>0</v>
      </c>
      <c r="I493" s="31">
        <v>0</v>
      </c>
      <c r="J493" s="31">
        <v>0</v>
      </c>
      <c r="K493" s="31">
        <v>0</v>
      </c>
      <c r="L493" s="31">
        <v>0</v>
      </c>
      <c r="M493" s="31">
        <v>0</v>
      </c>
      <c r="N493" s="31">
        <v>0</v>
      </c>
      <c r="O493" s="31">
        <v>0</v>
      </c>
      <c r="P493" s="27"/>
      <c r="Q493" s="29"/>
      <c r="R493" s="30"/>
    </row>
    <row r="494" spans="1:18" ht="69.75" x14ac:dyDescent="0.25">
      <c r="A494" s="25" t="s">
        <v>1280</v>
      </c>
      <c r="B494" s="26" t="s">
        <v>1281</v>
      </c>
      <c r="C494" s="27" t="s">
        <v>277</v>
      </c>
      <c r="D494" s="27" t="s">
        <v>281</v>
      </c>
      <c r="E494" s="27" t="s">
        <v>40</v>
      </c>
      <c r="F494" s="28">
        <f>SUM(F495:F495)+22600</f>
        <v>22600</v>
      </c>
      <c r="G494" s="28">
        <f>SUM(G495:G495)+22600</f>
        <v>22600</v>
      </c>
      <c r="H494" s="28">
        <f t="shared" ref="H494:O494" si="223">SUM(H495:H495)</f>
        <v>0</v>
      </c>
      <c r="I494" s="28">
        <f t="shared" si="223"/>
        <v>0</v>
      </c>
      <c r="J494" s="28">
        <f t="shared" si="223"/>
        <v>0</v>
      </c>
      <c r="K494" s="28">
        <f t="shared" si="223"/>
        <v>0</v>
      </c>
      <c r="L494" s="28">
        <f t="shared" si="223"/>
        <v>0</v>
      </c>
      <c r="M494" s="28">
        <f t="shared" si="223"/>
        <v>0</v>
      </c>
      <c r="N494" s="28">
        <f t="shared" si="223"/>
        <v>0</v>
      </c>
      <c r="O494" s="28">
        <f t="shared" si="223"/>
        <v>0</v>
      </c>
      <c r="P494" s="27" t="s">
        <v>1282</v>
      </c>
      <c r="Q494" s="29" t="s">
        <v>35</v>
      </c>
      <c r="R494" s="30" t="s">
        <v>144</v>
      </c>
    </row>
    <row r="495" spans="1:18" ht="93" x14ac:dyDescent="0.25">
      <c r="A495" s="25" t="s">
        <v>1283</v>
      </c>
      <c r="B495" s="26" t="s">
        <v>1284</v>
      </c>
      <c r="C495" s="27"/>
      <c r="D495" s="27"/>
      <c r="E495" s="27"/>
      <c r="F495" s="31">
        <v>0</v>
      </c>
      <c r="G495" s="31">
        <v>0</v>
      </c>
      <c r="H495" s="31">
        <v>0</v>
      </c>
      <c r="I495" s="31">
        <v>0</v>
      </c>
      <c r="J495" s="31">
        <v>0</v>
      </c>
      <c r="K495" s="31">
        <v>0</v>
      </c>
      <c r="L495" s="31">
        <v>0</v>
      </c>
      <c r="M495" s="31">
        <v>0</v>
      </c>
      <c r="N495" s="31">
        <v>0</v>
      </c>
      <c r="O495" s="31">
        <v>0</v>
      </c>
      <c r="P495" s="27"/>
      <c r="Q495" s="29"/>
      <c r="R495" s="30"/>
    </row>
    <row r="496" spans="1:18" ht="67.5" x14ac:dyDescent="0.25">
      <c r="A496" s="13" t="s">
        <v>1285</v>
      </c>
      <c r="B496" s="14" t="s">
        <v>380</v>
      </c>
      <c r="C496" s="15" t="s">
        <v>381</v>
      </c>
      <c r="D496" s="15" t="s">
        <v>382</v>
      </c>
      <c r="E496" s="15"/>
      <c r="F496" s="16">
        <f t="shared" ref="F496:O496" si="224">SUM(F497:F497)</f>
        <v>376000</v>
      </c>
      <c r="G496" s="16">
        <f t="shared" si="224"/>
        <v>55000</v>
      </c>
      <c r="H496" s="16">
        <f t="shared" si="224"/>
        <v>0</v>
      </c>
      <c r="I496" s="16">
        <f t="shared" si="224"/>
        <v>0</v>
      </c>
      <c r="J496" s="16">
        <f t="shared" si="224"/>
        <v>321000</v>
      </c>
      <c r="K496" s="16">
        <f t="shared" si="224"/>
        <v>0</v>
      </c>
      <c r="L496" s="16">
        <f t="shared" si="224"/>
        <v>0</v>
      </c>
      <c r="M496" s="16">
        <f t="shared" si="224"/>
        <v>0</v>
      </c>
      <c r="N496" s="16">
        <f t="shared" si="224"/>
        <v>0</v>
      </c>
      <c r="O496" s="16">
        <f t="shared" si="224"/>
        <v>0</v>
      </c>
      <c r="P496" s="15" t="s">
        <v>383</v>
      </c>
      <c r="Q496" s="17" t="s">
        <v>29</v>
      </c>
      <c r="R496" s="18" t="s">
        <v>54</v>
      </c>
    </row>
    <row r="497" spans="1:18" ht="90" x14ac:dyDescent="0.25">
      <c r="A497" s="19" t="s">
        <v>1286</v>
      </c>
      <c r="B497" s="20" t="s">
        <v>1287</v>
      </c>
      <c r="C497" s="21" t="s">
        <v>381</v>
      </c>
      <c r="D497" s="21" t="s">
        <v>1288</v>
      </c>
      <c r="E497" s="21" t="s">
        <v>33</v>
      </c>
      <c r="F497" s="22">
        <f t="shared" ref="F497:O497" si="225">F498+F500</f>
        <v>376000</v>
      </c>
      <c r="G497" s="22">
        <f t="shared" si="225"/>
        <v>55000</v>
      </c>
      <c r="H497" s="22">
        <f t="shared" si="225"/>
        <v>0</v>
      </c>
      <c r="I497" s="22">
        <f t="shared" si="225"/>
        <v>0</v>
      </c>
      <c r="J497" s="22">
        <f t="shared" si="225"/>
        <v>321000</v>
      </c>
      <c r="K497" s="22">
        <f t="shared" si="225"/>
        <v>0</v>
      </c>
      <c r="L497" s="22">
        <f t="shared" si="225"/>
        <v>0</v>
      </c>
      <c r="M497" s="22">
        <f t="shared" si="225"/>
        <v>0</v>
      </c>
      <c r="N497" s="22">
        <f t="shared" si="225"/>
        <v>0</v>
      </c>
      <c r="O497" s="22">
        <f t="shared" si="225"/>
        <v>0</v>
      </c>
      <c r="P497" s="21" t="s">
        <v>1289</v>
      </c>
      <c r="Q497" s="23" t="s">
        <v>1023</v>
      </c>
      <c r="R497" s="24" t="s">
        <v>1290</v>
      </c>
    </row>
    <row r="498" spans="1:18" ht="46.5" x14ac:dyDescent="0.25">
      <c r="A498" s="25" t="s">
        <v>1291</v>
      </c>
      <c r="B498" s="26" t="s">
        <v>1292</v>
      </c>
      <c r="C498" s="27" t="s">
        <v>381</v>
      </c>
      <c r="D498" s="27" t="s">
        <v>391</v>
      </c>
      <c r="E498" s="27" t="s">
        <v>40</v>
      </c>
      <c r="F498" s="28">
        <f>SUM(F499:F499)+321000</f>
        <v>321000</v>
      </c>
      <c r="G498" s="28">
        <f>SUM(G499:G499)</f>
        <v>0</v>
      </c>
      <c r="H498" s="28">
        <f>SUM(H499:H499)</f>
        <v>0</v>
      </c>
      <c r="I498" s="28">
        <f>SUM(I499:I499)</f>
        <v>0</v>
      </c>
      <c r="J498" s="28">
        <f>SUM(J499:J499)+321000</f>
        <v>321000</v>
      </c>
      <c r="K498" s="28">
        <f>SUM(K499:K499)</f>
        <v>0</v>
      </c>
      <c r="L498" s="28">
        <f>SUM(L499:L499)</f>
        <v>0</v>
      </c>
      <c r="M498" s="28">
        <f>SUM(M499:M499)</f>
        <v>0</v>
      </c>
      <c r="N498" s="28">
        <f>SUM(N499:N499)</f>
        <v>0</v>
      </c>
      <c r="O498" s="28">
        <f>SUM(O499:O499)</f>
        <v>0</v>
      </c>
      <c r="P498" s="27" t="s">
        <v>1293</v>
      </c>
      <c r="Q498" s="29" t="s">
        <v>372</v>
      </c>
      <c r="R498" s="30" t="s">
        <v>88</v>
      </c>
    </row>
    <row r="499" spans="1:18" ht="116.25" x14ac:dyDescent="0.25">
      <c r="A499" s="25" t="s">
        <v>1294</v>
      </c>
      <c r="B499" s="26" t="s">
        <v>1295</v>
      </c>
      <c r="C499" s="27"/>
      <c r="D499" s="27"/>
      <c r="E499" s="27"/>
      <c r="F499" s="31">
        <v>0</v>
      </c>
      <c r="G499" s="31">
        <v>0</v>
      </c>
      <c r="H499" s="31">
        <v>0</v>
      </c>
      <c r="I499" s="31">
        <v>0</v>
      </c>
      <c r="J499" s="31">
        <v>0</v>
      </c>
      <c r="K499" s="31">
        <v>0</v>
      </c>
      <c r="L499" s="31">
        <v>0</v>
      </c>
      <c r="M499" s="31">
        <v>0</v>
      </c>
      <c r="N499" s="31">
        <v>0</v>
      </c>
      <c r="O499" s="31">
        <v>0</v>
      </c>
      <c r="P499" s="27"/>
      <c r="Q499" s="29"/>
      <c r="R499" s="30"/>
    </row>
    <row r="500" spans="1:18" ht="46.5" x14ac:dyDescent="0.25">
      <c r="A500" s="25" t="s">
        <v>1296</v>
      </c>
      <c r="B500" s="26" t="s">
        <v>1297</v>
      </c>
      <c r="C500" s="27" t="s">
        <v>381</v>
      </c>
      <c r="D500" s="27" t="s">
        <v>391</v>
      </c>
      <c r="E500" s="27" t="s">
        <v>40</v>
      </c>
      <c r="F500" s="28">
        <f>SUM(F501:F502)+55000</f>
        <v>55000</v>
      </c>
      <c r="G500" s="28">
        <f>SUM(G501:G502)+55000</f>
        <v>55000</v>
      </c>
      <c r="H500" s="28">
        <f t="shared" ref="H500:O500" si="226">SUM(H501:H502)</f>
        <v>0</v>
      </c>
      <c r="I500" s="28">
        <f t="shared" si="226"/>
        <v>0</v>
      </c>
      <c r="J500" s="28">
        <f t="shared" si="226"/>
        <v>0</v>
      </c>
      <c r="K500" s="28">
        <f t="shared" si="226"/>
        <v>0</v>
      </c>
      <c r="L500" s="28">
        <f t="shared" si="226"/>
        <v>0</v>
      </c>
      <c r="M500" s="28">
        <f t="shared" si="226"/>
        <v>0</v>
      </c>
      <c r="N500" s="28">
        <f t="shared" si="226"/>
        <v>0</v>
      </c>
      <c r="O500" s="28">
        <f t="shared" si="226"/>
        <v>0</v>
      </c>
      <c r="P500" s="27" t="s">
        <v>1298</v>
      </c>
      <c r="Q500" s="29" t="s">
        <v>35</v>
      </c>
      <c r="R500" s="30" t="s">
        <v>36</v>
      </c>
    </row>
    <row r="501" spans="1:18" ht="46.5" x14ac:dyDescent="0.25">
      <c r="A501" s="32"/>
      <c r="B501" s="33"/>
      <c r="C501" s="34"/>
      <c r="D501" s="34"/>
      <c r="E501" s="34"/>
      <c r="F501" s="35">
        <v>0</v>
      </c>
      <c r="G501" s="35">
        <v>0</v>
      </c>
      <c r="H501" s="35">
        <v>0</v>
      </c>
      <c r="I501" s="35">
        <v>0</v>
      </c>
      <c r="J501" s="35">
        <v>0</v>
      </c>
      <c r="K501" s="35">
        <v>0</v>
      </c>
      <c r="L501" s="35">
        <v>0</v>
      </c>
      <c r="M501" s="35">
        <v>0</v>
      </c>
      <c r="N501" s="35">
        <v>0</v>
      </c>
      <c r="O501" s="35">
        <v>0</v>
      </c>
      <c r="P501" s="34" t="s">
        <v>1299</v>
      </c>
      <c r="Q501" s="36" t="s">
        <v>35</v>
      </c>
      <c r="R501" s="37" t="s">
        <v>36</v>
      </c>
    </row>
    <row r="502" spans="1:18" ht="116.25" x14ac:dyDescent="0.25">
      <c r="A502" s="25" t="s">
        <v>1300</v>
      </c>
      <c r="B502" s="26" t="s">
        <v>1301</v>
      </c>
      <c r="C502" s="27"/>
      <c r="D502" s="27"/>
      <c r="E502" s="27"/>
      <c r="F502" s="31">
        <v>0</v>
      </c>
      <c r="G502" s="31">
        <v>0</v>
      </c>
      <c r="H502" s="31">
        <v>0</v>
      </c>
      <c r="I502" s="31">
        <v>0</v>
      </c>
      <c r="J502" s="31">
        <v>0</v>
      </c>
      <c r="K502" s="31">
        <v>0</v>
      </c>
      <c r="L502" s="31">
        <v>0</v>
      </c>
      <c r="M502" s="31">
        <v>0</v>
      </c>
      <c r="N502" s="31">
        <v>0</v>
      </c>
      <c r="O502" s="31">
        <v>0</v>
      </c>
      <c r="P502" s="27"/>
      <c r="Q502" s="29"/>
      <c r="R502" s="30"/>
    </row>
    <row r="503" spans="1:18" ht="90" x14ac:dyDescent="0.25">
      <c r="A503" s="13" t="s">
        <v>1302</v>
      </c>
      <c r="B503" s="14" t="s">
        <v>1303</v>
      </c>
      <c r="C503" s="15" t="s">
        <v>381</v>
      </c>
      <c r="D503" s="15" t="s">
        <v>1304</v>
      </c>
      <c r="E503" s="15"/>
      <c r="F503" s="16">
        <f t="shared" ref="F503:O503" si="227">F504+F507</f>
        <v>9000</v>
      </c>
      <c r="G503" s="16">
        <f t="shared" si="227"/>
        <v>9000</v>
      </c>
      <c r="H503" s="16">
        <f t="shared" si="227"/>
        <v>0</v>
      </c>
      <c r="I503" s="16">
        <f t="shared" si="227"/>
        <v>0</v>
      </c>
      <c r="J503" s="16">
        <f t="shared" si="227"/>
        <v>0</v>
      </c>
      <c r="K503" s="16">
        <f t="shared" si="227"/>
        <v>0</v>
      </c>
      <c r="L503" s="16">
        <f t="shared" si="227"/>
        <v>0</v>
      </c>
      <c r="M503" s="16">
        <f t="shared" si="227"/>
        <v>0</v>
      </c>
      <c r="N503" s="16">
        <f t="shared" si="227"/>
        <v>0</v>
      </c>
      <c r="O503" s="16">
        <f t="shared" si="227"/>
        <v>0</v>
      </c>
      <c r="P503" s="15" t="s">
        <v>1305</v>
      </c>
      <c r="Q503" s="17" t="s">
        <v>29</v>
      </c>
      <c r="R503" s="18" t="s">
        <v>929</v>
      </c>
    </row>
    <row r="504" spans="1:18" ht="135" x14ac:dyDescent="0.25">
      <c r="A504" s="19" t="s">
        <v>1306</v>
      </c>
      <c r="B504" s="20" t="s">
        <v>1307</v>
      </c>
      <c r="C504" s="21" t="s">
        <v>381</v>
      </c>
      <c r="D504" s="21" t="s">
        <v>1288</v>
      </c>
      <c r="E504" s="21" t="s">
        <v>33</v>
      </c>
      <c r="F504" s="22">
        <f t="shared" ref="F504:O504" si="228">SUM(F505:F505)</f>
        <v>2000</v>
      </c>
      <c r="G504" s="22">
        <f t="shared" si="228"/>
        <v>2000</v>
      </c>
      <c r="H504" s="22">
        <f t="shared" si="228"/>
        <v>0</v>
      </c>
      <c r="I504" s="22">
        <f t="shared" si="228"/>
        <v>0</v>
      </c>
      <c r="J504" s="22">
        <f t="shared" si="228"/>
        <v>0</v>
      </c>
      <c r="K504" s="22">
        <f t="shared" si="228"/>
        <v>0</v>
      </c>
      <c r="L504" s="22">
        <f t="shared" si="228"/>
        <v>0</v>
      </c>
      <c r="M504" s="22">
        <f t="shared" si="228"/>
        <v>0</v>
      </c>
      <c r="N504" s="22">
        <f t="shared" si="228"/>
        <v>0</v>
      </c>
      <c r="O504" s="22">
        <f t="shared" si="228"/>
        <v>0</v>
      </c>
      <c r="P504" s="21" t="s">
        <v>1308</v>
      </c>
      <c r="Q504" s="23" t="s">
        <v>35</v>
      </c>
      <c r="R504" s="24" t="s">
        <v>48</v>
      </c>
    </row>
    <row r="505" spans="1:18" ht="69.75" x14ac:dyDescent="0.25">
      <c r="A505" s="25" t="s">
        <v>1309</v>
      </c>
      <c r="B505" s="26" t="s">
        <v>1310</v>
      </c>
      <c r="C505" s="27" t="s">
        <v>381</v>
      </c>
      <c r="D505" s="27" t="s">
        <v>1304</v>
      </c>
      <c r="E505" s="27" t="s">
        <v>40</v>
      </c>
      <c r="F505" s="28">
        <f>SUM(F506:F506)+2000</f>
        <v>2000</v>
      </c>
      <c r="G505" s="28">
        <f>SUM(G506:G506)+2000</f>
        <v>2000</v>
      </c>
      <c r="H505" s="28">
        <f t="shared" ref="H505:O505" si="229">SUM(H506:H506)</f>
        <v>0</v>
      </c>
      <c r="I505" s="28">
        <f t="shared" si="229"/>
        <v>0</v>
      </c>
      <c r="J505" s="28">
        <f t="shared" si="229"/>
        <v>0</v>
      </c>
      <c r="K505" s="28">
        <f t="shared" si="229"/>
        <v>0</v>
      </c>
      <c r="L505" s="28">
        <f t="shared" si="229"/>
        <v>0</v>
      </c>
      <c r="M505" s="28">
        <f t="shared" si="229"/>
        <v>0</v>
      </c>
      <c r="N505" s="28">
        <f t="shared" si="229"/>
        <v>0</v>
      </c>
      <c r="O505" s="28">
        <f t="shared" si="229"/>
        <v>0</v>
      </c>
      <c r="P505" s="27" t="s">
        <v>1311</v>
      </c>
      <c r="Q505" s="29" t="s">
        <v>35</v>
      </c>
      <c r="R505" s="30" t="s">
        <v>48</v>
      </c>
    </row>
    <row r="506" spans="1:18" ht="116.25" x14ac:dyDescent="0.25">
      <c r="A506" s="25" t="s">
        <v>1312</v>
      </c>
      <c r="B506" s="26" t="s">
        <v>1313</v>
      </c>
      <c r="C506" s="27"/>
      <c r="D506" s="27"/>
      <c r="E506" s="27"/>
      <c r="F506" s="31">
        <v>0</v>
      </c>
      <c r="G506" s="31">
        <v>0</v>
      </c>
      <c r="H506" s="31">
        <v>0</v>
      </c>
      <c r="I506" s="31">
        <v>0</v>
      </c>
      <c r="J506" s="31">
        <v>0</v>
      </c>
      <c r="K506" s="31">
        <v>0</v>
      </c>
      <c r="L506" s="31">
        <v>0</v>
      </c>
      <c r="M506" s="31">
        <v>0</v>
      </c>
      <c r="N506" s="31">
        <v>0</v>
      </c>
      <c r="O506" s="31">
        <v>0</v>
      </c>
      <c r="P506" s="27"/>
      <c r="Q506" s="29"/>
      <c r="R506" s="30"/>
    </row>
    <row r="507" spans="1:18" ht="112.5" x14ac:dyDescent="0.25">
      <c r="A507" s="19" t="s">
        <v>1314</v>
      </c>
      <c r="B507" s="20" t="s">
        <v>1315</v>
      </c>
      <c r="C507" s="21" t="s">
        <v>381</v>
      </c>
      <c r="D507" s="21" t="s">
        <v>1288</v>
      </c>
      <c r="E507" s="21" t="s">
        <v>33</v>
      </c>
      <c r="F507" s="22">
        <f t="shared" ref="F507:O507" si="230">SUM(F508:F508)</f>
        <v>7000</v>
      </c>
      <c r="G507" s="22">
        <f t="shared" si="230"/>
        <v>7000</v>
      </c>
      <c r="H507" s="22">
        <f t="shared" si="230"/>
        <v>0</v>
      </c>
      <c r="I507" s="22">
        <f t="shared" si="230"/>
        <v>0</v>
      </c>
      <c r="J507" s="22">
        <f t="shared" si="230"/>
        <v>0</v>
      </c>
      <c r="K507" s="22">
        <f t="shared" si="230"/>
        <v>0</v>
      </c>
      <c r="L507" s="22">
        <f t="shared" si="230"/>
        <v>0</v>
      </c>
      <c r="M507" s="22">
        <f t="shared" si="230"/>
        <v>0</v>
      </c>
      <c r="N507" s="22">
        <f t="shared" si="230"/>
        <v>0</v>
      </c>
      <c r="O507" s="22">
        <f t="shared" si="230"/>
        <v>0</v>
      </c>
      <c r="P507" s="21" t="s">
        <v>1316</v>
      </c>
      <c r="Q507" s="23" t="s">
        <v>35</v>
      </c>
      <c r="R507" s="24" t="s">
        <v>1317</v>
      </c>
    </row>
    <row r="508" spans="1:18" ht="93" x14ac:dyDescent="0.25">
      <c r="A508" s="25" t="s">
        <v>1318</v>
      </c>
      <c r="B508" s="26" t="s">
        <v>1319</v>
      </c>
      <c r="C508" s="27" t="s">
        <v>381</v>
      </c>
      <c r="D508" s="27" t="s">
        <v>1304</v>
      </c>
      <c r="E508" s="27" t="s">
        <v>40</v>
      </c>
      <c r="F508" s="28">
        <f>SUM(F509:F509)+7000</f>
        <v>7000</v>
      </c>
      <c r="G508" s="28">
        <f>SUM(G509:G509)+7000</f>
        <v>7000</v>
      </c>
      <c r="H508" s="28">
        <f t="shared" ref="H508:O508" si="231">SUM(H509:H509)</f>
        <v>0</v>
      </c>
      <c r="I508" s="28">
        <f t="shared" si="231"/>
        <v>0</v>
      </c>
      <c r="J508" s="28">
        <f t="shared" si="231"/>
        <v>0</v>
      </c>
      <c r="K508" s="28">
        <f t="shared" si="231"/>
        <v>0</v>
      </c>
      <c r="L508" s="28">
        <f t="shared" si="231"/>
        <v>0</v>
      </c>
      <c r="M508" s="28">
        <f t="shared" si="231"/>
        <v>0</v>
      </c>
      <c r="N508" s="28">
        <f t="shared" si="231"/>
        <v>0</v>
      </c>
      <c r="O508" s="28">
        <f t="shared" si="231"/>
        <v>0</v>
      </c>
      <c r="P508" s="27" t="s">
        <v>1320</v>
      </c>
      <c r="Q508" s="29" t="s">
        <v>35</v>
      </c>
      <c r="R508" s="30" t="s">
        <v>1321</v>
      </c>
    </row>
    <row r="509" spans="1:18" ht="116.25" x14ac:dyDescent="0.25">
      <c r="A509" s="25" t="s">
        <v>1322</v>
      </c>
      <c r="B509" s="26" t="s">
        <v>1323</v>
      </c>
      <c r="C509" s="27"/>
      <c r="D509" s="27"/>
      <c r="E509" s="27"/>
      <c r="F509" s="31">
        <v>0</v>
      </c>
      <c r="G509" s="31">
        <v>0</v>
      </c>
      <c r="H509" s="31">
        <v>0</v>
      </c>
      <c r="I509" s="31">
        <v>0</v>
      </c>
      <c r="J509" s="31">
        <v>0</v>
      </c>
      <c r="K509" s="31">
        <v>0</v>
      </c>
      <c r="L509" s="31">
        <v>0</v>
      </c>
      <c r="M509" s="31">
        <v>0</v>
      </c>
      <c r="N509" s="31">
        <v>0</v>
      </c>
      <c r="O509" s="31">
        <v>0</v>
      </c>
      <c r="P509" s="27"/>
      <c r="Q509" s="29"/>
      <c r="R509" s="30"/>
    </row>
    <row r="510" spans="1:18" ht="67.5" x14ac:dyDescent="0.25">
      <c r="A510" s="13" t="s">
        <v>1324</v>
      </c>
      <c r="B510" s="14" t="s">
        <v>1325</v>
      </c>
      <c r="C510" s="15" t="s">
        <v>633</v>
      </c>
      <c r="D510" s="15" t="s">
        <v>634</v>
      </c>
      <c r="E510" s="15"/>
      <c r="F510" s="16">
        <f t="shared" ref="F510:O510" si="232">F511+F512+F517</f>
        <v>3500</v>
      </c>
      <c r="G510" s="16">
        <f t="shared" si="232"/>
        <v>0</v>
      </c>
      <c r="H510" s="16">
        <f t="shared" si="232"/>
        <v>0</v>
      </c>
      <c r="I510" s="16">
        <f t="shared" si="232"/>
        <v>0</v>
      </c>
      <c r="J510" s="16">
        <f t="shared" si="232"/>
        <v>0</v>
      </c>
      <c r="K510" s="16">
        <f t="shared" si="232"/>
        <v>0</v>
      </c>
      <c r="L510" s="16">
        <f t="shared" si="232"/>
        <v>0</v>
      </c>
      <c r="M510" s="16">
        <f t="shared" si="232"/>
        <v>0</v>
      </c>
      <c r="N510" s="16">
        <f t="shared" si="232"/>
        <v>0</v>
      </c>
      <c r="O510" s="16">
        <f t="shared" si="232"/>
        <v>3500</v>
      </c>
      <c r="P510" s="15" t="s">
        <v>1326</v>
      </c>
      <c r="Q510" s="17" t="s">
        <v>29</v>
      </c>
      <c r="R510" s="18" t="s">
        <v>54</v>
      </c>
    </row>
    <row r="511" spans="1:18" ht="69.75" x14ac:dyDescent="0.25">
      <c r="A511" s="32"/>
      <c r="B511" s="33"/>
      <c r="C511" s="34"/>
      <c r="D511" s="34"/>
      <c r="E511" s="34"/>
      <c r="F511" s="35">
        <v>0</v>
      </c>
      <c r="G511" s="35">
        <v>0</v>
      </c>
      <c r="H511" s="35">
        <v>0</v>
      </c>
      <c r="I511" s="35">
        <v>0</v>
      </c>
      <c r="J511" s="35">
        <v>0</v>
      </c>
      <c r="K511" s="35">
        <v>0</v>
      </c>
      <c r="L511" s="35">
        <v>0</v>
      </c>
      <c r="M511" s="35">
        <v>0</v>
      </c>
      <c r="N511" s="35">
        <v>0</v>
      </c>
      <c r="O511" s="35">
        <v>0</v>
      </c>
      <c r="P511" s="34" t="s">
        <v>1327</v>
      </c>
      <c r="Q511" s="36" t="s">
        <v>29</v>
      </c>
      <c r="R511" s="37" t="s">
        <v>135</v>
      </c>
    </row>
    <row r="512" spans="1:18" ht="90" x14ac:dyDescent="0.25">
      <c r="A512" s="19" t="s">
        <v>1328</v>
      </c>
      <c r="B512" s="20" t="s">
        <v>1329</v>
      </c>
      <c r="C512" s="21" t="s">
        <v>633</v>
      </c>
      <c r="D512" s="21" t="s">
        <v>634</v>
      </c>
      <c r="E512" s="21" t="s">
        <v>33</v>
      </c>
      <c r="F512" s="22">
        <f t="shared" ref="F512:O512" si="233">F513+F515</f>
        <v>2500</v>
      </c>
      <c r="G512" s="22">
        <f t="shared" si="233"/>
        <v>0</v>
      </c>
      <c r="H512" s="22">
        <f t="shared" si="233"/>
        <v>0</v>
      </c>
      <c r="I512" s="22">
        <f t="shared" si="233"/>
        <v>0</v>
      </c>
      <c r="J512" s="22">
        <f t="shared" si="233"/>
        <v>0</v>
      </c>
      <c r="K512" s="22">
        <f t="shared" si="233"/>
        <v>0</v>
      </c>
      <c r="L512" s="22">
        <f t="shared" si="233"/>
        <v>0</v>
      </c>
      <c r="M512" s="22">
        <f t="shared" si="233"/>
        <v>0</v>
      </c>
      <c r="N512" s="22">
        <f t="shared" si="233"/>
        <v>0</v>
      </c>
      <c r="O512" s="22">
        <f t="shared" si="233"/>
        <v>2500</v>
      </c>
      <c r="P512" s="21" t="s">
        <v>1330</v>
      </c>
      <c r="Q512" s="23" t="s">
        <v>35</v>
      </c>
      <c r="R512" s="24" t="s">
        <v>869</v>
      </c>
    </row>
    <row r="513" spans="1:18" ht="69.75" x14ac:dyDescent="0.25">
      <c r="A513" s="25" t="s">
        <v>1331</v>
      </c>
      <c r="B513" s="26" t="s">
        <v>1332</v>
      </c>
      <c r="C513" s="27" t="s">
        <v>633</v>
      </c>
      <c r="D513" s="27" t="s">
        <v>634</v>
      </c>
      <c r="E513" s="27" t="s">
        <v>16</v>
      </c>
      <c r="F513" s="28">
        <f>SUM(F514:F514)+1500</f>
        <v>1500</v>
      </c>
      <c r="G513" s="28">
        <f t="shared" ref="G513:N513" si="234">SUM(G514:G514)</f>
        <v>0</v>
      </c>
      <c r="H513" s="28">
        <f t="shared" si="234"/>
        <v>0</v>
      </c>
      <c r="I513" s="28">
        <f t="shared" si="234"/>
        <v>0</v>
      </c>
      <c r="J513" s="28">
        <f t="shared" si="234"/>
        <v>0</v>
      </c>
      <c r="K513" s="28">
        <f t="shared" si="234"/>
        <v>0</v>
      </c>
      <c r="L513" s="28">
        <f t="shared" si="234"/>
        <v>0</v>
      </c>
      <c r="M513" s="28">
        <f t="shared" si="234"/>
        <v>0</v>
      </c>
      <c r="N513" s="28">
        <f t="shared" si="234"/>
        <v>0</v>
      </c>
      <c r="O513" s="28">
        <f>SUM(O514:O514)+1500</f>
        <v>1500</v>
      </c>
      <c r="P513" s="27" t="s">
        <v>1333</v>
      </c>
      <c r="Q513" s="29" t="s">
        <v>35</v>
      </c>
      <c r="R513" s="30" t="s">
        <v>36</v>
      </c>
    </row>
    <row r="514" spans="1:18" ht="93" x14ac:dyDescent="0.25">
      <c r="A514" s="25" t="s">
        <v>1334</v>
      </c>
      <c r="B514" s="26" t="s">
        <v>1335</v>
      </c>
      <c r="C514" s="27"/>
      <c r="D514" s="27"/>
      <c r="E514" s="27"/>
      <c r="F514" s="31">
        <v>0</v>
      </c>
      <c r="G514" s="31">
        <v>0</v>
      </c>
      <c r="H514" s="31">
        <v>0</v>
      </c>
      <c r="I514" s="31">
        <v>0</v>
      </c>
      <c r="J514" s="31">
        <v>0</v>
      </c>
      <c r="K514" s="31">
        <v>0</v>
      </c>
      <c r="L514" s="31">
        <v>0</v>
      </c>
      <c r="M514" s="31">
        <v>0</v>
      </c>
      <c r="N514" s="31">
        <v>0</v>
      </c>
      <c r="O514" s="31">
        <v>0</v>
      </c>
      <c r="P514" s="27"/>
      <c r="Q514" s="29"/>
      <c r="R514" s="30"/>
    </row>
    <row r="515" spans="1:18" ht="93" x14ac:dyDescent="0.25">
      <c r="A515" s="25" t="s">
        <v>1336</v>
      </c>
      <c r="B515" s="26" t="s">
        <v>1337</v>
      </c>
      <c r="C515" s="27" t="s">
        <v>633</v>
      </c>
      <c r="D515" s="27" t="s">
        <v>634</v>
      </c>
      <c r="E515" s="27" t="s">
        <v>16</v>
      </c>
      <c r="F515" s="28">
        <f>SUM(F516:F516)+1000</f>
        <v>1000</v>
      </c>
      <c r="G515" s="28">
        <f t="shared" ref="G515:N515" si="235">SUM(G516:G516)</f>
        <v>0</v>
      </c>
      <c r="H515" s="28">
        <f t="shared" si="235"/>
        <v>0</v>
      </c>
      <c r="I515" s="28">
        <f t="shared" si="235"/>
        <v>0</v>
      </c>
      <c r="J515" s="28">
        <f t="shared" si="235"/>
        <v>0</v>
      </c>
      <c r="K515" s="28">
        <f t="shared" si="235"/>
        <v>0</v>
      </c>
      <c r="L515" s="28">
        <f t="shared" si="235"/>
        <v>0</v>
      </c>
      <c r="M515" s="28">
        <f t="shared" si="235"/>
        <v>0</v>
      </c>
      <c r="N515" s="28">
        <f t="shared" si="235"/>
        <v>0</v>
      </c>
      <c r="O515" s="28">
        <f>SUM(O516:O516)+1000</f>
        <v>1000</v>
      </c>
      <c r="P515" s="27" t="s">
        <v>1338</v>
      </c>
      <c r="Q515" s="29" t="s">
        <v>35</v>
      </c>
      <c r="R515" s="30" t="s">
        <v>48</v>
      </c>
    </row>
    <row r="516" spans="1:18" ht="93" x14ac:dyDescent="0.25">
      <c r="A516" s="25" t="s">
        <v>1339</v>
      </c>
      <c r="B516" s="26" t="s">
        <v>1340</v>
      </c>
      <c r="C516" s="27"/>
      <c r="D516" s="27"/>
      <c r="E516" s="27"/>
      <c r="F516" s="31">
        <v>0</v>
      </c>
      <c r="G516" s="31">
        <v>0</v>
      </c>
      <c r="H516" s="31">
        <v>0</v>
      </c>
      <c r="I516" s="31">
        <v>0</v>
      </c>
      <c r="J516" s="31">
        <v>0</v>
      </c>
      <c r="K516" s="31">
        <v>0</v>
      </c>
      <c r="L516" s="31">
        <v>0</v>
      </c>
      <c r="M516" s="31">
        <v>0</v>
      </c>
      <c r="N516" s="31">
        <v>0</v>
      </c>
      <c r="O516" s="31">
        <v>0</v>
      </c>
      <c r="P516" s="27"/>
      <c r="Q516" s="29"/>
      <c r="R516" s="30"/>
    </row>
    <row r="517" spans="1:18" ht="112.5" x14ac:dyDescent="0.25">
      <c r="A517" s="19" t="s">
        <v>1341</v>
      </c>
      <c r="B517" s="20" t="s">
        <v>1342</v>
      </c>
      <c r="C517" s="21" t="s">
        <v>633</v>
      </c>
      <c r="D517" s="21" t="s">
        <v>634</v>
      </c>
      <c r="E517" s="21" t="s">
        <v>33</v>
      </c>
      <c r="F517" s="22">
        <f t="shared" ref="F517:O517" si="236">SUM(F518:F518)</f>
        <v>1000</v>
      </c>
      <c r="G517" s="22">
        <f t="shared" si="236"/>
        <v>0</v>
      </c>
      <c r="H517" s="22">
        <f t="shared" si="236"/>
        <v>0</v>
      </c>
      <c r="I517" s="22">
        <f t="shared" si="236"/>
        <v>0</v>
      </c>
      <c r="J517" s="22">
        <f t="shared" si="236"/>
        <v>0</v>
      </c>
      <c r="K517" s="22">
        <f t="shared" si="236"/>
        <v>0</v>
      </c>
      <c r="L517" s="22">
        <f t="shared" si="236"/>
        <v>0</v>
      </c>
      <c r="M517" s="22">
        <f t="shared" si="236"/>
        <v>0</v>
      </c>
      <c r="N517" s="22">
        <f t="shared" si="236"/>
        <v>0</v>
      </c>
      <c r="O517" s="22">
        <f t="shared" si="236"/>
        <v>1000</v>
      </c>
      <c r="P517" s="21" t="s">
        <v>1343</v>
      </c>
      <c r="Q517" s="23" t="s">
        <v>35</v>
      </c>
      <c r="R517" s="24" t="s">
        <v>144</v>
      </c>
    </row>
    <row r="518" spans="1:18" ht="93" x14ac:dyDescent="0.25">
      <c r="A518" s="25" t="s">
        <v>1344</v>
      </c>
      <c r="B518" s="26" t="s">
        <v>1345</v>
      </c>
      <c r="C518" s="27" t="s">
        <v>633</v>
      </c>
      <c r="D518" s="27" t="s">
        <v>634</v>
      </c>
      <c r="E518" s="27" t="s">
        <v>16</v>
      </c>
      <c r="F518" s="28">
        <f>SUM(F519:F519)+1000</f>
        <v>1000</v>
      </c>
      <c r="G518" s="28">
        <f t="shared" ref="G518:N518" si="237">SUM(G519:G519)</f>
        <v>0</v>
      </c>
      <c r="H518" s="28">
        <f t="shared" si="237"/>
        <v>0</v>
      </c>
      <c r="I518" s="28">
        <f t="shared" si="237"/>
        <v>0</v>
      </c>
      <c r="J518" s="28">
        <f t="shared" si="237"/>
        <v>0</v>
      </c>
      <c r="K518" s="28">
        <f t="shared" si="237"/>
        <v>0</v>
      </c>
      <c r="L518" s="28">
        <f t="shared" si="237"/>
        <v>0</v>
      </c>
      <c r="M518" s="28">
        <f t="shared" si="237"/>
        <v>0</v>
      </c>
      <c r="N518" s="28">
        <f t="shared" si="237"/>
        <v>0</v>
      </c>
      <c r="O518" s="28">
        <f>SUM(O519:O519)+1000</f>
        <v>1000</v>
      </c>
      <c r="P518" s="27" t="s">
        <v>1346</v>
      </c>
      <c r="Q518" s="29" t="s">
        <v>35</v>
      </c>
      <c r="R518" s="30" t="s">
        <v>66</v>
      </c>
    </row>
    <row r="519" spans="1:18" ht="69.75" x14ac:dyDescent="0.25">
      <c r="A519" s="25" t="s">
        <v>1347</v>
      </c>
      <c r="B519" s="26" t="s">
        <v>1348</v>
      </c>
      <c r="C519" s="27"/>
      <c r="D519" s="27"/>
      <c r="E519" s="27"/>
      <c r="F519" s="31">
        <v>0</v>
      </c>
      <c r="G519" s="31">
        <v>0</v>
      </c>
      <c r="H519" s="31">
        <v>0</v>
      </c>
      <c r="I519" s="31">
        <v>0</v>
      </c>
      <c r="J519" s="31">
        <v>0</v>
      </c>
      <c r="K519" s="31">
        <v>0</v>
      </c>
      <c r="L519" s="31">
        <v>0</v>
      </c>
      <c r="M519" s="31">
        <v>0</v>
      </c>
      <c r="N519" s="31">
        <v>0</v>
      </c>
      <c r="O519" s="31">
        <v>0</v>
      </c>
      <c r="P519" s="27"/>
      <c r="Q519" s="29"/>
      <c r="R519" s="30"/>
    </row>
    <row r="520" spans="1:18" ht="90" x14ac:dyDescent="0.25">
      <c r="A520" s="13" t="s">
        <v>1349</v>
      </c>
      <c r="B520" s="14" t="s">
        <v>1350</v>
      </c>
      <c r="C520" s="15" t="s">
        <v>633</v>
      </c>
      <c r="D520" s="15" t="s">
        <v>634</v>
      </c>
      <c r="E520" s="15"/>
      <c r="F520" s="16">
        <f t="shared" ref="F520:O520" si="238">F521+F526</f>
        <v>10000</v>
      </c>
      <c r="G520" s="16">
        <f t="shared" si="238"/>
        <v>10000</v>
      </c>
      <c r="H520" s="16">
        <f t="shared" si="238"/>
        <v>0</v>
      </c>
      <c r="I520" s="16">
        <f t="shared" si="238"/>
        <v>0</v>
      </c>
      <c r="J520" s="16">
        <f t="shared" si="238"/>
        <v>0</v>
      </c>
      <c r="K520" s="16">
        <f t="shared" si="238"/>
        <v>0</v>
      </c>
      <c r="L520" s="16">
        <f t="shared" si="238"/>
        <v>0</v>
      </c>
      <c r="M520" s="16">
        <f t="shared" si="238"/>
        <v>0</v>
      </c>
      <c r="N520" s="16">
        <f t="shared" si="238"/>
        <v>0</v>
      </c>
      <c r="O520" s="16">
        <f t="shared" si="238"/>
        <v>0</v>
      </c>
      <c r="P520" s="15" t="s">
        <v>1351</v>
      </c>
      <c r="Q520" s="17" t="s">
        <v>1352</v>
      </c>
      <c r="R520" s="18" t="s">
        <v>1353</v>
      </c>
    </row>
    <row r="521" spans="1:18" ht="135" x14ac:dyDescent="0.25">
      <c r="A521" s="19" t="s">
        <v>1354</v>
      </c>
      <c r="B521" s="20" t="s">
        <v>1355</v>
      </c>
      <c r="C521" s="21" t="s">
        <v>633</v>
      </c>
      <c r="D521" s="21" t="s">
        <v>634</v>
      </c>
      <c r="E521" s="21" t="s">
        <v>33</v>
      </c>
      <c r="F521" s="22">
        <f t="shared" ref="F521:O521" si="239">SUM(F522:F522)</f>
        <v>3500</v>
      </c>
      <c r="G521" s="22">
        <f t="shared" si="239"/>
        <v>3500</v>
      </c>
      <c r="H521" s="22">
        <f t="shared" si="239"/>
        <v>0</v>
      </c>
      <c r="I521" s="22">
        <f t="shared" si="239"/>
        <v>0</v>
      </c>
      <c r="J521" s="22">
        <f t="shared" si="239"/>
        <v>0</v>
      </c>
      <c r="K521" s="22">
        <f t="shared" si="239"/>
        <v>0</v>
      </c>
      <c r="L521" s="22">
        <f t="shared" si="239"/>
        <v>0</v>
      </c>
      <c r="M521" s="22">
        <f t="shared" si="239"/>
        <v>0</v>
      </c>
      <c r="N521" s="22">
        <f t="shared" si="239"/>
        <v>0</v>
      </c>
      <c r="O521" s="22">
        <f t="shared" si="239"/>
        <v>0</v>
      </c>
      <c r="P521" s="21" t="s">
        <v>1343</v>
      </c>
      <c r="Q521" s="23" t="s">
        <v>35</v>
      </c>
      <c r="R521" s="24" t="s">
        <v>144</v>
      </c>
    </row>
    <row r="522" spans="1:18" ht="93" x14ac:dyDescent="0.25">
      <c r="A522" s="25" t="s">
        <v>1356</v>
      </c>
      <c r="B522" s="26" t="s">
        <v>1357</v>
      </c>
      <c r="C522" s="27" t="s">
        <v>633</v>
      </c>
      <c r="D522" s="27" t="s">
        <v>634</v>
      </c>
      <c r="E522" s="27" t="s">
        <v>1358</v>
      </c>
      <c r="F522" s="28">
        <f>SUM(F523:F525)+3500</f>
        <v>3500</v>
      </c>
      <c r="G522" s="28">
        <f>SUM(G523:G525)+3500</f>
        <v>3500</v>
      </c>
      <c r="H522" s="28">
        <f t="shared" ref="H522:O522" si="240">SUM(H523:H525)</f>
        <v>0</v>
      </c>
      <c r="I522" s="28">
        <f t="shared" si="240"/>
        <v>0</v>
      </c>
      <c r="J522" s="28">
        <f t="shared" si="240"/>
        <v>0</v>
      </c>
      <c r="K522" s="28">
        <f t="shared" si="240"/>
        <v>0</v>
      </c>
      <c r="L522" s="28">
        <f t="shared" si="240"/>
        <v>0</v>
      </c>
      <c r="M522" s="28">
        <f t="shared" si="240"/>
        <v>0</v>
      </c>
      <c r="N522" s="28">
        <f t="shared" si="240"/>
        <v>0</v>
      </c>
      <c r="O522" s="28">
        <f t="shared" si="240"/>
        <v>0</v>
      </c>
      <c r="P522" s="27" t="s">
        <v>1359</v>
      </c>
      <c r="Q522" s="29" t="s">
        <v>35</v>
      </c>
      <c r="R522" s="30" t="s">
        <v>150</v>
      </c>
    </row>
    <row r="523" spans="1:18" x14ac:dyDescent="0.25">
      <c r="A523" s="32"/>
      <c r="B523" s="33"/>
      <c r="C523" s="34"/>
      <c r="D523" s="34"/>
      <c r="E523" s="34"/>
      <c r="F523" s="35">
        <v>0</v>
      </c>
      <c r="G523" s="35">
        <v>0</v>
      </c>
      <c r="H523" s="35">
        <v>0</v>
      </c>
      <c r="I523" s="35">
        <v>0</v>
      </c>
      <c r="J523" s="35">
        <v>0</v>
      </c>
      <c r="K523" s="35">
        <v>0</v>
      </c>
      <c r="L523" s="35">
        <v>0</v>
      </c>
      <c r="M523" s="35">
        <v>0</v>
      </c>
      <c r="N523" s="35">
        <v>0</v>
      </c>
      <c r="O523" s="35">
        <v>0</v>
      </c>
      <c r="P523" s="34" t="s">
        <v>1360</v>
      </c>
      <c r="Q523" s="36" t="s">
        <v>35</v>
      </c>
      <c r="R523" s="37" t="s">
        <v>150</v>
      </c>
    </row>
    <row r="524" spans="1:18" ht="93" x14ac:dyDescent="0.25">
      <c r="A524" s="25" t="s">
        <v>1361</v>
      </c>
      <c r="B524" s="26" t="s">
        <v>1362</v>
      </c>
      <c r="C524" s="27"/>
      <c r="D524" s="27"/>
      <c r="E524" s="27"/>
      <c r="F524" s="31">
        <v>0</v>
      </c>
      <c r="G524" s="31">
        <v>0</v>
      </c>
      <c r="H524" s="31">
        <v>0</v>
      </c>
      <c r="I524" s="31">
        <v>0</v>
      </c>
      <c r="J524" s="31">
        <v>0</v>
      </c>
      <c r="K524" s="31">
        <v>0</v>
      </c>
      <c r="L524" s="31">
        <v>0</v>
      </c>
      <c r="M524" s="31">
        <v>0</v>
      </c>
      <c r="N524" s="31">
        <v>0</v>
      </c>
      <c r="O524" s="31">
        <v>0</v>
      </c>
      <c r="P524" s="27"/>
      <c r="Q524" s="29"/>
      <c r="R524" s="30"/>
    </row>
    <row r="525" spans="1:18" ht="69.75" x14ac:dyDescent="0.25">
      <c r="A525" s="25" t="s">
        <v>1363</v>
      </c>
      <c r="B525" s="26" t="s">
        <v>1364</v>
      </c>
      <c r="C525" s="27"/>
      <c r="D525" s="27"/>
      <c r="E525" s="27"/>
      <c r="F525" s="31">
        <v>0</v>
      </c>
      <c r="G525" s="31">
        <v>0</v>
      </c>
      <c r="H525" s="31">
        <v>0</v>
      </c>
      <c r="I525" s="31">
        <v>0</v>
      </c>
      <c r="J525" s="31">
        <v>0</v>
      </c>
      <c r="K525" s="31">
        <v>0</v>
      </c>
      <c r="L525" s="31">
        <v>0</v>
      </c>
      <c r="M525" s="31">
        <v>0</v>
      </c>
      <c r="N525" s="31">
        <v>0</v>
      </c>
      <c r="O525" s="31">
        <v>0</v>
      </c>
      <c r="P525" s="27"/>
      <c r="Q525" s="29"/>
      <c r="R525" s="30"/>
    </row>
    <row r="526" spans="1:18" ht="112.5" x14ac:dyDescent="0.25">
      <c r="A526" s="19" t="s">
        <v>1365</v>
      </c>
      <c r="B526" s="20" t="s">
        <v>1366</v>
      </c>
      <c r="C526" s="21" t="s">
        <v>633</v>
      </c>
      <c r="D526" s="21" t="s">
        <v>634</v>
      </c>
      <c r="E526" s="21" t="s">
        <v>33</v>
      </c>
      <c r="F526" s="22">
        <f t="shared" ref="F526:O526" si="241">SUM(F527:F527)</f>
        <v>6500</v>
      </c>
      <c r="G526" s="22">
        <f t="shared" si="241"/>
        <v>6500</v>
      </c>
      <c r="H526" s="22">
        <f t="shared" si="241"/>
        <v>0</v>
      </c>
      <c r="I526" s="22">
        <f t="shared" si="241"/>
        <v>0</v>
      </c>
      <c r="J526" s="22">
        <f t="shared" si="241"/>
        <v>0</v>
      </c>
      <c r="K526" s="22">
        <f t="shared" si="241"/>
        <v>0</v>
      </c>
      <c r="L526" s="22">
        <f t="shared" si="241"/>
        <v>0</v>
      </c>
      <c r="M526" s="22">
        <f t="shared" si="241"/>
        <v>0</v>
      </c>
      <c r="N526" s="22">
        <f t="shared" si="241"/>
        <v>0</v>
      </c>
      <c r="O526" s="22">
        <f t="shared" si="241"/>
        <v>0</v>
      </c>
      <c r="P526" s="21" t="s">
        <v>1367</v>
      </c>
      <c r="Q526" s="23" t="s">
        <v>35</v>
      </c>
      <c r="R526" s="24" t="s">
        <v>68</v>
      </c>
    </row>
    <row r="527" spans="1:18" ht="93" x14ac:dyDescent="0.25">
      <c r="A527" s="25" t="s">
        <v>1368</v>
      </c>
      <c r="B527" s="26" t="s">
        <v>1369</v>
      </c>
      <c r="C527" s="27" t="s">
        <v>633</v>
      </c>
      <c r="D527" s="27" t="s">
        <v>634</v>
      </c>
      <c r="E527" s="27" t="s">
        <v>1358</v>
      </c>
      <c r="F527" s="28">
        <f>SUM(F528:F531)+6500</f>
        <v>6500</v>
      </c>
      <c r="G527" s="28">
        <f>SUM(G528:G531)+6500</f>
        <v>6500</v>
      </c>
      <c r="H527" s="28">
        <f t="shared" ref="H527:O527" si="242">SUM(H528:H531)</f>
        <v>0</v>
      </c>
      <c r="I527" s="28">
        <f t="shared" si="242"/>
        <v>0</v>
      </c>
      <c r="J527" s="28">
        <f t="shared" si="242"/>
        <v>0</v>
      </c>
      <c r="K527" s="28">
        <f t="shared" si="242"/>
        <v>0</v>
      </c>
      <c r="L527" s="28">
        <f t="shared" si="242"/>
        <v>0</v>
      </c>
      <c r="M527" s="28">
        <f t="shared" si="242"/>
        <v>0</v>
      </c>
      <c r="N527" s="28">
        <f t="shared" si="242"/>
        <v>0</v>
      </c>
      <c r="O527" s="28">
        <f t="shared" si="242"/>
        <v>0</v>
      </c>
      <c r="P527" s="27" t="s">
        <v>1370</v>
      </c>
      <c r="Q527" s="29" t="s">
        <v>35</v>
      </c>
      <c r="R527" s="30" t="s">
        <v>68</v>
      </c>
    </row>
    <row r="528" spans="1:18" ht="46.5" x14ac:dyDescent="0.25">
      <c r="A528" s="32"/>
      <c r="B528" s="33"/>
      <c r="C528" s="34"/>
      <c r="D528" s="34"/>
      <c r="E528" s="34"/>
      <c r="F528" s="35">
        <v>0</v>
      </c>
      <c r="G528" s="35">
        <v>0</v>
      </c>
      <c r="H528" s="35">
        <v>0</v>
      </c>
      <c r="I528" s="35">
        <v>0</v>
      </c>
      <c r="J528" s="35">
        <v>0</v>
      </c>
      <c r="K528" s="35">
        <v>0</v>
      </c>
      <c r="L528" s="35">
        <v>0</v>
      </c>
      <c r="M528" s="35">
        <v>0</v>
      </c>
      <c r="N528" s="35">
        <v>0</v>
      </c>
      <c r="O528" s="35">
        <v>0</v>
      </c>
      <c r="P528" s="34" t="s">
        <v>1371</v>
      </c>
      <c r="Q528" s="36" t="s">
        <v>35</v>
      </c>
      <c r="R528" s="37" t="s">
        <v>196</v>
      </c>
    </row>
    <row r="529" spans="1:18" ht="46.5" x14ac:dyDescent="0.25">
      <c r="A529" s="25" t="s">
        <v>1372</v>
      </c>
      <c r="B529" s="26" t="s">
        <v>1373</v>
      </c>
      <c r="C529" s="27"/>
      <c r="D529" s="27"/>
      <c r="E529" s="27"/>
      <c r="F529" s="31">
        <v>0</v>
      </c>
      <c r="G529" s="31">
        <v>0</v>
      </c>
      <c r="H529" s="31">
        <v>0</v>
      </c>
      <c r="I529" s="31">
        <v>0</v>
      </c>
      <c r="J529" s="31">
        <v>0</v>
      </c>
      <c r="K529" s="31">
        <v>0</v>
      </c>
      <c r="L529" s="31">
        <v>0</v>
      </c>
      <c r="M529" s="31">
        <v>0</v>
      </c>
      <c r="N529" s="31">
        <v>0</v>
      </c>
      <c r="O529" s="31">
        <v>0</v>
      </c>
      <c r="P529" s="27"/>
      <c r="Q529" s="29"/>
      <c r="R529" s="30"/>
    </row>
    <row r="530" spans="1:18" ht="69.75" x14ac:dyDescent="0.25">
      <c r="A530" s="25" t="s">
        <v>1374</v>
      </c>
      <c r="B530" s="26" t="s">
        <v>1375</v>
      </c>
      <c r="C530" s="27"/>
      <c r="D530" s="27"/>
      <c r="E530" s="27"/>
      <c r="F530" s="31">
        <v>0</v>
      </c>
      <c r="G530" s="31">
        <v>0</v>
      </c>
      <c r="H530" s="31">
        <v>0</v>
      </c>
      <c r="I530" s="31">
        <v>0</v>
      </c>
      <c r="J530" s="31">
        <v>0</v>
      </c>
      <c r="K530" s="31">
        <v>0</v>
      </c>
      <c r="L530" s="31">
        <v>0</v>
      </c>
      <c r="M530" s="31">
        <v>0</v>
      </c>
      <c r="N530" s="31">
        <v>0</v>
      </c>
      <c r="O530" s="31">
        <v>0</v>
      </c>
      <c r="P530" s="27"/>
      <c r="Q530" s="29"/>
      <c r="R530" s="30"/>
    </row>
    <row r="531" spans="1:18" ht="46.5" x14ac:dyDescent="0.25">
      <c r="A531" s="25" t="s">
        <v>1376</v>
      </c>
      <c r="B531" s="26" t="s">
        <v>1377</v>
      </c>
      <c r="C531" s="27"/>
      <c r="D531" s="27"/>
      <c r="E531" s="27"/>
      <c r="F531" s="31">
        <v>0</v>
      </c>
      <c r="G531" s="31">
        <v>0</v>
      </c>
      <c r="H531" s="31">
        <v>0</v>
      </c>
      <c r="I531" s="31">
        <v>0</v>
      </c>
      <c r="J531" s="31">
        <v>0</v>
      </c>
      <c r="K531" s="31">
        <v>0</v>
      </c>
      <c r="L531" s="31">
        <v>0</v>
      </c>
      <c r="M531" s="31">
        <v>0</v>
      </c>
      <c r="N531" s="31">
        <v>0</v>
      </c>
      <c r="O531" s="31">
        <v>0</v>
      </c>
      <c r="P531" s="27"/>
      <c r="Q531" s="29"/>
      <c r="R531" s="30"/>
    </row>
    <row r="532" spans="1:18" ht="90" x14ac:dyDescent="0.25">
      <c r="A532" s="13" t="s">
        <v>1378</v>
      </c>
      <c r="B532" s="14" t="s">
        <v>1379</v>
      </c>
      <c r="C532" s="15" t="s">
        <v>633</v>
      </c>
      <c r="D532" s="15" t="s">
        <v>634</v>
      </c>
      <c r="E532" s="15"/>
      <c r="F532" s="16">
        <f t="shared" ref="F532:O532" si="243">F533+F540</f>
        <v>75000</v>
      </c>
      <c r="G532" s="16">
        <f t="shared" si="243"/>
        <v>68000</v>
      </c>
      <c r="H532" s="16">
        <f t="shared" si="243"/>
        <v>0</v>
      </c>
      <c r="I532" s="16">
        <f t="shared" si="243"/>
        <v>0</v>
      </c>
      <c r="J532" s="16">
        <f t="shared" si="243"/>
        <v>0</v>
      </c>
      <c r="K532" s="16">
        <f t="shared" si="243"/>
        <v>0</v>
      </c>
      <c r="L532" s="16">
        <f t="shared" si="243"/>
        <v>0</v>
      </c>
      <c r="M532" s="16">
        <f t="shared" si="243"/>
        <v>0</v>
      </c>
      <c r="N532" s="16">
        <f t="shared" si="243"/>
        <v>0</v>
      </c>
      <c r="O532" s="16">
        <f t="shared" si="243"/>
        <v>7000</v>
      </c>
      <c r="P532" s="15" t="s">
        <v>1380</v>
      </c>
      <c r="Q532" s="17" t="s">
        <v>29</v>
      </c>
      <c r="R532" s="18" t="s">
        <v>1381</v>
      </c>
    </row>
    <row r="533" spans="1:18" ht="112.5" x14ac:dyDescent="0.25">
      <c r="A533" s="19" t="s">
        <v>1382</v>
      </c>
      <c r="B533" s="20" t="s">
        <v>1383</v>
      </c>
      <c r="C533" s="21" t="s">
        <v>633</v>
      </c>
      <c r="D533" s="21" t="s">
        <v>634</v>
      </c>
      <c r="E533" s="21" t="s">
        <v>33</v>
      </c>
      <c r="F533" s="22">
        <f t="shared" ref="F533:O533" si="244">SUM(F534:F534)</f>
        <v>38000</v>
      </c>
      <c r="G533" s="22">
        <f t="shared" si="244"/>
        <v>38000</v>
      </c>
      <c r="H533" s="22">
        <f t="shared" si="244"/>
        <v>0</v>
      </c>
      <c r="I533" s="22">
        <f t="shared" si="244"/>
        <v>0</v>
      </c>
      <c r="J533" s="22">
        <f t="shared" si="244"/>
        <v>0</v>
      </c>
      <c r="K533" s="22">
        <f t="shared" si="244"/>
        <v>0</v>
      </c>
      <c r="L533" s="22">
        <f t="shared" si="244"/>
        <v>0</v>
      </c>
      <c r="M533" s="22">
        <f t="shared" si="244"/>
        <v>0</v>
      </c>
      <c r="N533" s="22">
        <f t="shared" si="244"/>
        <v>0</v>
      </c>
      <c r="O533" s="22">
        <f t="shared" si="244"/>
        <v>0</v>
      </c>
      <c r="P533" s="21" t="s">
        <v>1384</v>
      </c>
      <c r="Q533" s="23" t="s">
        <v>29</v>
      </c>
      <c r="R533" s="24" t="s">
        <v>156</v>
      </c>
    </row>
    <row r="534" spans="1:18" ht="69.75" x14ac:dyDescent="0.25">
      <c r="A534" s="25" t="s">
        <v>1385</v>
      </c>
      <c r="B534" s="26" t="s">
        <v>1386</v>
      </c>
      <c r="C534" s="27" t="s">
        <v>633</v>
      </c>
      <c r="D534" s="27"/>
      <c r="E534" s="27" t="s">
        <v>40</v>
      </c>
      <c r="F534" s="28">
        <f>SUM(F535:F539)+38000</f>
        <v>38000</v>
      </c>
      <c r="G534" s="28">
        <f>SUM(G535:G539)+38000</f>
        <v>38000</v>
      </c>
      <c r="H534" s="28">
        <f t="shared" ref="H534:O534" si="245">SUM(H535:H539)</f>
        <v>0</v>
      </c>
      <c r="I534" s="28">
        <f t="shared" si="245"/>
        <v>0</v>
      </c>
      <c r="J534" s="28">
        <f t="shared" si="245"/>
        <v>0</v>
      </c>
      <c r="K534" s="28">
        <f t="shared" si="245"/>
        <v>0</v>
      </c>
      <c r="L534" s="28">
        <f t="shared" si="245"/>
        <v>0</v>
      </c>
      <c r="M534" s="28">
        <f t="shared" si="245"/>
        <v>0</v>
      </c>
      <c r="N534" s="28">
        <f t="shared" si="245"/>
        <v>0</v>
      </c>
      <c r="O534" s="28">
        <f t="shared" si="245"/>
        <v>0</v>
      </c>
      <c r="P534" s="27" t="s">
        <v>1387</v>
      </c>
      <c r="Q534" s="29" t="s">
        <v>35</v>
      </c>
      <c r="R534" s="30" t="s">
        <v>88</v>
      </c>
    </row>
    <row r="535" spans="1:18" ht="46.5" x14ac:dyDescent="0.25">
      <c r="A535" s="32"/>
      <c r="B535" s="33"/>
      <c r="C535" s="34"/>
      <c r="D535" s="34"/>
      <c r="E535" s="34"/>
      <c r="F535" s="35">
        <v>0</v>
      </c>
      <c r="G535" s="35">
        <v>0</v>
      </c>
      <c r="H535" s="35">
        <v>0</v>
      </c>
      <c r="I535" s="35">
        <v>0</v>
      </c>
      <c r="J535" s="35">
        <v>0</v>
      </c>
      <c r="K535" s="35">
        <v>0</v>
      </c>
      <c r="L535" s="35">
        <v>0</v>
      </c>
      <c r="M535" s="35">
        <v>0</v>
      </c>
      <c r="N535" s="35">
        <v>0</v>
      </c>
      <c r="O535" s="35">
        <v>0</v>
      </c>
      <c r="P535" s="34" t="s">
        <v>1388</v>
      </c>
      <c r="Q535" s="36" t="s">
        <v>35</v>
      </c>
      <c r="R535" s="37" t="s">
        <v>88</v>
      </c>
    </row>
    <row r="536" spans="1:18" ht="69.75" x14ac:dyDescent="0.25">
      <c r="A536" s="25" t="s">
        <v>1389</v>
      </c>
      <c r="B536" s="26" t="s">
        <v>1390</v>
      </c>
      <c r="C536" s="27"/>
      <c r="D536" s="27"/>
      <c r="E536" s="27"/>
      <c r="F536" s="31">
        <v>0</v>
      </c>
      <c r="G536" s="31">
        <v>0</v>
      </c>
      <c r="H536" s="31">
        <v>0</v>
      </c>
      <c r="I536" s="31">
        <v>0</v>
      </c>
      <c r="J536" s="31">
        <v>0</v>
      </c>
      <c r="K536" s="31">
        <v>0</v>
      </c>
      <c r="L536" s="31">
        <v>0</v>
      </c>
      <c r="M536" s="31">
        <v>0</v>
      </c>
      <c r="N536" s="31">
        <v>0</v>
      </c>
      <c r="O536" s="31">
        <v>0</v>
      </c>
      <c r="P536" s="27"/>
      <c r="Q536" s="29"/>
      <c r="R536" s="30"/>
    </row>
    <row r="537" spans="1:18" ht="46.5" x14ac:dyDescent="0.25">
      <c r="A537" s="25" t="s">
        <v>1391</v>
      </c>
      <c r="B537" s="26" t="s">
        <v>1392</v>
      </c>
      <c r="C537" s="27"/>
      <c r="D537" s="27"/>
      <c r="E537" s="27"/>
      <c r="F537" s="31">
        <v>0</v>
      </c>
      <c r="G537" s="31">
        <v>0</v>
      </c>
      <c r="H537" s="31">
        <v>0</v>
      </c>
      <c r="I537" s="31">
        <v>0</v>
      </c>
      <c r="J537" s="31">
        <v>0</v>
      </c>
      <c r="K537" s="31">
        <v>0</v>
      </c>
      <c r="L537" s="31">
        <v>0</v>
      </c>
      <c r="M537" s="31">
        <v>0</v>
      </c>
      <c r="N537" s="31">
        <v>0</v>
      </c>
      <c r="O537" s="31">
        <v>0</v>
      </c>
      <c r="P537" s="27"/>
      <c r="Q537" s="29"/>
      <c r="R537" s="30"/>
    </row>
    <row r="538" spans="1:18" ht="93" x14ac:dyDescent="0.25">
      <c r="A538" s="25" t="s">
        <v>1393</v>
      </c>
      <c r="B538" s="26" t="s">
        <v>1394</v>
      </c>
      <c r="C538" s="27"/>
      <c r="D538" s="27"/>
      <c r="E538" s="27"/>
      <c r="F538" s="31">
        <v>0</v>
      </c>
      <c r="G538" s="31">
        <v>0</v>
      </c>
      <c r="H538" s="31">
        <v>0</v>
      </c>
      <c r="I538" s="31">
        <v>0</v>
      </c>
      <c r="J538" s="31">
        <v>0</v>
      </c>
      <c r="K538" s="31">
        <v>0</v>
      </c>
      <c r="L538" s="31">
        <v>0</v>
      </c>
      <c r="M538" s="31">
        <v>0</v>
      </c>
      <c r="N538" s="31">
        <v>0</v>
      </c>
      <c r="O538" s="31">
        <v>0</v>
      </c>
      <c r="P538" s="27"/>
      <c r="Q538" s="29"/>
      <c r="R538" s="30"/>
    </row>
    <row r="539" spans="1:18" ht="93" x14ac:dyDescent="0.25">
      <c r="A539" s="25" t="s">
        <v>1395</v>
      </c>
      <c r="B539" s="26" t="s">
        <v>1396</v>
      </c>
      <c r="C539" s="27"/>
      <c r="D539" s="27"/>
      <c r="E539" s="27"/>
      <c r="F539" s="31">
        <v>0</v>
      </c>
      <c r="G539" s="31">
        <v>0</v>
      </c>
      <c r="H539" s="31">
        <v>0</v>
      </c>
      <c r="I539" s="31">
        <v>0</v>
      </c>
      <c r="J539" s="31">
        <v>0</v>
      </c>
      <c r="K539" s="31">
        <v>0</v>
      </c>
      <c r="L539" s="31">
        <v>0</v>
      </c>
      <c r="M539" s="31">
        <v>0</v>
      </c>
      <c r="N539" s="31">
        <v>0</v>
      </c>
      <c r="O539" s="31">
        <v>0</v>
      </c>
      <c r="P539" s="27"/>
      <c r="Q539" s="29"/>
      <c r="R539" s="30"/>
    </row>
    <row r="540" spans="1:18" ht="67.5" x14ac:dyDescent="0.25">
      <c r="A540" s="19" t="s">
        <v>1397</v>
      </c>
      <c r="B540" s="20" t="s">
        <v>1398</v>
      </c>
      <c r="C540" s="21" t="s">
        <v>633</v>
      </c>
      <c r="D540" s="21" t="s">
        <v>634</v>
      </c>
      <c r="E540" s="21" t="s">
        <v>33</v>
      </c>
      <c r="F540" s="22">
        <f t="shared" ref="F540:O540" si="246">F541+F542+F549</f>
        <v>37000</v>
      </c>
      <c r="G540" s="22">
        <f t="shared" si="246"/>
        <v>30000</v>
      </c>
      <c r="H540" s="22">
        <f t="shared" si="246"/>
        <v>0</v>
      </c>
      <c r="I540" s="22">
        <f t="shared" si="246"/>
        <v>0</v>
      </c>
      <c r="J540" s="22">
        <f t="shared" si="246"/>
        <v>0</v>
      </c>
      <c r="K540" s="22">
        <f t="shared" si="246"/>
        <v>0</v>
      </c>
      <c r="L540" s="22">
        <f t="shared" si="246"/>
        <v>0</v>
      </c>
      <c r="M540" s="22">
        <f t="shared" si="246"/>
        <v>0</v>
      </c>
      <c r="N540" s="22">
        <f t="shared" si="246"/>
        <v>0</v>
      </c>
      <c r="O540" s="22">
        <f t="shared" si="246"/>
        <v>7000</v>
      </c>
      <c r="P540" s="21" t="s">
        <v>1399</v>
      </c>
      <c r="Q540" s="23" t="s">
        <v>35</v>
      </c>
      <c r="R540" s="24" t="s">
        <v>1055</v>
      </c>
    </row>
    <row r="541" spans="1:18" ht="46.5" x14ac:dyDescent="0.25">
      <c r="A541" s="32"/>
      <c r="B541" s="33"/>
      <c r="C541" s="34"/>
      <c r="D541" s="34"/>
      <c r="E541" s="34"/>
      <c r="F541" s="35">
        <v>0</v>
      </c>
      <c r="G541" s="35">
        <v>0</v>
      </c>
      <c r="H541" s="35">
        <v>0</v>
      </c>
      <c r="I541" s="35">
        <v>0</v>
      </c>
      <c r="J541" s="35">
        <v>0</v>
      </c>
      <c r="K541" s="35">
        <v>0</v>
      </c>
      <c r="L541" s="35">
        <v>0</v>
      </c>
      <c r="M541" s="35">
        <v>0</v>
      </c>
      <c r="N541" s="35">
        <v>0</v>
      </c>
      <c r="O541" s="35">
        <v>0</v>
      </c>
      <c r="P541" s="34" t="s">
        <v>1400</v>
      </c>
      <c r="Q541" s="36" t="s">
        <v>35</v>
      </c>
      <c r="R541" s="37" t="s">
        <v>1401</v>
      </c>
    </row>
    <row r="542" spans="1:18" ht="116.25" x14ac:dyDescent="0.25">
      <c r="A542" s="25" t="s">
        <v>1402</v>
      </c>
      <c r="B542" s="26" t="s">
        <v>1403</v>
      </c>
      <c r="C542" s="27" t="s">
        <v>633</v>
      </c>
      <c r="D542" s="27" t="s">
        <v>634</v>
      </c>
      <c r="E542" s="27" t="s">
        <v>1358</v>
      </c>
      <c r="F542" s="28">
        <f>SUM(F543:F548)+34500</f>
        <v>34500</v>
      </c>
      <c r="G542" s="28">
        <f>SUM(G543:G548)+30000</f>
        <v>30000</v>
      </c>
      <c r="H542" s="28">
        <f t="shared" ref="H542:N542" si="247">SUM(H543:H548)</f>
        <v>0</v>
      </c>
      <c r="I542" s="28">
        <f t="shared" si="247"/>
        <v>0</v>
      </c>
      <c r="J542" s="28">
        <f t="shared" si="247"/>
        <v>0</v>
      </c>
      <c r="K542" s="28">
        <f t="shared" si="247"/>
        <v>0</v>
      </c>
      <c r="L542" s="28">
        <f t="shared" si="247"/>
        <v>0</v>
      </c>
      <c r="M542" s="28">
        <f t="shared" si="247"/>
        <v>0</v>
      </c>
      <c r="N542" s="28">
        <f t="shared" si="247"/>
        <v>0</v>
      </c>
      <c r="O542" s="28">
        <f>SUM(O543:O548)+4500</f>
        <v>4500</v>
      </c>
      <c r="P542" s="27" t="s">
        <v>1404</v>
      </c>
      <c r="Q542" s="29" t="s">
        <v>35</v>
      </c>
      <c r="R542" s="30" t="s">
        <v>88</v>
      </c>
    </row>
    <row r="543" spans="1:18" ht="46.5" x14ac:dyDescent="0.25">
      <c r="A543" s="32"/>
      <c r="B543" s="33"/>
      <c r="C543" s="34"/>
      <c r="D543" s="34"/>
      <c r="E543" s="34"/>
      <c r="F543" s="35">
        <v>0</v>
      </c>
      <c r="G543" s="35">
        <v>0</v>
      </c>
      <c r="H543" s="35">
        <v>0</v>
      </c>
      <c r="I543" s="35">
        <v>0</v>
      </c>
      <c r="J543" s="35">
        <v>0</v>
      </c>
      <c r="K543" s="35">
        <v>0</v>
      </c>
      <c r="L543" s="35">
        <v>0</v>
      </c>
      <c r="M543" s="35">
        <v>0</v>
      </c>
      <c r="N543" s="35">
        <v>0</v>
      </c>
      <c r="O543" s="35">
        <v>0</v>
      </c>
      <c r="P543" s="34" t="s">
        <v>1405</v>
      </c>
      <c r="Q543" s="36" t="s">
        <v>1406</v>
      </c>
      <c r="R543" s="37" t="s">
        <v>819</v>
      </c>
    </row>
    <row r="544" spans="1:18" x14ac:dyDescent="0.25">
      <c r="A544" s="32"/>
      <c r="B544" s="33"/>
      <c r="C544" s="34"/>
      <c r="D544" s="34"/>
      <c r="E544" s="34"/>
      <c r="F544" s="35">
        <v>0</v>
      </c>
      <c r="G544" s="35">
        <v>0</v>
      </c>
      <c r="H544" s="35">
        <v>0</v>
      </c>
      <c r="I544" s="35">
        <v>0</v>
      </c>
      <c r="J544" s="35">
        <v>0</v>
      </c>
      <c r="K544" s="35">
        <v>0</v>
      </c>
      <c r="L544" s="35">
        <v>0</v>
      </c>
      <c r="M544" s="35">
        <v>0</v>
      </c>
      <c r="N544" s="35">
        <v>0</v>
      </c>
      <c r="O544" s="35">
        <v>0</v>
      </c>
      <c r="P544" s="34" t="s">
        <v>1407</v>
      </c>
      <c r="Q544" s="36" t="s">
        <v>35</v>
      </c>
      <c r="R544" s="37" t="s">
        <v>88</v>
      </c>
    </row>
    <row r="545" spans="1:18" ht="46.5" x14ac:dyDescent="0.25">
      <c r="A545" s="32"/>
      <c r="B545" s="33"/>
      <c r="C545" s="34"/>
      <c r="D545" s="34"/>
      <c r="E545" s="34"/>
      <c r="F545" s="35">
        <v>0</v>
      </c>
      <c r="G545" s="35">
        <v>0</v>
      </c>
      <c r="H545" s="35">
        <v>0</v>
      </c>
      <c r="I545" s="35">
        <v>0</v>
      </c>
      <c r="J545" s="35">
        <v>0</v>
      </c>
      <c r="K545" s="35">
        <v>0</v>
      </c>
      <c r="L545" s="35">
        <v>0</v>
      </c>
      <c r="M545" s="35">
        <v>0</v>
      </c>
      <c r="N545" s="35">
        <v>0</v>
      </c>
      <c r="O545" s="35">
        <v>0</v>
      </c>
      <c r="P545" s="34" t="s">
        <v>1408</v>
      </c>
      <c r="Q545" s="36" t="s">
        <v>35</v>
      </c>
      <c r="R545" s="37" t="s">
        <v>68</v>
      </c>
    </row>
    <row r="546" spans="1:18" ht="69.75" x14ac:dyDescent="0.25">
      <c r="A546" s="25" t="s">
        <v>1409</v>
      </c>
      <c r="B546" s="26" t="s">
        <v>1410</v>
      </c>
      <c r="C546" s="27"/>
      <c r="D546" s="27"/>
      <c r="E546" s="27"/>
      <c r="F546" s="31">
        <v>0</v>
      </c>
      <c r="G546" s="31">
        <v>0</v>
      </c>
      <c r="H546" s="31">
        <v>0</v>
      </c>
      <c r="I546" s="31">
        <v>0</v>
      </c>
      <c r="J546" s="31">
        <v>0</v>
      </c>
      <c r="K546" s="31">
        <v>0</v>
      </c>
      <c r="L546" s="31">
        <v>0</v>
      </c>
      <c r="M546" s="31">
        <v>0</v>
      </c>
      <c r="N546" s="31">
        <v>0</v>
      </c>
      <c r="O546" s="31">
        <v>0</v>
      </c>
      <c r="P546" s="27"/>
      <c r="Q546" s="29"/>
      <c r="R546" s="30"/>
    </row>
    <row r="547" spans="1:18" ht="93" x14ac:dyDescent="0.25">
      <c r="A547" s="25" t="s">
        <v>1411</v>
      </c>
      <c r="B547" s="26" t="s">
        <v>1412</v>
      </c>
      <c r="C547" s="27"/>
      <c r="D547" s="27"/>
      <c r="E547" s="27"/>
      <c r="F547" s="31">
        <v>0</v>
      </c>
      <c r="G547" s="31">
        <v>0</v>
      </c>
      <c r="H547" s="31">
        <v>0</v>
      </c>
      <c r="I547" s="31">
        <v>0</v>
      </c>
      <c r="J547" s="31">
        <v>0</v>
      </c>
      <c r="K547" s="31">
        <v>0</v>
      </c>
      <c r="L547" s="31">
        <v>0</v>
      </c>
      <c r="M547" s="31">
        <v>0</v>
      </c>
      <c r="N547" s="31">
        <v>0</v>
      </c>
      <c r="O547" s="31">
        <v>0</v>
      </c>
      <c r="P547" s="27"/>
      <c r="Q547" s="29"/>
      <c r="R547" s="30"/>
    </row>
    <row r="548" spans="1:18" ht="93" x14ac:dyDescent="0.25">
      <c r="A548" s="25" t="s">
        <v>1413</v>
      </c>
      <c r="B548" s="26" t="s">
        <v>1414</v>
      </c>
      <c r="C548" s="27"/>
      <c r="D548" s="27"/>
      <c r="E548" s="27"/>
      <c r="F548" s="31">
        <v>0</v>
      </c>
      <c r="G548" s="31">
        <v>0</v>
      </c>
      <c r="H548" s="31">
        <v>0</v>
      </c>
      <c r="I548" s="31">
        <v>0</v>
      </c>
      <c r="J548" s="31">
        <v>0</v>
      </c>
      <c r="K548" s="31">
        <v>0</v>
      </c>
      <c r="L548" s="31">
        <v>0</v>
      </c>
      <c r="M548" s="31">
        <v>0</v>
      </c>
      <c r="N548" s="31">
        <v>0</v>
      </c>
      <c r="O548" s="31">
        <v>0</v>
      </c>
      <c r="P548" s="27"/>
      <c r="Q548" s="29"/>
      <c r="R548" s="30"/>
    </row>
    <row r="549" spans="1:18" ht="116.25" x14ac:dyDescent="0.25">
      <c r="A549" s="25" t="s">
        <v>1415</v>
      </c>
      <c r="B549" s="26" t="s">
        <v>1416</v>
      </c>
      <c r="C549" s="27" t="s">
        <v>633</v>
      </c>
      <c r="D549" s="27" t="s">
        <v>634</v>
      </c>
      <c r="E549" s="27" t="s">
        <v>40</v>
      </c>
      <c r="F549" s="28">
        <f>SUM(F550:F550)+2500</f>
        <v>2500</v>
      </c>
      <c r="G549" s="28">
        <f t="shared" ref="G549:N549" si="248">SUM(G550:G550)</f>
        <v>0</v>
      </c>
      <c r="H549" s="28">
        <f t="shared" si="248"/>
        <v>0</v>
      </c>
      <c r="I549" s="28">
        <f t="shared" si="248"/>
        <v>0</v>
      </c>
      <c r="J549" s="28">
        <f t="shared" si="248"/>
        <v>0</v>
      </c>
      <c r="K549" s="28">
        <f t="shared" si="248"/>
        <v>0</v>
      </c>
      <c r="L549" s="28">
        <f t="shared" si="248"/>
        <v>0</v>
      </c>
      <c r="M549" s="28">
        <f t="shared" si="248"/>
        <v>0</v>
      </c>
      <c r="N549" s="28">
        <f t="shared" si="248"/>
        <v>0</v>
      </c>
      <c r="O549" s="28">
        <f>SUM(O550:O550)+2500</f>
        <v>2500</v>
      </c>
      <c r="P549" s="27" t="s">
        <v>1417</v>
      </c>
      <c r="Q549" s="29" t="s">
        <v>35</v>
      </c>
      <c r="R549" s="30" t="s">
        <v>1418</v>
      </c>
    </row>
    <row r="550" spans="1:18" ht="69.75" x14ac:dyDescent="0.25">
      <c r="A550" s="25" t="s">
        <v>1419</v>
      </c>
      <c r="B550" s="26" t="s">
        <v>1420</v>
      </c>
      <c r="C550" s="27"/>
      <c r="D550" s="27"/>
      <c r="E550" s="27"/>
      <c r="F550" s="31">
        <v>0</v>
      </c>
      <c r="G550" s="31">
        <v>0</v>
      </c>
      <c r="H550" s="31">
        <v>0</v>
      </c>
      <c r="I550" s="31">
        <v>0</v>
      </c>
      <c r="J550" s="31">
        <v>0</v>
      </c>
      <c r="K550" s="31">
        <v>0</v>
      </c>
      <c r="L550" s="31">
        <v>0</v>
      </c>
      <c r="M550" s="31">
        <v>0</v>
      </c>
      <c r="N550" s="31">
        <v>0</v>
      </c>
      <c r="O550" s="31">
        <v>0</v>
      </c>
      <c r="P550" s="27"/>
      <c r="Q550" s="29"/>
      <c r="R550" s="30"/>
    </row>
    <row r="551" spans="1:18" ht="45" x14ac:dyDescent="0.25">
      <c r="A551" s="7" t="s">
        <v>1421</v>
      </c>
      <c r="B551" s="8" t="s">
        <v>1422</v>
      </c>
      <c r="C551" s="9" t="s">
        <v>1423</v>
      </c>
      <c r="D551" s="9" t="s">
        <v>1424</v>
      </c>
      <c r="E551" s="9"/>
      <c r="F551" s="10">
        <f t="shared" ref="F551:O551" si="249">F552+F599+F739+F758+F762+F771+F805+F814</f>
        <v>22492730.91</v>
      </c>
      <c r="G551" s="10">
        <f t="shared" si="249"/>
        <v>4639692.04</v>
      </c>
      <c r="H551" s="10">
        <f t="shared" si="249"/>
        <v>123732.82</v>
      </c>
      <c r="I551" s="10">
        <f t="shared" si="249"/>
        <v>0</v>
      </c>
      <c r="J551" s="10">
        <f t="shared" si="249"/>
        <v>2739874</v>
      </c>
      <c r="K551" s="10">
        <f t="shared" si="249"/>
        <v>0</v>
      </c>
      <c r="L551" s="10">
        <f t="shared" si="249"/>
        <v>1470781.5099999998</v>
      </c>
      <c r="M551" s="10">
        <f t="shared" si="249"/>
        <v>12608968.540000001</v>
      </c>
      <c r="N551" s="10">
        <f t="shared" si="249"/>
        <v>0</v>
      </c>
      <c r="O551" s="10">
        <f t="shared" si="249"/>
        <v>0</v>
      </c>
      <c r="P551" s="9"/>
      <c r="Q551" s="11"/>
      <c r="R551" s="12"/>
    </row>
    <row r="552" spans="1:18" ht="67.5" x14ac:dyDescent="0.25">
      <c r="A552" s="13" t="s">
        <v>1425</v>
      </c>
      <c r="B552" s="14" t="s">
        <v>496</v>
      </c>
      <c r="C552" s="15" t="s">
        <v>1423</v>
      </c>
      <c r="D552" s="15" t="s">
        <v>1426</v>
      </c>
      <c r="E552" s="15"/>
      <c r="F552" s="16">
        <f t="shared" ref="F552:O552" si="250">F553+F571+F580+F596</f>
        <v>2603185.13</v>
      </c>
      <c r="G552" s="16">
        <f t="shared" si="250"/>
        <v>1090868</v>
      </c>
      <c r="H552" s="16">
        <f t="shared" si="250"/>
        <v>11613.58</v>
      </c>
      <c r="I552" s="16">
        <f t="shared" si="250"/>
        <v>0</v>
      </c>
      <c r="J552" s="16">
        <f t="shared" si="250"/>
        <v>644000</v>
      </c>
      <c r="K552" s="16">
        <f t="shared" si="250"/>
        <v>0</v>
      </c>
      <c r="L552" s="16">
        <f t="shared" si="250"/>
        <v>0</v>
      </c>
      <c r="M552" s="16">
        <f t="shared" si="250"/>
        <v>856118.55</v>
      </c>
      <c r="N552" s="16">
        <f t="shared" si="250"/>
        <v>0</v>
      </c>
      <c r="O552" s="16">
        <f t="shared" si="250"/>
        <v>0</v>
      </c>
      <c r="P552" s="15" t="s">
        <v>497</v>
      </c>
      <c r="Q552" s="17" t="s">
        <v>29</v>
      </c>
      <c r="R552" s="18" t="s">
        <v>1208</v>
      </c>
    </row>
    <row r="553" spans="1:18" ht="45" x14ac:dyDescent="0.25">
      <c r="A553" s="19" t="s">
        <v>1427</v>
      </c>
      <c r="B553" s="20" t="s">
        <v>1428</v>
      </c>
      <c r="C553" s="21" t="s">
        <v>1423</v>
      </c>
      <c r="D553" s="21" t="s">
        <v>1426</v>
      </c>
      <c r="E553" s="21" t="s">
        <v>33</v>
      </c>
      <c r="F553" s="22">
        <f t="shared" ref="F553:O553" si="251">F554+F559+F561+F563+F567+F569</f>
        <v>1538713.58</v>
      </c>
      <c r="G553" s="22">
        <f t="shared" si="251"/>
        <v>878099</v>
      </c>
      <c r="H553" s="22">
        <f t="shared" si="251"/>
        <v>11613.58</v>
      </c>
      <c r="I553" s="22">
        <f t="shared" si="251"/>
        <v>0</v>
      </c>
      <c r="J553" s="22">
        <f t="shared" si="251"/>
        <v>641600</v>
      </c>
      <c r="K553" s="22">
        <f t="shared" si="251"/>
        <v>0</v>
      </c>
      <c r="L553" s="22">
        <f t="shared" si="251"/>
        <v>0</v>
      </c>
      <c r="M553" s="22">
        <f t="shared" si="251"/>
        <v>7401</v>
      </c>
      <c r="N553" s="22">
        <f t="shared" si="251"/>
        <v>0</v>
      </c>
      <c r="O553" s="22">
        <f t="shared" si="251"/>
        <v>0</v>
      </c>
      <c r="P553" s="21" t="s">
        <v>500</v>
      </c>
      <c r="Q553" s="23" t="s">
        <v>35</v>
      </c>
      <c r="R553" s="24" t="s">
        <v>1429</v>
      </c>
    </row>
    <row r="554" spans="1:18" ht="69.75" x14ac:dyDescent="0.25">
      <c r="A554" s="25" t="s">
        <v>1430</v>
      </c>
      <c r="B554" s="26" t="s">
        <v>1431</v>
      </c>
      <c r="C554" s="27" t="s">
        <v>1423</v>
      </c>
      <c r="D554" s="27" t="s">
        <v>1432</v>
      </c>
      <c r="E554" s="27" t="s">
        <v>40</v>
      </c>
      <c r="F554" s="28">
        <f>SUM(F555:F558)+152827.58</f>
        <v>152827.57999999999</v>
      </c>
      <c r="G554" s="28">
        <f>SUM(G555:G558)+89713</f>
        <v>89713</v>
      </c>
      <c r="H554" s="28">
        <f>SUM(H555:H558)+11613.58</f>
        <v>11613.58</v>
      </c>
      <c r="I554" s="28">
        <f>SUM(I555:I558)</f>
        <v>0</v>
      </c>
      <c r="J554" s="28">
        <f>SUM(J555:J558)+44100</f>
        <v>44100</v>
      </c>
      <c r="K554" s="28">
        <f>SUM(K555:K558)</f>
        <v>0</v>
      </c>
      <c r="L554" s="28">
        <f>SUM(L555:L558)</f>
        <v>0</v>
      </c>
      <c r="M554" s="28">
        <f>SUM(M555:M558)+7401</f>
        <v>7401</v>
      </c>
      <c r="N554" s="28">
        <f>SUM(N555:N558)</f>
        <v>0</v>
      </c>
      <c r="O554" s="28">
        <f>SUM(O555:O558)</f>
        <v>0</v>
      </c>
      <c r="P554" s="27" t="s">
        <v>1433</v>
      </c>
      <c r="Q554" s="29" t="s">
        <v>35</v>
      </c>
      <c r="R554" s="30" t="s">
        <v>135</v>
      </c>
    </row>
    <row r="555" spans="1:18" ht="116.25" x14ac:dyDescent="0.25">
      <c r="A555" s="32"/>
      <c r="B555" s="33"/>
      <c r="C555" s="34"/>
      <c r="D555" s="34"/>
      <c r="E555" s="34"/>
      <c r="F555" s="35">
        <v>0</v>
      </c>
      <c r="G555" s="35">
        <v>0</v>
      </c>
      <c r="H555" s="35">
        <v>0</v>
      </c>
      <c r="I555" s="35">
        <v>0</v>
      </c>
      <c r="J555" s="35">
        <v>0</v>
      </c>
      <c r="K555" s="35">
        <v>0</v>
      </c>
      <c r="L555" s="35">
        <v>0</v>
      </c>
      <c r="M555" s="35">
        <v>0</v>
      </c>
      <c r="N555" s="35">
        <v>0</v>
      </c>
      <c r="O555" s="35">
        <v>0</v>
      </c>
      <c r="P555" s="34" t="s">
        <v>1434</v>
      </c>
      <c r="Q555" s="36" t="s">
        <v>35</v>
      </c>
      <c r="R555" s="37" t="s">
        <v>135</v>
      </c>
    </row>
    <row r="556" spans="1:18" ht="93" x14ac:dyDescent="0.25">
      <c r="A556" s="25" t="s">
        <v>1435</v>
      </c>
      <c r="B556" s="26" t="s">
        <v>1436</v>
      </c>
      <c r="C556" s="27"/>
      <c r="D556" s="27"/>
      <c r="E556" s="27"/>
      <c r="F556" s="31">
        <v>0</v>
      </c>
      <c r="G556" s="31">
        <v>0</v>
      </c>
      <c r="H556" s="31">
        <v>0</v>
      </c>
      <c r="I556" s="31">
        <v>0</v>
      </c>
      <c r="J556" s="31">
        <v>0</v>
      </c>
      <c r="K556" s="31">
        <v>0</v>
      </c>
      <c r="L556" s="31">
        <v>0</v>
      </c>
      <c r="M556" s="31">
        <v>0</v>
      </c>
      <c r="N556" s="31">
        <v>0</v>
      </c>
      <c r="O556" s="31">
        <v>0</v>
      </c>
      <c r="P556" s="27"/>
      <c r="Q556" s="29"/>
      <c r="R556" s="30"/>
    </row>
    <row r="557" spans="1:18" ht="93" x14ac:dyDescent="0.25">
      <c r="A557" s="25" t="s">
        <v>1437</v>
      </c>
      <c r="B557" s="26" t="s">
        <v>1438</v>
      </c>
      <c r="C557" s="27"/>
      <c r="D557" s="27"/>
      <c r="E557" s="27"/>
      <c r="F557" s="31">
        <v>0</v>
      </c>
      <c r="G557" s="31">
        <v>0</v>
      </c>
      <c r="H557" s="31">
        <v>0</v>
      </c>
      <c r="I557" s="31">
        <v>0</v>
      </c>
      <c r="J557" s="31">
        <v>0</v>
      </c>
      <c r="K557" s="31">
        <v>0</v>
      </c>
      <c r="L557" s="31">
        <v>0</v>
      </c>
      <c r="M557" s="31">
        <v>0</v>
      </c>
      <c r="N557" s="31">
        <v>0</v>
      </c>
      <c r="O557" s="31">
        <v>0</v>
      </c>
      <c r="P557" s="27"/>
      <c r="Q557" s="29"/>
      <c r="R557" s="30"/>
    </row>
    <row r="558" spans="1:18" ht="93" x14ac:dyDescent="0.25">
      <c r="A558" s="25" t="s">
        <v>1439</v>
      </c>
      <c r="B558" s="26" t="s">
        <v>1440</v>
      </c>
      <c r="C558" s="27"/>
      <c r="D558" s="27"/>
      <c r="E558" s="27"/>
      <c r="F558" s="31">
        <v>0</v>
      </c>
      <c r="G558" s="31">
        <v>0</v>
      </c>
      <c r="H558" s="31">
        <v>0</v>
      </c>
      <c r="I558" s="31">
        <v>0</v>
      </c>
      <c r="J558" s="31">
        <v>0</v>
      </c>
      <c r="K558" s="31">
        <v>0</v>
      </c>
      <c r="L558" s="31">
        <v>0</v>
      </c>
      <c r="M558" s="31">
        <v>0</v>
      </c>
      <c r="N558" s="31">
        <v>0</v>
      </c>
      <c r="O558" s="31">
        <v>0</v>
      </c>
      <c r="P558" s="27"/>
      <c r="Q558" s="29"/>
      <c r="R558" s="30"/>
    </row>
    <row r="559" spans="1:18" ht="69.75" x14ac:dyDescent="0.25">
      <c r="A559" s="25" t="s">
        <v>1441</v>
      </c>
      <c r="B559" s="26" t="s">
        <v>1442</v>
      </c>
      <c r="C559" s="27" t="s">
        <v>1423</v>
      </c>
      <c r="D559" s="27" t="s">
        <v>1443</v>
      </c>
      <c r="E559" s="27" t="s">
        <v>40</v>
      </c>
      <c r="F559" s="28">
        <f>SUM(F560:F560)+140000</f>
        <v>140000</v>
      </c>
      <c r="G559" s="28">
        <f>SUM(G560:G560)+140000</f>
        <v>140000</v>
      </c>
      <c r="H559" s="28">
        <f t="shared" ref="H559:O559" si="252">SUM(H560:H560)</f>
        <v>0</v>
      </c>
      <c r="I559" s="28">
        <f t="shared" si="252"/>
        <v>0</v>
      </c>
      <c r="J559" s="28">
        <f t="shared" si="252"/>
        <v>0</v>
      </c>
      <c r="K559" s="28">
        <f t="shared" si="252"/>
        <v>0</v>
      </c>
      <c r="L559" s="28">
        <f t="shared" si="252"/>
        <v>0</v>
      </c>
      <c r="M559" s="28">
        <f t="shared" si="252"/>
        <v>0</v>
      </c>
      <c r="N559" s="28">
        <f t="shared" si="252"/>
        <v>0</v>
      </c>
      <c r="O559" s="28">
        <f t="shared" si="252"/>
        <v>0</v>
      </c>
      <c r="P559" s="27" t="s">
        <v>1444</v>
      </c>
      <c r="Q559" s="29" t="s">
        <v>35</v>
      </c>
      <c r="R559" s="30" t="s">
        <v>1445</v>
      </c>
    </row>
    <row r="560" spans="1:18" ht="69.75" x14ac:dyDescent="0.25">
      <c r="A560" s="25" t="s">
        <v>1446</v>
      </c>
      <c r="B560" s="26" t="s">
        <v>1447</v>
      </c>
      <c r="C560" s="27"/>
      <c r="D560" s="27"/>
      <c r="E560" s="27"/>
      <c r="F560" s="31">
        <v>0</v>
      </c>
      <c r="G560" s="31">
        <v>0</v>
      </c>
      <c r="H560" s="31">
        <v>0</v>
      </c>
      <c r="I560" s="31">
        <v>0</v>
      </c>
      <c r="J560" s="31">
        <v>0</v>
      </c>
      <c r="K560" s="31">
        <v>0</v>
      </c>
      <c r="L560" s="31">
        <v>0</v>
      </c>
      <c r="M560" s="31">
        <v>0</v>
      </c>
      <c r="N560" s="31">
        <v>0</v>
      </c>
      <c r="O560" s="31">
        <v>0</v>
      </c>
      <c r="P560" s="27"/>
      <c r="Q560" s="29"/>
      <c r="R560" s="30"/>
    </row>
    <row r="561" spans="1:18" ht="93" x14ac:dyDescent="0.25">
      <c r="A561" s="25" t="s">
        <v>1448</v>
      </c>
      <c r="B561" s="26" t="s">
        <v>1449</v>
      </c>
      <c r="C561" s="27" t="s">
        <v>1423</v>
      </c>
      <c r="D561" s="27" t="s">
        <v>1450</v>
      </c>
      <c r="E561" s="27" t="s">
        <v>40</v>
      </c>
      <c r="F561" s="28">
        <f>SUM(F562:F562)+105000</f>
        <v>105000</v>
      </c>
      <c r="G561" s="28">
        <f>SUM(G562:G562)+105000</f>
        <v>105000</v>
      </c>
      <c r="H561" s="28">
        <f t="shared" ref="H561:O561" si="253">SUM(H562:H562)</f>
        <v>0</v>
      </c>
      <c r="I561" s="28">
        <f t="shared" si="253"/>
        <v>0</v>
      </c>
      <c r="J561" s="28">
        <f t="shared" si="253"/>
        <v>0</v>
      </c>
      <c r="K561" s="28">
        <f t="shared" si="253"/>
        <v>0</v>
      </c>
      <c r="L561" s="28">
        <f t="shared" si="253"/>
        <v>0</v>
      </c>
      <c r="M561" s="28">
        <f t="shared" si="253"/>
        <v>0</v>
      </c>
      <c r="N561" s="28">
        <f t="shared" si="253"/>
        <v>0</v>
      </c>
      <c r="O561" s="28">
        <f t="shared" si="253"/>
        <v>0</v>
      </c>
      <c r="P561" s="27" t="s">
        <v>1451</v>
      </c>
      <c r="Q561" s="29" t="s">
        <v>35</v>
      </c>
      <c r="R561" s="30" t="s">
        <v>163</v>
      </c>
    </row>
    <row r="562" spans="1:18" ht="116.25" x14ac:dyDescent="0.25">
      <c r="A562" s="25" t="s">
        <v>1452</v>
      </c>
      <c r="B562" s="26" t="s">
        <v>1453</v>
      </c>
      <c r="C562" s="27"/>
      <c r="D562" s="27"/>
      <c r="E562" s="27"/>
      <c r="F562" s="31">
        <v>0</v>
      </c>
      <c r="G562" s="31">
        <v>0</v>
      </c>
      <c r="H562" s="31">
        <v>0</v>
      </c>
      <c r="I562" s="31">
        <v>0</v>
      </c>
      <c r="J562" s="31">
        <v>0</v>
      </c>
      <c r="K562" s="31">
        <v>0</v>
      </c>
      <c r="L562" s="31">
        <v>0</v>
      </c>
      <c r="M562" s="31">
        <v>0</v>
      </c>
      <c r="N562" s="31">
        <v>0</v>
      </c>
      <c r="O562" s="31">
        <v>0</v>
      </c>
      <c r="P562" s="27"/>
      <c r="Q562" s="29"/>
      <c r="R562" s="30"/>
    </row>
    <row r="563" spans="1:18" ht="93" x14ac:dyDescent="0.25">
      <c r="A563" s="25" t="s">
        <v>1454</v>
      </c>
      <c r="B563" s="26" t="s">
        <v>1455</v>
      </c>
      <c r="C563" s="27" t="s">
        <v>1423</v>
      </c>
      <c r="D563" s="27" t="s">
        <v>1443</v>
      </c>
      <c r="E563" s="27" t="s">
        <v>40</v>
      </c>
      <c r="F563" s="28">
        <f>SUM(F564:F566)+95000</f>
        <v>95000</v>
      </c>
      <c r="G563" s="28">
        <f>SUM(G564:G566)+95000</f>
        <v>95000</v>
      </c>
      <c r="H563" s="28">
        <f t="shared" ref="H563:O563" si="254">SUM(H564:H566)</f>
        <v>0</v>
      </c>
      <c r="I563" s="28">
        <f t="shared" si="254"/>
        <v>0</v>
      </c>
      <c r="J563" s="28">
        <f t="shared" si="254"/>
        <v>0</v>
      </c>
      <c r="K563" s="28">
        <f t="shared" si="254"/>
        <v>0</v>
      </c>
      <c r="L563" s="28">
        <f t="shared" si="254"/>
        <v>0</v>
      </c>
      <c r="M563" s="28">
        <f t="shared" si="254"/>
        <v>0</v>
      </c>
      <c r="N563" s="28">
        <f t="shared" si="254"/>
        <v>0</v>
      </c>
      <c r="O563" s="28">
        <f t="shared" si="254"/>
        <v>0</v>
      </c>
      <c r="P563" s="27" t="s">
        <v>1456</v>
      </c>
      <c r="Q563" s="29" t="s">
        <v>35</v>
      </c>
      <c r="R563" s="30" t="s">
        <v>864</v>
      </c>
    </row>
    <row r="564" spans="1:18" ht="46.5" x14ac:dyDescent="0.25">
      <c r="A564" s="25" t="s">
        <v>1457</v>
      </c>
      <c r="B564" s="26" t="s">
        <v>1458</v>
      </c>
      <c r="C564" s="27"/>
      <c r="D564" s="27"/>
      <c r="E564" s="27"/>
      <c r="F564" s="31">
        <v>0</v>
      </c>
      <c r="G564" s="31">
        <v>0</v>
      </c>
      <c r="H564" s="31">
        <v>0</v>
      </c>
      <c r="I564" s="31">
        <v>0</v>
      </c>
      <c r="J564" s="31">
        <v>0</v>
      </c>
      <c r="K564" s="31">
        <v>0</v>
      </c>
      <c r="L564" s="31">
        <v>0</v>
      </c>
      <c r="M564" s="31">
        <v>0</v>
      </c>
      <c r="N564" s="31">
        <v>0</v>
      </c>
      <c r="O564" s="31">
        <v>0</v>
      </c>
      <c r="P564" s="27"/>
      <c r="Q564" s="29"/>
      <c r="R564" s="30"/>
    </row>
    <row r="565" spans="1:18" ht="69.75" x14ac:dyDescent="0.25">
      <c r="A565" s="25" t="s">
        <v>1459</v>
      </c>
      <c r="B565" s="26" t="s">
        <v>1460</v>
      </c>
      <c r="C565" s="27"/>
      <c r="D565" s="27"/>
      <c r="E565" s="27"/>
      <c r="F565" s="31">
        <v>0</v>
      </c>
      <c r="G565" s="31">
        <v>0</v>
      </c>
      <c r="H565" s="31">
        <v>0</v>
      </c>
      <c r="I565" s="31">
        <v>0</v>
      </c>
      <c r="J565" s="31">
        <v>0</v>
      </c>
      <c r="K565" s="31">
        <v>0</v>
      </c>
      <c r="L565" s="31">
        <v>0</v>
      </c>
      <c r="M565" s="31">
        <v>0</v>
      </c>
      <c r="N565" s="31">
        <v>0</v>
      </c>
      <c r="O565" s="31">
        <v>0</v>
      </c>
      <c r="P565" s="27"/>
      <c r="Q565" s="29"/>
      <c r="R565" s="30"/>
    </row>
    <row r="566" spans="1:18" ht="69.75" x14ac:dyDescent="0.25">
      <c r="A566" s="25" t="s">
        <v>1461</v>
      </c>
      <c r="B566" s="26" t="s">
        <v>1462</v>
      </c>
      <c r="C566" s="27"/>
      <c r="D566" s="27"/>
      <c r="E566" s="27"/>
      <c r="F566" s="31">
        <v>0</v>
      </c>
      <c r="G566" s="31">
        <v>0</v>
      </c>
      <c r="H566" s="31">
        <v>0</v>
      </c>
      <c r="I566" s="31">
        <v>0</v>
      </c>
      <c r="J566" s="31">
        <v>0</v>
      </c>
      <c r="K566" s="31">
        <v>0</v>
      </c>
      <c r="L566" s="31">
        <v>0</v>
      </c>
      <c r="M566" s="31">
        <v>0</v>
      </c>
      <c r="N566" s="31">
        <v>0</v>
      </c>
      <c r="O566" s="31">
        <v>0</v>
      </c>
      <c r="P566" s="27"/>
      <c r="Q566" s="29"/>
      <c r="R566" s="30"/>
    </row>
    <row r="567" spans="1:18" ht="139.5" x14ac:dyDescent="0.25">
      <c r="A567" s="25" t="s">
        <v>1463</v>
      </c>
      <c r="B567" s="26" t="s">
        <v>1464</v>
      </c>
      <c r="C567" s="27" t="s">
        <v>1423</v>
      </c>
      <c r="D567" s="27" t="s">
        <v>1432</v>
      </c>
      <c r="E567" s="27" t="s">
        <v>40</v>
      </c>
      <c r="F567" s="28">
        <f>SUM(F568:F568)+448386</f>
        <v>448386</v>
      </c>
      <c r="G567" s="28">
        <f>SUM(G568:G568)+448386</f>
        <v>448386</v>
      </c>
      <c r="H567" s="28">
        <f t="shared" ref="H567:O567" si="255">SUM(H568:H568)</f>
        <v>0</v>
      </c>
      <c r="I567" s="28">
        <f t="shared" si="255"/>
        <v>0</v>
      </c>
      <c r="J567" s="28">
        <f t="shared" si="255"/>
        <v>0</v>
      </c>
      <c r="K567" s="28">
        <f t="shared" si="255"/>
        <v>0</v>
      </c>
      <c r="L567" s="28">
        <f t="shared" si="255"/>
        <v>0</v>
      </c>
      <c r="M567" s="28">
        <f t="shared" si="255"/>
        <v>0</v>
      </c>
      <c r="N567" s="28">
        <f t="shared" si="255"/>
        <v>0</v>
      </c>
      <c r="O567" s="28">
        <f t="shared" si="255"/>
        <v>0</v>
      </c>
      <c r="P567" s="27" t="s">
        <v>1465</v>
      </c>
      <c r="Q567" s="29" t="s">
        <v>35</v>
      </c>
      <c r="R567" s="30" t="s">
        <v>1055</v>
      </c>
    </row>
    <row r="568" spans="1:18" ht="139.5" x14ac:dyDescent="0.25">
      <c r="A568" s="25" t="s">
        <v>1466</v>
      </c>
      <c r="B568" s="26" t="s">
        <v>1467</v>
      </c>
      <c r="C568" s="27"/>
      <c r="D568" s="27"/>
      <c r="E568" s="27"/>
      <c r="F568" s="31">
        <v>0</v>
      </c>
      <c r="G568" s="31">
        <v>0</v>
      </c>
      <c r="H568" s="31">
        <v>0</v>
      </c>
      <c r="I568" s="31">
        <v>0</v>
      </c>
      <c r="J568" s="31">
        <v>0</v>
      </c>
      <c r="K568" s="31">
        <v>0</v>
      </c>
      <c r="L568" s="31">
        <v>0</v>
      </c>
      <c r="M568" s="31">
        <v>0</v>
      </c>
      <c r="N568" s="31">
        <v>0</v>
      </c>
      <c r="O568" s="31">
        <v>0</v>
      </c>
      <c r="P568" s="27"/>
      <c r="Q568" s="29"/>
      <c r="R568" s="30"/>
    </row>
    <row r="569" spans="1:18" ht="93" x14ac:dyDescent="0.25">
      <c r="A569" s="25" t="s">
        <v>1468</v>
      </c>
      <c r="B569" s="26" t="s">
        <v>1469</v>
      </c>
      <c r="C569" s="27" t="s">
        <v>1423</v>
      </c>
      <c r="D569" s="27" t="s">
        <v>1432</v>
      </c>
      <c r="E569" s="27" t="s">
        <v>40</v>
      </c>
      <c r="F569" s="28">
        <f>SUM(F570:F570)+597500</f>
        <v>597500</v>
      </c>
      <c r="G569" s="28">
        <f>SUM(G570:G570)</f>
        <v>0</v>
      </c>
      <c r="H569" s="28">
        <f>SUM(H570:H570)</f>
        <v>0</v>
      </c>
      <c r="I569" s="28">
        <f>SUM(I570:I570)</f>
        <v>0</v>
      </c>
      <c r="J569" s="28">
        <f>SUM(J570:J570)+597500</f>
        <v>597500</v>
      </c>
      <c r="K569" s="28">
        <f>SUM(K570:K570)</f>
        <v>0</v>
      </c>
      <c r="L569" s="28">
        <f>SUM(L570:L570)</f>
        <v>0</v>
      </c>
      <c r="M569" s="28">
        <f>SUM(M570:M570)</f>
        <v>0</v>
      </c>
      <c r="N569" s="28">
        <f>SUM(N570:N570)</f>
        <v>0</v>
      </c>
      <c r="O569" s="28">
        <f>SUM(O570:O570)</f>
        <v>0</v>
      </c>
      <c r="P569" s="27" t="s">
        <v>1470</v>
      </c>
      <c r="Q569" s="29" t="s">
        <v>35</v>
      </c>
      <c r="R569" s="30" t="s">
        <v>156</v>
      </c>
    </row>
    <row r="570" spans="1:18" ht="93" x14ac:dyDescent="0.25">
      <c r="A570" s="25" t="s">
        <v>1471</v>
      </c>
      <c r="B570" s="26" t="s">
        <v>1472</v>
      </c>
      <c r="C570" s="27"/>
      <c r="D570" s="27"/>
      <c r="E570" s="27"/>
      <c r="F570" s="31">
        <v>0</v>
      </c>
      <c r="G570" s="31">
        <v>0</v>
      </c>
      <c r="H570" s="31">
        <v>0</v>
      </c>
      <c r="I570" s="31">
        <v>0</v>
      </c>
      <c r="J570" s="31">
        <v>0</v>
      </c>
      <c r="K570" s="31">
        <v>0</v>
      </c>
      <c r="L570" s="31">
        <v>0</v>
      </c>
      <c r="M570" s="31">
        <v>0</v>
      </c>
      <c r="N570" s="31">
        <v>0</v>
      </c>
      <c r="O570" s="31">
        <v>0</v>
      </c>
      <c r="P570" s="27"/>
      <c r="Q570" s="29"/>
      <c r="R570" s="30"/>
    </row>
    <row r="571" spans="1:18" ht="45" x14ac:dyDescent="0.25">
      <c r="A571" s="19" t="s">
        <v>1473</v>
      </c>
      <c r="B571" s="20" t="s">
        <v>1474</v>
      </c>
      <c r="C571" s="21" t="s">
        <v>1423</v>
      </c>
      <c r="D571" s="21" t="s">
        <v>1426</v>
      </c>
      <c r="E571" s="21" t="s">
        <v>33</v>
      </c>
      <c r="F571" s="22">
        <f t="shared" ref="F571:O571" si="256">F572+F574+F576+F578</f>
        <v>527038</v>
      </c>
      <c r="G571" s="22">
        <f t="shared" si="256"/>
        <v>167869</v>
      </c>
      <c r="H571" s="22">
        <f t="shared" si="256"/>
        <v>0</v>
      </c>
      <c r="I571" s="22">
        <f t="shared" si="256"/>
        <v>0</v>
      </c>
      <c r="J571" s="22">
        <f t="shared" si="256"/>
        <v>0</v>
      </c>
      <c r="K571" s="22">
        <f t="shared" si="256"/>
        <v>0</v>
      </c>
      <c r="L571" s="22">
        <f t="shared" si="256"/>
        <v>0</v>
      </c>
      <c r="M571" s="22">
        <f t="shared" si="256"/>
        <v>358584</v>
      </c>
      <c r="N571" s="22">
        <f t="shared" si="256"/>
        <v>0</v>
      </c>
      <c r="O571" s="22">
        <f t="shared" si="256"/>
        <v>0</v>
      </c>
      <c r="P571" s="21" t="s">
        <v>1475</v>
      </c>
      <c r="Q571" s="23" t="s">
        <v>35</v>
      </c>
      <c r="R571" s="24" t="s">
        <v>1476</v>
      </c>
    </row>
    <row r="572" spans="1:18" ht="69.75" x14ac:dyDescent="0.25">
      <c r="A572" s="25" t="s">
        <v>1477</v>
      </c>
      <c r="B572" s="26" t="s">
        <v>1478</v>
      </c>
      <c r="C572" s="27" t="s">
        <v>1423</v>
      </c>
      <c r="D572" s="27" t="s">
        <v>1443</v>
      </c>
      <c r="E572" s="27" t="s">
        <v>40</v>
      </c>
      <c r="F572" s="28">
        <f>SUM(F573:F573)+4200</f>
        <v>4200</v>
      </c>
      <c r="G572" s="28">
        <f t="shared" ref="G572:L572" si="257">SUM(G573:G573)</f>
        <v>0</v>
      </c>
      <c r="H572" s="28">
        <f t="shared" si="257"/>
        <v>0</v>
      </c>
      <c r="I572" s="28">
        <f t="shared" si="257"/>
        <v>0</v>
      </c>
      <c r="J572" s="28">
        <f t="shared" si="257"/>
        <v>0</v>
      </c>
      <c r="K572" s="28">
        <f t="shared" si="257"/>
        <v>0</v>
      </c>
      <c r="L572" s="28">
        <f t="shared" si="257"/>
        <v>0</v>
      </c>
      <c r="M572" s="28">
        <f>SUM(M573:M573)+4200</f>
        <v>4200</v>
      </c>
      <c r="N572" s="28">
        <f>SUM(N573:N573)</f>
        <v>0</v>
      </c>
      <c r="O572" s="28">
        <f>SUM(O573:O573)</f>
        <v>0</v>
      </c>
      <c r="P572" s="27" t="s">
        <v>1479</v>
      </c>
      <c r="Q572" s="29" t="s">
        <v>35</v>
      </c>
      <c r="R572" s="30" t="s">
        <v>144</v>
      </c>
    </row>
    <row r="573" spans="1:18" ht="46.5" x14ac:dyDescent="0.25">
      <c r="A573" s="25" t="s">
        <v>1480</v>
      </c>
      <c r="B573" s="26" t="s">
        <v>1481</v>
      </c>
      <c r="C573" s="27"/>
      <c r="D573" s="27"/>
      <c r="E573" s="27"/>
      <c r="F573" s="31">
        <v>0</v>
      </c>
      <c r="G573" s="31">
        <v>0</v>
      </c>
      <c r="H573" s="31">
        <v>0</v>
      </c>
      <c r="I573" s="31">
        <v>0</v>
      </c>
      <c r="J573" s="31">
        <v>0</v>
      </c>
      <c r="K573" s="31">
        <v>0</v>
      </c>
      <c r="L573" s="31">
        <v>0</v>
      </c>
      <c r="M573" s="31">
        <v>0</v>
      </c>
      <c r="N573" s="31">
        <v>0</v>
      </c>
      <c r="O573" s="31">
        <v>0</v>
      </c>
      <c r="P573" s="27"/>
      <c r="Q573" s="29"/>
      <c r="R573" s="30"/>
    </row>
    <row r="574" spans="1:18" ht="46.5" x14ac:dyDescent="0.25">
      <c r="A574" s="25" t="s">
        <v>1482</v>
      </c>
      <c r="B574" s="26" t="s">
        <v>1483</v>
      </c>
      <c r="C574" s="27" t="s">
        <v>1423</v>
      </c>
      <c r="D574" s="27" t="s">
        <v>1443</v>
      </c>
      <c r="E574" s="27" t="s">
        <v>40</v>
      </c>
      <c r="F574" s="28">
        <f>SUM(F575:F575)+322925</f>
        <v>322925</v>
      </c>
      <c r="G574" s="28">
        <f>SUM(G575:G575)+110040</f>
        <v>110040</v>
      </c>
      <c r="H574" s="28">
        <f>SUM(H575:H575)</f>
        <v>0</v>
      </c>
      <c r="I574" s="28">
        <f>SUM(I575:I575)</f>
        <v>0</v>
      </c>
      <c r="J574" s="28">
        <f>SUM(J575:J575)</f>
        <v>0</v>
      </c>
      <c r="K574" s="28">
        <f>SUM(K575:K575)</f>
        <v>0</v>
      </c>
      <c r="L574" s="28">
        <f>SUM(L575:L575)</f>
        <v>0</v>
      </c>
      <c r="M574" s="28">
        <f>SUM(M575:M575)+212300</f>
        <v>212300</v>
      </c>
      <c r="N574" s="28">
        <f>SUM(N575:N575)</f>
        <v>0</v>
      </c>
      <c r="O574" s="28">
        <f>SUM(O575:O575)</f>
        <v>0</v>
      </c>
      <c r="P574" s="27" t="s">
        <v>1484</v>
      </c>
      <c r="Q574" s="29" t="s">
        <v>35</v>
      </c>
      <c r="R574" s="30" t="s">
        <v>1485</v>
      </c>
    </row>
    <row r="575" spans="1:18" ht="69.75" x14ac:dyDescent="0.25">
      <c r="A575" s="25" t="s">
        <v>1486</v>
      </c>
      <c r="B575" s="26" t="s">
        <v>1487</v>
      </c>
      <c r="C575" s="27"/>
      <c r="D575" s="27"/>
      <c r="E575" s="27"/>
      <c r="F575" s="31">
        <v>0</v>
      </c>
      <c r="G575" s="31">
        <v>0</v>
      </c>
      <c r="H575" s="31">
        <v>0</v>
      </c>
      <c r="I575" s="31">
        <v>0</v>
      </c>
      <c r="J575" s="31">
        <v>0</v>
      </c>
      <c r="K575" s="31">
        <v>0</v>
      </c>
      <c r="L575" s="31">
        <v>0</v>
      </c>
      <c r="M575" s="31">
        <v>0</v>
      </c>
      <c r="N575" s="31">
        <v>0</v>
      </c>
      <c r="O575" s="31">
        <v>0</v>
      </c>
      <c r="P575" s="27"/>
      <c r="Q575" s="29"/>
      <c r="R575" s="30"/>
    </row>
    <row r="576" spans="1:18" ht="69.75" x14ac:dyDescent="0.25">
      <c r="A576" s="25" t="s">
        <v>1488</v>
      </c>
      <c r="B576" s="26" t="s">
        <v>1489</v>
      </c>
      <c r="C576" s="27" t="s">
        <v>1423</v>
      </c>
      <c r="D576" s="27" t="s">
        <v>1490</v>
      </c>
      <c r="E576" s="27" t="s">
        <v>40</v>
      </c>
      <c r="F576" s="28">
        <f>SUM(F577:F577)+195775</f>
        <v>195775</v>
      </c>
      <c r="G576" s="28">
        <f>SUM(G577:G577)+57829</f>
        <v>57829</v>
      </c>
      <c r="H576" s="28">
        <f>SUM(H577:H577)</f>
        <v>0</v>
      </c>
      <c r="I576" s="28">
        <f>SUM(I577:I577)</f>
        <v>0</v>
      </c>
      <c r="J576" s="28">
        <f>SUM(J577:J577)</f>
        <v>0</v>
      </c>
      <c r="K576" s="28">
        <f>SUM(K577:K577)</f>
        <v>0</v>
      </c>
      <c r="L576" s="28">
        <f>SUM(L577:L577)</f>
        <v>0</v>
      </c>
      <c r="M576" s="28">
        <f>SUM(M577:M577)+137946</f>
        <v>137946</v>
      </c>
      <c r="N576" s="28">
        <f>SUM(N577:N577)</f>
        <v>0</v>
      </c>
      <c r="O576" s="28">
        <f>SUM(O577:O577)</f>
        <v>0</v>
      </c>
      <c r="P576" s="27" t="s">
        <v>1491</v>
      </c>
      <c r="Q576" s="29" t="s">
        <v>35</v>
      </c>
      <c r="R576" s="30" t="s">
        <v>1492</v>
      </c>
    </row>
    <row r="577" spans="1:18" ht="69.75" x14ac:dyDescent="0.25">
      <c r="A577" s="25" t="s">
        <v>1493</v>
      </c>
      <c r="B577" s="26" t="s">
        <v>1494</v>
      </c>
      <c r="C577" s="27"/>
      <c r="D577" s="27"/>
      <c r="E577" s="27"/>
      <c r="F577" s="31">
        <v>0</v>
      </c>
      <c r="G577" s="31">
        <v>0</v>
      </c>
      <c r="H577" s="31">
        <v>0</v>
      </c>
      <c r="I577" s="31">
        <v>0</v>
      </c>
      <c r="J577" s="31">
        <v>0</v>
      </c>
      <c r="K577" s="31">
        <v>0</v>
      </c>
      <c r="L577" s="31">
        <v>0</v>
      </c>
      <c r="M577" s="31">
        <v>0</v>
      </c>
      <c r="N577" s="31">
        <v>0</v>
      </c>
      <c r="O577" s="31">
        <v>0</v>
      </c>
      <c r="P577" s="27"/>
      <c r="Q577" s="29"/>
      <c r="R577" s="30"/>
    </row>
    <row r="578" spans="1:18" ht="93" x14ac:dyDescent="0.25">
      <c r="A578" s="25" t="s">
        <v>1495</v>
      </c>
      <c r="B578" s="26" t="s">
        <v>1496</v>
      </c>
      <c r="C578" s="27" t="s">
        <v>1423</v>
      </c>
      <c r="D578" s="27" t="s">
        <v>1490</v>
      </c>
      <c r="E578" s="27" t="s">
        <v>40</v>
      </c>
      <c r="F578" s="28">
        <f>SUM(F579:F579)+4138</f>
        <v>4138</v>
      </c>
      <c r="G578" s="28">
        <f t="shared" ref="G578:L578" si="258">SUM(G579:G579)</f>
        <v>0</v>
      </c>
      <c r="H578" s="28">
        <f t="shared" si="258"/>
        <v>0</v>
      </c>
      <c r="I578" s="28">
        <f t="shared" si="258"/>
        <v>0</v>
      </c>
      <c r="J578" s="28">
        <f t="shared" si="258"/>
        <v>0</v>
      </c>
      <c r="K578" s="28">
        <f t="shared" si="258"/>
        <v>0</v>
      </c>
      <c r="L578" s="28">
        <f t="shared" si="258"/>
        <v>0</v>
      </c>
      <c r="M578" s="28">
        <f>SUM(M579:M579)+4138</f>
        <v>4138</v>
      </c>
      <c r="N578" s="28">
        <f>SUM(N579:N579)</f>
        <v>0</v>
      </c>
      <c r="O578" s="28">
        <f>SUM(O579:O579)</f>
        <v>0</v>
      </c>
      <c r="P578" s="27" t="s">
        <v>1497</v>
      </c>
      <c r="Q578" s="29" t="s">
        <v>35</v>
      </c>
      <c r="R578" s="30" t="s">
        <v>36</v>
      </c>
    </row>
    <row r="579" spans="1:18" ht="69.75" x14ac:dyDescent="0.25">
      <c r="A579" s="25" t="s">
        <v>1498</v>
      </c>
      <c r="B579" s="26" t="s">
        <v>1499</v>
      </c>
      <c r="C579" s="27"/>
      <c r="D579" s="27"/>
      <c r="E579" s="27"/>
      <c r="F579" s="31">
        <v>0</v>
      </c>
      <c r="G579" s="31">
        <v>0</v>
      </c>
      <c r="H579" s="31">
        <v>0</v>
      </c>
      <c r="I579" s="31">
        <v>0</v>
      </c>
      <c r="J579" s="31">
        <v>0</v>
      </c>
      <c r="K579" s="31">
        <v>0</v>
      </c>
      <c r="L579" s="31">
        <v>0</v>
      </c>
      <c r="M579" s="31">
        <v>0</v>
      </c>
      <c r="N579" s="31">
        <v>0</v>
      </c>
      <c r="O579" s="31">
        <v>0</v>
      </c>
      <c r="P579" s="27"/>
      <c r="Q579" s="29"/>
      <c r="R579" s="30"/>
    </row>
    <row r="580" spans="1:18" ht="45" x14ac:dyDescent="0.25">
      <c r="A580" s="19" t="s">
        <v>1500</v>
      </c>
      <c r="B580" s="20" t="s">
        <v>1501</v>
      </c>
      <c r="C580" s="21" t="s">
        <v>1423</v>
      </c>
      <c r="D580" s="21" t="s">
        <v>1426</v>
      </c>
      <c r="E580" s="21" t="s">
        <v>33</v>
      </c>
      <c r="F580" s="22">
        <f t="shared" ref="F580:O580" si="259">F581+F584+F586+F588+F590+F592+F594</f>
        <v>522533.55</v>
      </c>
      <c r="G580" s="22">
        <f t="shared" si="259"/>
        <v>30000</v>
      </c>
      <c r="H580" s="22">
        <f t="shared" si="259"/>
        <v>0</v>
      </c>
      <c r="I580" s="22">
        <f t="shared" si="259"/>
        <v>0</v>
      </c>
      <c r="J580" s="22">
        <f t="shared" si="259"/>
        <v>2400</v>
      </c>
      <c r="K580" s="22">
        <f t="shared" si="259"/>
        <v>0</v>
      </c>
      <c r="L580" s="22">
        <f t="shared" si="259"/>
        <v>0</v>
      </c>
      <c r="M580" s="22">
        <f t="shared" si="259"/>
        <v>490133.55</v>
      </c>
      <c r="N580" s="22">
        <f t="shared" si="259"/>
        <v>0</v>
      </c>
      <c r="O580" s="22">
        <f t="shared" si="259"/>
        <v>0</v>
      </c>
      <c r="P580" s="21" t="s">
        <v>159</v>
      </c>
      <c r="Q580" s="23" t="s">
        <v>35</v>
      </c>
      <c r="R580" s="24" t="s">
        <v>1418</v>
      </c>
    </row>
    <row r="581" spans="1:18" ht="69.75" x14ac:dyDescent="0.25">
      <c r="A581" s="25" t="s">
        <v>1502</v>
      </c>
      <c r="B581" s="26" t="s">
        <v>1503</v>
      </c>
      <c r="C581" s="27" t="s">
        <v>1423</v>
      </c>
      <c r="D581" s="27" t="s">
        <v>1490</v>
      </c>
      <c r="E581" s="27" t="s">
        <v>40</v>
      </c>
      <c r="F581" s="28">
        <f t="shared" ref="F581:O581" si="260">SUM(F582:F583)</f>
        <v>0</v>
      </c>
      <c r="G581" s="28">
        <f t="shared" si="260"/>
        <v>0</v>
      </c>
      <c r="H581" s="28">
        <f t="shared" si="260"/>
        <v>0</v>
      </c>
      <c r="I581" s="28">
        <f t="shared" si="260"/>
        <v>0</v>
      </c>
      <c r="J581" s="28">
        <f t="shared" si="260"/>
        <v>0</v>
      </c>
      <c r="K581" s="28">
        <f t="shared" si="260"/>
        <v>0</v>
      </c>
      <c r="L581" s="28">
        <f t="shared" si="260"/>
        <v>0</v>
      </c>
      <c r="M581" s="28">
        <f t="shared" si="260"/>
        <v>0</v>
      </c>
      <c r="N581" s="28">
        <f t="shared" si="260"/>
        <v>0</v>
      </c>
      <c r="O581" s="28">
        <f t="shared" si="260"/>
        <v>0</v>
      </c>
      <c r="P581" s="27" t="s">
        <v>1504</v>
      </c>
      <c r="Q581" s="29" t="s">
        <v>35</v>
      </c>
      <c r="R581" s="30" t="s">
        <v>1505</v>
      </c>
    </row>
    <row r="582" spans="1:18" ht="93" x14ac:dyDescent="0.25">
      <c r="A582" s="25" t="s">
        <v>1506</v>
      </c>
      <c r="B582" s="26" t="s">
        <v>1507</v>
      </c>
      <c r="C582" s="27"/>
      <c r="D582" s="27"/>
      <c r="E582" s="27"/>
      <c r="F582" s="31">
        <v>0</v>
      </c>
      <c r="G582" s="31">
        <v>0</v>
      </c>
      <c r="H582" s="31">
        <v>0</v>
      </c>
      <c r="I582" s="31">
        <v>0</v>
      </c>
      <c r="J582" s="31">
        <v>0</v>
      </c>
      <c r="K582" s="31">
        <v>0</v>
      </c>
      <c r="L582" s="31">
        <v>0</v>
      </c>
      <c r="M582" s="31">
        <v>0</v>
      </c>
      <c r="N582" s="31">
        <v>0</v>
      </c>
      <c r="O582" s="31">
        <v>0</v>
      </c>
      <c r="P582" s="27"/>
      <c r="Q582" s="29"/>
      <c r="R582" s="30"/>
    </row>
    <row r="583" spans="1:18" ht="93" x14ac:dyDescent="0.25">
      <c r="A583" s="25" t="s">
        <v>1508</v>
      </c>
      <c r="B583" s="26" t="s">
        <v>1509</v>
      </c>
      <c r="C583" s="27"/>
      <c r="D583" s="27"/>
      <c r="E583" s="27"/>
      <c r="F583" s="31">
        <v>0</v>
      </c>
      <c r="G583" s="31">
        <v>0</v>
      </c>
      <c r="H583" s="31">
        <v>0</v>
      </c>
      <c r="I583" s="31">
        <v>0</v>
      </c>
      <c r="J583" s="31">
        <v>0</v>
      </c>
      <c r="K583" s="31">
        <v>0</v>
      </c>
      <c r="L583" s="31">
        <v>0</v>
      </c>
      <c r="M583" s="31">
        <v>0</v>
      </c>
      <c r="N583" s="31">
        <v>0</v>
      </c>
      <c r="O583" s="31">
        <v>0</v>
      </c>
      <c r="P583" s="27"/>
      <c r="Q583" s="29"/>
      <c r="R583" s="30"/>
    </row>
    <row r="584" spans="1:18" ht="46.5" x14ac:dyDescent="0.25">
      <c r="A584" s="25" t="s">
        <v>1510</v>
      </c>
      <c r="B584" s="26" t="s">
        <v>1511</v>
      </c>
      <c r="C584" s="27" t="s">
        <v>1423</v>
      </c>
      <c r="D584" s="27" t="s">
        <v>1443</v>
      </c>
      <c r="E584" s="27" t="s">
        <v>40</v>
      </c>
      <c r="F584" s="28">
        <f>SUM(F585:F585)+54140.91</f>
        <v>54140.91</v>
      </c>
      <c r="G584" s="28">
        <f>SUM(G585:G585)+30000</f>
        <v>30000</v>
      </c>
      <c r="H584" s="28">
        <f>SUM(H585:H585)</f>
        <v>0</v>
      </c>
      <c r="I584" s="28">
        <f>SUM(I585:I585)</f>
        <v>0</v>
      </c>
      <c r="J584" s="28">
        <f>SUM(J585:J585)</f>
        <v>0</v>
      </c>
      <c r="K584" s="28">
        <f>SUM(K585:K585)</f>
        <v>0</v>
      </c>
      <c r="L584" s="28">
        <f>SUM(L585:L585)</f>
        <v>0</v>
      </c>
      <c r="M584" s="28">
        <f>SUM(M585:M585)+24140.91</f>
        <v>24140.91</v>
      </c>
      <c r="N584" s="28">
        <f>SUM(N585:N585)</f>
        <v>0</v>
      </c>
      <c r="O584" s="28">
        <f>SUM(O585:O585)</f>
        <v>0</v>
      </c>
      <c r="P584" s="27" t="s">
        <v>1512</v>
      </c>
      <c r="Q584" s="29" t="s">
        <v>35</v>
      </c>
      <c r="R584" s="30" t="s">
        <v>163</v>
      </c>
    </row>
    <row r="585" spans="1:18" ht="46.5" x14ac:dyDescent="0.25">
      <c r="A585" s="25" t="s">
        <v>1513</v>
      </c>
      <c r="B585" s="26" t="s">
        <v>1514</v>
      </c>
      <c r="C585" s="27"/>
      <c r="D585" s="27"/>
      <c r="E585" s="27"/>
      <c r="F585" s="31">
        <v>0</v>
      </c>
      <c r="G585" s="31">
        <v>0</v>
      </c>
      <c r="H585" s="31">
        <v>0</v>
      </c>
      <c r="I585" s="31">
        <v>0</v>
      </c>
      <c r="J585" s="31">
        <v>0</v>
      </c>
      <c r="K585" s="31">
        <v>0</v>
      </c>
      <c r="L585" s="31">
        <v>0</v>
      </c>
      <c r="M585" s="31">
        <v>0</v>
      </c>
      <c r="N585" s="31">
        <v>0</v>
      </c>
      <c r="O585" s="31">
        <v>0</v>
      </c>
      <c r="P585" s="27"/>
      <c r="Q585" s="29"/>
      <c r="R585" s="30"/>
    </row>
    <row r="586" spans="1:18" ht="69.75" x14ac:dyDescent="0.25">
      <c r="A586" s="25" t="s">
        <v>1515</v>
      </c>
      <c r="B586" s="26" t="s">
        <v>1516</v>
      </c>
      <c r="C586" s="27" t="s">
        <v>1423</v>
      </c>
      <c r="D586" s="27" t="s">
        <v>1443</v>
      </c>
      <c r="E586" s="27" t="s">
        <v>40</v>
      </c>
      <c r="F586" s="28">
        <f>SUM(F587:F587)+965.64</f>
        <v>965.64</v>
      </c>
      <c r="G586" s="28">
        <f t="shared" ref="G586:L586" si="261">SUM(G587:G587)</f>
        <v>0</v>
      </c>
      <c r="H586" s="28">
        <f t="shared" si="261"/>
        <v>0</v>
      </c>
      <c r="I586" s="28">
        <f t="shared" si="261"/>
        <v>0</v>
      </c>
      <c r="J586" s="28">
        <f t="shared" si="261"/>
        <v>0</v>
      </c>
      <c r="K586" s="28">
        <f t="shared" si="261"/>
        <v>0</v>
      </c>
      <c r="L586" s="28">
        <f t="shared" si="261"/>
        <v>0</v>
      </c>
      <c r="M586" s="28">
        <f>SUM(M587:M587)+965.64</f>
        <v>965.64</v>
      </c>
      <c r="N586" s="28">
        <f>SUM(N587:N587)</f>
        <v>0</v>
      </c>
      <c r="O586" s="28">
        <f>SUM(O587:O587)</f>
        <v>0</v>
      </c>
      <c r="P586" s="27" t="s">
        <v>1517</v>
      </c>
      <c r="Q586" s="29" t="s">
        <v>35</v>
      </c>
      <c r="R586" s="30" t="s">
        <v>68</v>
      </c>
    </row>
    <row r="587" spans="1:18" ht="69.75" x14ac:dyDescent="0.25">
      <c r="A587" s="25" t="s">
        <v>1518</v>
      </c>
      <c r="B587" s="26" t="s">
        <v>1519</v>
      </c>
      <c r="C587" s="27"/>
      <c r="D587" s="27"/>
      <c r="E587" s="27"/>
      <c r="F587" s="31">
        <v>0</v>
      </c>
      <c r="G587" s="31">
        <v>0</v>
      </c>
      <c r="H587" s="31">
        <v>0</v>
      </c>
      <c r="I587" s="31">
        <v>0</v>
      </c>
      <c r="J587" s="31">
        <v>0</v>
      </c>
      <c r="K587" s="31">
        <v>0</v>
      </c>
      <c r="L587" s="31">
        <v>0</v>
      </c>
      <c r="M587" s="31">
        <v>0</v>
      </c>
      <c r="N587" s="31">
        <v>0</v>
      </c>
      <c r="O587" s="31">
        <v>0</v>
      </c>
      <c r="P587" s="27"/>
      <c r="Q587" s="29"/>
      <c r="R587" s="30"/>
    </row>
    <row r="588" spans="1:18" ht="69.75" x14ac:dyDescent="0.25">
      <c r="A588" s="25" t="s">
        <v>1520</v>
      </c>
      <c r="B588" s="26" t="s">
        <v>1521</v>
      </c>
      <c r="C588" s="27" t="s">
        <v>1423</v>
      </c>
      <c r="D588" s="27" t="s">
        <v>1490</v>
      </c>
      <c r="E588" s="27" t="s">
        <v>40</v>
      </c>
      <c r="F588" s="28">
        <f t="shared" ref="F588:O588" si="262">SUM(F589:F589)</f>
        <v>0</v>
      </c>
      <c r="G588" s="28">
        <f t="shared" si="262"/>
        <v>0</v>
      </c>
      <c r="H588" s="28">
        <f t="shared" si="262"/>
        <v>0</v>
      </c>
      <c r="I588" s="28">
        <f t="shared" si="262"/>
        <v>0</v>
      </c>
      <c r="J588" s="28">
        <f t="shared" si="262"/>
        <v>0</v>
      </c>
      <c r="K588" s="28">
        <f t="shared" si="262"/>
        <v>0</v>
      </c>
      <c r="L588" s="28">
        <f t="shared" si="262"/>
        <v>0</v>
      </c>
      <c r="M588" s="28">
        <f t="shared" si="262"/>
        <v>0</v>
      </c>
      <c r="N588" s="28">
        <f t="shared" si="262"/>
        <v>0</v>
      </c>
      <c r="O588" s="28">
        <f t="shared" si="262"/>
        <v>0</v>
      </c>
      <c r="P588" s="27" t="s">
        <v>1522</v>
      </c>
      <c r="Q588" s="29" t="s">
        <v>35</v>
      </c>
      <c r="R588" s="30" t="s">
        <v>181</v>
      </c>
    </row>
    <row r="589" spans="1:18" ht="46.5" x14ac:dyDescent="0.25">
      <c r="A589" s="25" t="s">
        <v>1523</v>
      </c>
      <c r="B589" s="26" t="s">
        <v>1524</v>
      </c>
      <c r="C589" s="27"/>
      <c r="D589" s="27"/>
      <c r="E589" s="27"/>
      <c r="F589" s="31">
        <v>0</v>
      </c>
      <c r="G589" s="31">
        <v>0</v>
      </c>
      <c r="H589" s="31">
        <v>0</v>
      </c>
      <c r="I589" s="31">
        <v>0</v>
      </c>
      <c r="J589" s="31">
        <v>0</v>
      </c>
      <c r="K589" s="31">
        <v>0</v>
      </c>
      <c r="L589" s="31">
        <v>0</v>
      </c>
      <c r="M589" s="31">
        <v>0</v>
      </c>
      <c r="N589" s="31">
        <v>0</v>
      </c>
      <c r="O589" s="31">
        <v>0</v>
      </c>
      <c r="P589" s="27"/>
      <c r="Q589" s="29"/>
      <c r="R589" s="30"/>
    </row>
    <row r="590" spans="1:18" ht="46.5" x14ac:dyDescent="0.25">
      <c r="A590" s="25" t="s">
        <v>1525</v>
      </c>
      <c r="B590" s="26" t="s">
        <v>1526</v>
      </c>
      <c r="C590" s="27" t="s">
        <v>1423</v>
      </c>
      <c r="D590" s="27" t="s">
        <v>1432</v>
      </c>
      <c r="E590" s="27" t="s">
        <v>40</v>
      </c>
      <c r="F590" s="28">
        <f>SUM(F591:F591)+455909</f>
        <v>455909</v>
      </c>
      <c r="G590" s="28">
        <f t="shared" ref="G590:L590" si="263">SUM(G591:G591)</f>
        <v>0</v>
      </c>
      <c r="H590" s="28">
        <f t="shared" si="263"/>
        <v>0</v>
      </c>
      <c r="I590" s="28">
        <f t="shared" si="263"/>
        <v>0</v>
      </c>
      <c r="J590" s="28">
        <f t="shared" si="263"/>
        <v>0</v>
      </c>
      <c r="K590" s="28">
        <f t="shared" si="263"/>
        <v>0</v>
      </c>
      <c r="L590" s="28">
        <f t="shared" si="263"/>
        <v>0</v>
      </c>
      <c r="M590" s="28">
        <f>SUM(M591:M591)+455909</f>
        <v>455909</v>
      </c>
      <c r="N590" s="28">
        <f>SUM(N591:N591)</f>
        <v>0</v>
      </c>
      <c r="O590" s="28">
        <f>SUM(O591:O591)</f>
        <v>0</v>
      </c>
      <c r="P590" s="27" t="s">
        <v>1527</v>
      </c>
      <c r="Q590" s="29" t="s">
        <v>35</v>
      </c>
      <c r="R590" s="30" t="s">
        <v>830</v>
      </c>
    </row>
    <row r="591" spans="1:18" ht="93" x14ac:dyDescent="0.25">
      <c r="A591" s="25" t="s">
        <v>1528</v>
      </c>
      <c r="B591" s="26" t="s">
        <v>1529</v>
      </c>
      <c r="C591" s="27"/>
      <c r="D591" s="27"/>
      <c r="E591" s="27"/>
      <c r="F591" s="31">
        <v>0</v>
      </c>
      <c r="G591" s="31">
        <v>0</v>
      </c>
      <c r="H591" s="31">
        <v>0</v>
      </c>
      <c r="I591" s="31">
        <v>0</v>
      </c>
      <c r="J591" s="31">
        <v>0</v>
      </c>
      <c r="K591" s="31">
        <v>0</v>
      </c>
      <c r="L591" s="31">
        <v>0</v>
      </c>
      <c r="M591" s="31">
        <v>0</v>
      </c>
      <c r="N591" s="31">
        <v>0</v>
      </c>
      <c r="O591" s="31">
        <v>0</v>
      </c>
      <c r="P591" s="27"/>
      <c r="Q591" s="29"/>
      <c r="R591" s="30"/>
    </row>
    <row r="592" spans="1:18" ht="69.75" x14ac:dyDescent="0.25">
      <c r="A592" s="25" t="s">
        <v>1530</v>
      </c>
      <c r="B592" s="26" t="s">
        <v>1531</v>
      </c>
      <c r="C592" s="27" t="s">
        <v>1423</v>
      </c>
      <c r="D592" s="27" t="s">
        <v>1432</v>
      </c>
      <c r="E592" s="27" t="s">
        <v>40</v>
      </c>
      <c r="F592" s="28">
        <f>SUM(F593:F593)+9118</f>
        <v>9118</v>
      </c>
      <c r="G592" s="28">
        <f t="shared" ref="G592:L592" si="264">SUM(G593:G593)</f>
        <v>0</v>
      </c>
      <c r="H592" s="28">
        <f t="shared" si="264"/>
        <v>0</v>
      </c>
      <c r="I592" s="28">
        <f t="shared" si="264"/>
        <v>0</v>
      </c>
      <c r="J592" s="28">
        <f t="shared" si="264"/>
        <v>0</v>
      </c>
      <c r="K592" s="28">
        <f t="shared" si="264"/>
        <v>0</v>
      </c>
      <c r="L592" s="28">
        <f t="shared" si="264"/>
        <v>0</v>
      </c>
      <c r="M592" s="28">
        <f>SUM(M593:M593)+9118</f>
        <v>9118</v>
      </c>
      <c r="N592" s="28">
        <f>SUM(N593:N593)</f>
        <v>0</v>
      </c>
      <c r="O592" s="28">
        <f>SUM(O593:O593)</f>
        <v>0</v>
      </c>
      <c r="P592" s="27" t="s">
        <v>1532</v>
      </c>
      <c r="Q592" s="29" t="s">
        <v>35</v>
      </c>
      <c r="R592" s="30" t="s">
        <v>144</v>
      </c>
    </row>
    <row r="593" spans="1:18" ht="69.75" x14ac:dyDescent="0.25">
      <c r="A593" s="25" t="s">
        <v>1533</v>
      </c>
      <c r="B593" s="26" t="s">
        <v>1534</v>
      </c>
      <c r="C593" s="27"/>
      <c r="D593" s="27"/>
      <c r="E593" s="27"/>
      <c r="F593" s="31">
        <v>0</v>
      </c>
      <c r="G593" s="31">
        <v>0</v>
      </c>
      <c r="H593" s="31">
        <v>0</v>
      </c>
      <c r="I593" s="31">
        <v>0</v>
      </c>
      <c r="J593" s="31">
        <v>0</v>
      </c>
      <c r="K593" s="31">
        <v>0</v>
      </c>
      <c r="L593" s="31">
        <v>0</v>
      </c>
      <c r="M593" s="31">
        <v>0</v>
      </c>
      <c r="N593" s="31">
        <v>0</v>
      </c>
      <c r="O593" s="31">
        <v>0</v>
      </c>
      <c r="P593" s="27"/>
      <c r="Q593" s="29"/>
      <c r="R593" s="30"/>
    </row>
    <row r="594" spans="1:18" ht="69.75" x14ac:dyDescent="0.25">
      <c r="A594" s="25" t="s">
        <v>1535</v>
      </c>
      <c r="B594" s="26" t="s">
        <v>1536</v>
      </c>
      <c r="C594" s="27" t="s">
        <v>1423</v>
      </c>
      <c r="D594" s="27" t="s">
        <v>1537</v>
      </c>
      <c r="E594" s="27" t="s">
        <v>40</v>
      </c>
      <c r="F594" s="28">
        <f>SUM(F595:F595)+2400</f>
        <v>2400</v>
      </c>
      <c r="G594" s="28">
        <f>SUM(G595:G595)</f>
        <v>0</v>
      </c>
      <c r="H594" s="28">
        <f>SUM(H595:H595)</f>
        <v>0</v>
      </c>
      <c r="I594" s="28">
        <f>SUM(I595:I595)</f>
        <v>0</v>
      </c>
      <c r="J594" s="28">
        <f>SUM(J595:J595)+2400</f>
        <v>2400</v>
      </c>
      <c r="K594" s="28">
        <f>SUM(K595:K595)</f>
        <v>0</v>
      </c>
      <c r="L594" s="28">
        <f>SUM(L595:L595)</f>
        <v>0</v>
      </c>
      <c r="M594" s="28">
        <f>SUM(M595:M595)</f>
        <v>0</v>
      </c>
      <c r="N594" s="28">
        <f>SUM(N595:N595)</f>
        <v>0</v>
      </c>
      <c r="O594" s="28">
        <f>SUM(O595:O595)</f>
        <v>0</v>
      </c>
      <c r="P594" s="27" t="s">
        <v>1538</v>
      </c>
      <c r="Q594" s="29" t="s">
        <v>35</v>
      </c>
      <c r="R594" s="30" t="s">
        <v>88</v>
      </c>
    </row>
    <row r="595" spans="1:18" ht="69.75" x14ac:dyDescent="0.25">
      <c r="A595" s="25" t="s">
        <v>1539</v>
      </c>
      <c r="B595" s="26" t="s">
        <v>1540</v>
      </c>
      <c r="C595" s="27"/>
      <c r="D595" s="27"/>
      <c r="E595" s="27"/>
      <c r="F595" s="31">
        <v>0</v>
      </c>
      <c r="G595" s="31">
        <v>0</v>
      </c>
      <c r="H595" s="31">
        <v>0</v>
      </c>
      <c r="I595" s="31">
        <v>0</v>
      </c>
      <c r="J595" s="31">
        <v>0</v>
      </c>
      <c r="K595" s="31">
        <v>0</v>
      </c>
      <c r="L595" s="31">
        <v>0</v>
      </c>
      <c r="M595" s="31">
        <v>0</v>
      </c>
      <c r="N595" s="31">
        <v>0</v>
      </c>
      <c r="O595" s="31">
        <v>0</v>
      </c>
      <c r="P595" s="27"/>
      <c r="Q595" s="29"/>
      <c r="R595" s="30"/>
    </row>
    <row r="596" spans="1:18" ht="45" x14ac:dyDescent="0.25">
      <c r="A596" s="19" t="s">
        <v>1541</v>
      </c>
      <c r="B596" s="20" t="s">
        <v>1542</v>
      </c>
      <c r="C596" s="21" t="s">
        <v>1423</v>
      </c>
      <c r="D596" s="21" t="s">
        <v>1426</v>
      </c>
      <c r="E596" s="21" t="s">
        <v>33</v>
      </c>
      <c r="F596" s="22">
        <f t="shared" ref="F596:O596" si="265">SUM(F597:F597)</f>
        <v>14900</v>
      </c>
      <c r="G596" s="22">
        <f t="shared" si="265"/>
        <v>14900</v>
      </c>
      <c r="H596" s="22">
        <f t="shared" si="265"/>
        <v>0</v>
      </c>
      <c r="I596" s="22">
        <f t="shared" si="265"/>
        <v>0</v>
      </c>
      <c r="J596" s="22">
        <f t="shared" si="265"/>
        <v>0</v>
      </c>
      <c r="K596" s="22">
        <f t="shared" si="265"/>
        <v>0</v>
      </c>
      <c r="L596" s="22">
        <f t="shared" si="265"/>
        <v>0</v>
      </c>
      <c r="M596" s="22">
        <f t="shared" si="265"/>
        <v>0</v>
      </c>
      <c r="N596" s="22">
        <f t="shared" si="265"/>
        <v>0</v>
      </c>
      <c r="O596" s="22">
        <f t="shared" si="265"/>
        <v>0</v>
      </c>
      <c r="P596" s="21" t="s">
        <v>1543</v>
      </c>
      <c r="Q596" s="23" t="s">
        <v>35</v>
      </c>
      <c r="R596" s="24" t="s">
        <v>1544</v>
      </c>
    </row>
    <row r="597" spans="1:18" ht="116.25" x14ac:dyDescent="0.25">
      <c r="A597" s="25" t="s">
        <v>1545</v>
      </c>
      <c r="B597" s="26" t="s">
        <v>1546</v>
      </c>
      <c r="C597" s="27" t="s">
        <v>1423</v>
      </c>
      <c r="D597" s="27" t="s">
        <v>1547</v>
      </c>
      <c r="E597" s="27" t="s">
        <v>40</v>
      </c>
      <c r="F597" s="28">
        <f>SUM(F598:F598)+14900</f>
        <v>14900</v>
      </c>
      <c r="G597" s="28">
        <f>SUM(G598:G598)+14900</f>
        <v>14900</v>
      </c>
      <c r="H597" s="28">
        <f t="shared" ref="H597:O597" si="266">SUM(H598:H598)</f>
        <v>0</v>
      </c>
      <c r="I597" s="28">
        <f t="shared" si="266"/>
        <v>0</v>
      </c>
      <c r="J597" s="28">
        <f t="shared" si="266"/>
        <v>0</v>
      </c>
      <c r="K597" s="28">
        <f t="shared" si="266"/>
        <v>0</v>
      </c>
      <c r="L597" s="28">
        <f t="shared" si="266"/>
        <v>0</v>
      </c>
      <c r="M597" s="28">
        <f t="shared" si="266"/>
        <v>0</v>
      </c>
      <c r="N597" s="28">
        <f t="shared" si="266"/>
        <v>0</v>
      </c>
      <c r="O597" s="28">
        <f t="shared" si="266"/>
        <v>0</v>
      </c>
      <c r="P597" s="27" t="s">
        <v>1548</v>
      </c>
      <c r="Q597" s="29" t="s">
        <v>35</v>
      </c>
      <c r="R597" s="30" t="s">
        <v>1549</v>
      </c>
    </row>
    <row r="598" spans="1:18" ht="46.5" x14ac:dyDescent="0.25">
      <c r="A598" s="25" t="s">
        <v>1550</v>
      </c>
      <c r="B598" s="26" t="s">
        <v>1551</v>
      </c>
      <c r="C598" s="27"/>
      <c r="D598" s="27"/>
      <c r="E598" s="27"/>
      <c r="F598" s="31">
        <v>0</v>
      </c>
      <c r="G598" s="31">
        <v>0</v>
      </c>
      <c r="H598" s="31">
        <v>0</v>
      </c>
      <c r="I598" s="31">
        <v>0</v>
      </c>
      <c r="J598" s="31">
        <v>0</v>
      </c>
      <c r="K598" s="31">
        <v>0</v>
      </c>
      <c r="L598" s="31">
        <v>0</v>
      </c>
      <c r="M598" s="31">
        <v>0</v>
      </c>
      <c r="N598" s="31">
        <v>0</v>
      </c>
      <c r="O598" s="31">
        <v>0</v>
      </c>
      <c r="P598" s="27"/>
      <c r="Q598" s="29"/>
      <c r="R598" s="30"/>
    </row>
    <row r="599" spans="1:18" ht="45" x14ac:dyDescent="0.25">
      <c r="A599" s="13" t="s">
        <v>1552</v>
      </c>
      <c r="B599" s="14" t="s">
        <v>1553</v>
      </c>
      <c r="C599" s="15" t="s">
        <v>1423</v>
      </c>
      <c r="D599" s="15" t="s">
        <v>1426</v>
      </c>
      <c r="E599" s="15"/>
      <c r="F599" s="16">
        <f t="shared" ref="F599:O599" si="267">F600+F603+F613+F616+F619+F709+F712</f>
        <v>18330667.870000001</v>
      </c>
      <c r="G599" s="16">
        <f t="shared" si="267"/>
        <v>3408877.04</v>
      </c>
      <c r="H599" s="16">
        <f t="shared" si="267"/>
        <v>112119.24</v>
      </c>
      <c r="I599" s="16">
        <f t="shared" si="267"/>
        <v>0</v>
      </c>
      <c r="J599" s="16">
        <f t="shared" si="267"/>
        <v>735074</v>
      </c>
      <c r="K599" s="16">
        <f t="shared" si="267"/>
        <v>0</v>
      </c>
      <c r="L599" s="16">
        <f t="shared" si="267"/>
        <v>1470781.5099999998</v>
      </c>
      <c r="M599" s="16">
        <f t="shared" si="267"/>
        <v>11694719.08</v>
      </c>
      <c r="N599" s="16">
        <f t="shared" si="267"/>
        <v>0</v>
      </c>
      <c r="O599" s="16">
        <f t="shared" si="267"/>
        <v>0</v>
      </c>
      <c r="P599" s="15" t="s">
        <v>507</v>
      </c>
      <c r="Q599" s="17" t="s">
        <v>29</v>
      </c>
      <c r="R599" s="18" t="s">
        <v>869</v>
      </c>
    </row>
    <row r="600" spans="1:18" ht="45" x14ac:dyDescent="0.25">
      <c r="A600" s="19" t="s">
        <v>1554</v>
      </c>
      <c r="B600" s="20" t="s">
        <v>1555</v>
      </c>
      <c r="C600" s="21" t="s">
        <v>1423</v>
      </c>
      <c r="D600" s="21" t="s">
        <v>1426</v>
      </c>
      <c r="E600" s="21" t="s">
        <v>33</v>
      </c>
      <c r="F600" s="22">
        <f t="shared" ref="F600:O600" si="268">SUM(F601:F601)</f>
        <v>94331.14</v>
      </c>
      <c r="G600" s="22">
        <f t="shared" si="268"/>
        <v>0</v>
      </c>
      <c r="H600" s="22">
        <f t="shared" si="268"/>
        <v>0</v>
      </c>
      <c r="I600" s="22">
        <f t="shared" si="268"/>
        <v>0</v>
      </c>
      <c r="J600" s="22">
        <f t="shared" si="268"/>
        <v>0</v>
      </c>
      <c r="K600" s="22">
        <f t="shared" si="268"/>
        <v>0</v>
      </c>
      <c r="L600" s="22">
        <f t="shared" si="268"/>
        <v>0</v>
      </c>
      <c r="M600" s="22">
        <f t="shared" si="268"/>
        <v>94331.14</v>
      </c>
      <c r="N600" s="22">
        <f t="shared" si="268"/>
        <v>0</v>
      </c>
      <c r="O600" s="22">
        <f t="shared" si="268"/>
        <v>0</v>
      </c>
      <c r="P600" s="21" t="s">
        <v>1556</v>
      </c>
      <c r="Q600" s="23" t="s">
        <v>35</v>
      </c>
      <c r="R600" s="24" t="s">
        <v>508</v>
      </c>
    </row>
    <row r="601" spans="1:18" ht="69.75" x14ac:dyDescent="0.25">
      <c r="A601" s="25" t="s">
        <v>1557</v>
      </c>
      <c r="B601" s="26" t="s">
        <v>1558</v>
      </c>
      <c r="C601" s="27" t="s">
        <v>1423</v>
      </c>
      <c r="D601" s="27" t="s">
        <v>1559</v>
      </c>
      <c r="E601" s="27" t="s">
        <v>40</v>
      </c>
      <c r="F601" s="28">
        <f>SUM(F602:F602)+94331.14</f>
        <v>94331.14</v>
      </c>
      <c r="G601" s="28">
        <f t="shared" ref="G601:L601" si="269">SUM(G602:G602)</f>
        <v>0</v>
      </c>
      <c r="H601" s="28">
        <f t="shared" si="269"/>
        <v>0</v>
      </c>
      <c r="I601" s="28">
        <f t="shared" si="269"/>
        <v>0</v>
      </c>
      <c r="J601" s="28">
        <f t="shared" si="269"/>
        <v>0</v>
      </c>
      <c r="K601" s="28">
        <f t="shared" si="269"/>
        <v>0</v>
      </c>
      <c r="L601" s="28">
        <f t="shared" si="269"/>
        <v>0</v>
      </c>
      <c r="M601" s="28">
        <f>SUM(M602:M602)+94331.14</f>
        <v>94331.14</v>
      </c>
      <c r="N601" s="28">
        <f>SUM(N602:N602)</f>
        <v>0</v>
      </c>
      <c r="O601" s="28">
        <f>SUM(O602:O602)</f>
        <v>0</v>
      </c>
      <c r="P601" s="27" t="s">
        <v>1560</v>
      </c>
      <c r="Q601" s="29" t="s">
        <v>35</v>
      </c>
      <c r="R601" s="30" t="s">
        <v>1561</v>
      </c>
    </row>
    <row r="602" spans="1:18" ht="46.5" x14ac:dyDescent="0.25">
      <c r="A602" s="25" t="s">
        <v>1562</v>
      </c>
      <c r="B602" s="26" t="s">
        <v>1563</v>
      </c>
      <c r="C602" s="27"/>
      <c r="D602" s="27"/>
      <c r="E602" s="27"/>
      <c r="F602" s="31">
        <v>0</v>
      </c>
      <c r="G602" s="31">
        <v>0</v>
      </c>
      <c r="H602" s="31">
        <v>0</v>
      </c>
      <c r="I602" s="31">
        <v>0</v>
      </c>
      <c r="J602" s="31">
        <v>0</v>
      </c>
      <c r="K602" s="31">
        <v>0</v>
      </c>
      <c r="L602" s="31">
        <v>0</v>
      </c>
      <c r="M602" s="31">
        <v>0</v>
      </c>
      <c r="N602" s="31">
        <v>0</v>
      </c>
      <c r="O602" s="31">
        <v>0</v>
      </c>
      <c r="P602" s="27"/>
      <c r="Q602" s="29"/>
      <c r="R602" s="30"/>
    </row>
    <row r="603" spans="1:18" ht="67.5" x14ac:dyDescent="0.25">
      <c r="A603" s="19" t="s">
        <v>1564</v>
      </c>
      <c r="B603" s="20" t="s">
        <v>1565</v>
      </c>
      <c r="C603" s="21" t="s">
        <v>1566</v>
      </c>
      <c r="D603" s="21" t="s">
        <v>1567</v>
      </c>
      <c r="E603" s="21" t="s">
        <v>33</v>
      </c>
      <c r="F603" s="22">
        <f t="shared" ref="F603:O603" si="270">F604+F605+F607</f>
        <v>1772920.69</v>
      </c>
      <c r="G603" s="22">
        <f t="shared" si="270"/>
        <v>61320.04</v>
      </c>
      <c r="H603" s="22">
        <f t="shared" si="270"/>
        <v>0</v>
      </c>
      <c r="I603" s="22">
        <f t="shared" si="270"/>
        <v>0</v>
      </c>
      <c r="J603" s="22">
        <f t="shared" si="270"/>
        <v>0</v>
      </c>
      <c r="K603" s="22">
        <f t="shared" si="270"/>
        <v>0</v>
      </c>
      <c r="L603" s="22">
        <f t="shared" si="270"/>
        <v>1470781.5099999998</v>
      </c>
      <c r="M603" s="22">
        <f t="shared" si="270"/>
        <v>240819.14</v>
      </c>
      <c r="N603" s="22">
        <f t="shared" si="270"/>
        <v>0</v>
      </c>
      <c r="O603" s="22">
        <f t="shared" si="270"/>
        <v>0</v>
      </c>
      <c r="P603" s="21" t="s">
        <v>1568</v>
      </c>
      <c r="Q603" s="23" t="s">
        <v>35</v>
      </c>
      <c r="R603" s="24" t="s">
        <v>181</v>
      </c>
    </row>
    <row r="604" spans="1:18" ht="69.75" x14ac:dyDescent="0.25">
      <c r="A604" s="32"/>
      <c r="B604" s="33"/>
      <c r="C604" s="34"/>
      <c r="D604" s="34"/>
      <c r="E604" s="34"/>
      <c r="F604" s="35">
        <v>0</v>
      </c>
      <c r="G604" s="35">
        <v>0</v>
      </c>
      <c r="H604" s="35">
        <v>0</v>
      </c>
      <c r="I604" s="35">
        <v>0</v>
      </c>
      <c r="J604" s="35">
        <v>0</v>
      </c>
      <c r="K604" s="35">
        <v>0</v>
      </c>
      <c r="L604" s="35">
        <v>0</v>
      </c>
      <c r="M604" s="35">
        <v>0</v>
      </c>
      <c r="N604" s="35">
        <v>0</v>
      </c>
      <c r="O604" s="35">
        <v>0</v>
      </c>
      <c r="P604" s="34" t="s">
        <v>1569</v>
      </c>
      <c r="Q604" s="36" t="s">
        <v>35</v>
      </c>
      <c r="R604" s="37" t="s">
        <v>48</v>
      </c>
    </row>
    <row r="605" spans="1:18" ht="93" x14ac:dyDescent="0.25">
      <c r="A605" s="25" t="s">
        <v>1570</v>
      </c>
      <c r="B605" s="26" t="s">
        <v>1571</v>
      </c>
      <c r="C605" s="27" t="s">
        <v>277</v>
      </c>
      <c r="D605" s="27" t="s">
        <v>288</v>
      </c>
      <c r="E605" s="27" t="s">
        <v>40</v>
      </c>
      <c r="F605" s="28">
        <f>SUM(F606:F606)+438046.64</f>
        <v>438046.64</v>
      </c>
      <c r="G605" s="28">
        <f>SUM(G606:G606)+51320.04</f>
        <v>51320.04</v>
      </c>
      <c r="H605" s="28">
        <f>SUM(H606:H606)</f>
        <v>0</v>
      </c>
      <c r="I605" s="28">
        <f>SUM(I606:I606)</f>
        <v>0</v>
      </c>
      <c r="J605" s="28">
        <f>SUM(J606:J606)</f>
        <v>0</v>
      </c>
      <c r="K605" s="28">
        <f>SUM(K606:K606)</f>
        <v>0</v>
      </c>
      <c r="L605" s="28">
        <f>SUM(L606:L606)+386726.6</f>
        <v>386726.6</v>
      </c>
      <c r="M605" s="28">
        <f>SUM(M606:M606)</f>
        <v>0</v>
      </c>
      <c r="N605" s="28">
        <f>SUM(N606:N606)</f>
        <v>0</v>
      </c>
      <c r="O605" s="28">
        <f>SUM(O606:O606)</f>
        <v>0</v>
      </c>
      <c r="P605" s="27" t="s">
        <v>1572</v>
      </c>
      <c r="Q605" s="29" t="s">
        <v>35</v>
      </c>
      <c r="R605" s="30" t="s">
        <v>48</v>
      </c>
    </row>
    <row r="606" spans="1:18" ht="69.75" x14ac:dyDescent="0.25">
      <c r="A606" s="25" t="s">
        <v>1573</v>
      </c>
      <c r="B606" s="26" t="s">
        <v>1574</v>
      </c>
      <c r="C606" s="27"/>
      <c r="D606" s="27"/>
      <c r="E606" s="27"/>
      <c r="F606" s="31">
        <v>0</v>
      </c>
      <c r="G606" s="31">
        <v>0</v>
      </c>
      <c r="H606" s="31">
        <v>0</v>
      </c>
      <c r="I606" s="31">
        <v>0</v>
      </c>
      <c r="J606" s="31">
        <v>0</v>
      </c>
      <c r="K606" s="31">
        <v>0</v>
      </c>
      <c r="L606" s="31">
        <v>0</v>
      </c>
      <c r="M606" s="31">
        <v>0</v>
      </c>
      <c r="N606" s="31">
        <v>0</v>
      </c>
      <c r="O606" s="31">
        <v>0</v>
      </c>
      <c r="P606" s="27"/>
      <c r="Q606" s="29"/>
      <c r="R606" s="30"/>
    </row>
    <row r="607" spans="1:18" ht="116.25" x14ac:dyDescent="0.25">
      <c r="A607" s="25" t="s">
        <v>1575</v>
      </c>
      <c r="B607" s="26" t="s">
        <v>1576</v>
      </c>
      <c r="C607" s="27" t="s">
        <v>1566</v>
      </c>
      <c r="D607" s="27" t="s">
        <v>1567</v>
      </c>
      <c r="E607" s="27" t="s">
        <v>40</v>
      </c>
      <c r="F607" s="28">
        <f>SUM(F608:F612)+1334874.05</f>
        <v>1334874.05</v>
      </c>
      <c r="G607" s="28">
        <f>SUM(G608:G612)+10000</f>
        <v>10000</v>
      </c>
      <c r="H607" s="28">
        <f>SUM(H608:H612)</f>
        <v>0</v>
      </c>
      <c r="I607" s="28">
        <f>SUM(I608:I612)</f>
        <v>0</v>
      </c>
      <c r="J607" s="28">
        <f>SUM(J608:J612)</f>
        <v>0</v>
      </c>
      <c r="K607" s="28">
        <f>SUM(K608:K612)</f>
        <v>0</v>
      </c>
      <c r="L607" s="28">
        <f>SUM(L608:L612)+1084054.91</f>
        <v>1084054.9099999999</v>
      </c>
      <c r="M607" s="28">
        <f>SUM(M608:M612)+240819.14</f>
        <v>240819.14</v>
      </c>
      <c r="N607" s="28">
        <f>SUM(N608:N612)</f>
        <v>0</v>
      </c>
      <c r="O607" s="28">
        <f>SUM(O608:O612)</f>
        <v>0</v>
      </c>
      <c r="P607" s="27" t="s">
        <v>1577</v>
      </c>
      <c r="Q607" s="29" t="s">
        <v>35</v>
      </c>
      <c r="R607" s="30" t="s">
        <v>36</v>
      </c>
    </row>
    <row r="608" spans="1:18" ht="69.75" x14ac:dyDescent="0.25">
      <c r="A608" s="32"/>
      <c r="B608" s="33"/>
      <c r="C608" s="34"/>
      <c r="D608" s="34"/>
      <c r="E608" s="34"/>
      <c r="F608" s="35">
        <v>0</v>
      </c>
      <c r="G608" s="35">
        <v>0</v>
      </c>
      <c r="H608" s="35">
        <v>0</v>
      </c>
      <c r="I608" s="35">
        <v>0</v>
      </c>
      <c r="J608" s="35">
        <v>0</v>
      </c>
      <c r="K608" s="35">
        <v>0</v>
      </c>
      <c r="L608" s="35">
        <v>0</v>
      </c>
      <c r="M608" s="35">
        <v>0</v>
      </c>
      <c r="N608" s="35">
        <v>0</v>
      </c>
      <c r="O608" s="35">
        <v>0</v>
      </c>
      <c r="P608" s="34" t="s">
        <v>1568</v>
      </c>
      <c r="Q608" s="36" t="s">
        <v>35</v>
      </c>
      <c r="R608" s="37" t="s">
        <v>144</v>
      </c>
    </row>
    <row r="609" spans="1:18" ht="46.5" x14ac:dyDescent="0.25">
      <c r="A609" s="32"/>
      <c r="B609" s="33"/>
      <c r="C609" s="34"/>
      <c r="D609" s="34"/>
      <c r="E609" s="34"/>
      <c r="F609" s="35">
        <v>0</v>
      </c>
      <c r="G609" s="35">
        <v>0</v>
      </c>
      <c r="H609" s="35">
        <v>0</v>
      </c>
      <c r="I609" s="35">
        <v>0</v>
      </c>
      <c r="J609" s="35">
        <v>0</v>
      </c>
      <c r="K609" s="35">
        <v>0</v>
      </c>
      <c r="L609" s="35">
        <v>0</v>
      </c>
      <c r="M609" s="35">
        <v>0</v>
      </c>
      <c r="N609" s="35">
        <v>0</v>
      </c>
      <c r="O609" s="35">
        <v>0</v>
      </c>
      <c r="P609" s="34" t="s">
        <v>1578</v>
      </c>
      <c r="Q609" s="36" t="s">
        <v>35</v>
      </c>
      <c r="R609" s="37" t="s">
        <v>36</v>
      </c>
    </row>
    <row r="610" spans="1:18" ht="69.75" x14ac:dyDescent="0.25">
      <c r="A610" s="25" t="s">
        <v>1579</v>
      </c>
      <c r="B610" s="26" t="s">
        <v>1580</v>
      </c>
      <c r="C610" s="27"/>
      <c r="D610" s="27"/>
      <c r="E610" s="27"/>
      <c r="F610" s="31">
        <v>0</v>
      </c>
      <c r="G610" s="31">
        <v>0</v>
      </c>
      <c r="H610" s="31">
        <v>0</v>
      </c>
      <c r="I610" s="31">
        <v>0</v>
      </c>
      <c r="J610" s="31">
        <v>0</v>
      </c>
      <c r="K610" s="31">
        <v>0</v>
      </c>
      <c r="L610" s="31">
        <v>0</v>
      </c>
      <c r="M610" s="31">
        <v>0</v>
      </c>
      <c r="N610" s="31">
        <v>0</v>
      </c>
      <c r="O610" s="31">
        <v>0</v>
      </c>
      <c r="P610" s="27"/>
      <c r="Q610" s="29"/>
      <c r="R610" s="30"/>
    </row>
    <row r="611" spans="1:18" ht="93" x14ac:dyDescent="0.25">
      <c r="A611" s="25" t="s">
        <v>1581</v>
      </c>
      <c r="B611" s="26" t="s">
        <v>1582</v>
      </c>
      <c r="C611" s="27"/>
      <c r="D611" s="27"/>
      <c r="E611" s="27"/>
      <c r="F611" s="31">
        <v>0</v>
      </c>
      <c r="G611" s="31">
        <v>0</v>
      </c>
      <c r="H611" s="31">
        <v>0</v>
      </c>
      <c r="I611" s="31">
        <v>0</v>
      </c>
      <c r="J611" s="31">
        <v>0</v>
      </c>
      <c r="K611" s="31">
        <v>0</v>
      </c>
      <c r="L611" s="31">
        <v>0</v>
      </c>
      <c r="M611" s="31">
        <v>0</v>
      </c>
      <c r="N611" s="31">
        <v>0</v>
      </c>
      <c r="O611" s="31">
        <v>0</v>
      </c>
      <c r="P611" s="27"/>
      <c r="Q611" s="29"/>
      <c r="R611" s="30"/>
    </row>
    <row r="612" spans="1:18" ht="69.75" x14ac:dyDescent="0.25">
      <c r="A612" s="25" t="s">
        <v>1583</v>
      </c>
      <c r="B612" s="26" t="s">
        <v>1584</v>
      </c>
      <c r="C612" s="27"/>
      <c r="D612" s="27"/>
      <c r="E612" s="27"/>
      <c r="F612" s="31">
        <v>0</v>
      </c>
      <c r="G612" s="31">
        <v>0</v>
      </c>
      <c r="H612" s="31">
        <v>0</v>
      </c>
      <c r="I612" s="31">
        <v>0</v>
      </c>
      <c r="J612" s="31">
        <v>0</v>
      </c>
      <c r="K612" s="31">
        <v>0</v>
      </c>
      <c r="L612" s="31">
        <v>0</v>
      </c>
      <c r="M612" s="31">
        <v>0</v>
      </c>
      <c r="N612" s="31">
        <v>0</v>
      </c>
      <c r="O612" s="31">
        <v>0</v>
      </c>
      <c r="P612" s="27"/>
      <c r="Q612" s="29"/>
      <c r="R612" s="30"/>
    </row>
    <row r="613" spans="1:18" ht="112.5" x14ac:dyDescent="0.25">
      <c r="A613" s="19" t="s">
        <v>1585</v>
      </c>
      <c r="B613" s="20" t="s">
        <v>1586</v>
      </c>
      <c r="C613" s="21" t="s">
        <v>1423</v>
      </c>
      <c r="D613" s="21" t="s">
        <v>1426</v>
      </c>
      <c r="E613" s="21" t="s">
        <v>33</v>
      </c>
      <c r="F613" s="22">
        <f t="shared" ref="F613:O614" si="271">SUM(F614:F614)</f>
        <v>0</v>
      </c>
      <c r="G613" s="22">
        <f t="shared" si="271"/>
        <v>0</v>
      </c>
      <c r="H613" s="22">
        <f t="shared" si="271"/>
        <v>0</v>
      </c>
      <c r="I613" s="22">
        <f t="shared" si="271"/>
        <v>0</v>
      </c>
      <c r="J613" s="22">
        <f t="shared" si="271"/>
        <v>0</v>
      </c>
      <c r="K613" s="22">
        <f t="shared" si="271"/>
        <v>0</v>
      </c>
      <c r="L613" s="22">
        <f t="shared" si="271"/>
        <v>0</v>
      </c>
      <c r="M613" s="22">
        <f t="shared" si="271"/>
        <v>0</v>
      </c>
      <c r="N613" s="22">
        <f t="shared" si="271"/>
        <v>0</v>
      </c>
      <c r="O613" s="22">
        <f t="shared" si="271"/>
        <v>0</v>
      </c>
      <c r="P613" s="21" t="s">
        <v>1587</v>
      </c>
      <c r="Q613" s="23" t="s">
        <v>35</v>
      </c>
      <c r="R613" s="24" t="s">
        <v>48</v>
      </c>
    </row>
    <row r="614" spans="1:18" ht="46.5" x14ac:dyDescent="0.25">
      <c r="A614" s="25" t="s">
        <v>1588</v>
      </c>
      <c r="B614" s="26" t="s">
        <v>1589</v>
      </c>
      <c r="C614" s="27" t="s">
        <v>1423</v>
      </c>
      <c r="D614" s="27" t="s">
        <v>1426</v>
      </c>
      <c r="E614" s="27" t="s">
        <v>40</v>
      </c>
      <c r="F614" s="28">
        <f t="shared" si="271"/>
        <v>0</v>
      </c>
      <c r="G614" s="28">
        <f t="shared" si="271"/>
        <v>0</v>
      </c>
      <c r="H614" s="28">
        <f t="shared" si="271"/>
        <v>0</v>
      </c>
      <c r="I614" s="28">
        <f t="shared" si="271"/>
        <v>0</v>
      </c>
      <c r="J614" s="28">
        <f t="shared" si="271"/>
        <v>0</v>
      </c>
      <c r="K614" s="28">
        <f t="shared" si="271"/>
        <v>0</v>
      </c>
      <c r="L614" s="28">
        <f t="shared" si="271"/>
        <v>0</v>
      </c>
      <c r="M614" s="28">
        <f t="shared" si="271"/>
        <v>0</v>
      </c>
      <c r="N614" s="28">
        <f t="shared" si="271"/>
        <v>0</v>
      </c>
      <c r="O614" s="28">
        <f t="shared" si="271"/>
        <v>0</v>
      </c>
      <c r="P614" s="27" t="s">
        <v>1590</v>
      </c>
      <c r="Q614" s="29" t="s">
        <v>35</v>
      </c>
      <c r="R614" s="30" t="s">
        <v>48</v>
      </c>
    </row>
    <row r="615" spans="1:18" ht="69.75" x14ac:dyDescent="0.25">
      <c r="A615" s="25" t="s">
        <v>1591</v>
      </c>
      <c r="B615" s="26" t="s">
        <v>1592</v>
      </c>
      <c r="C615" s="27"/>
      <c r="D615" s="27"/>
      <c r="E615" s="27"/>
      <c r="F615" s="31">
        <v>0</v>
      </c>
      <c r="G615" s="31">
        <v>0</v>
      </c>
      <c r="H615" s="31">
        <v>0</v>
      </c>
      <c r="I615" s="31">
        <v>0</v>
      </c>
      <c r="J615" s="31">
        <v>0</v>
      </c>
      <c r="K615" s="31">
        <v>0</v>
      </c>
      <c r="L615" s="31">
        <v>0</v>
      </c>
      <c r="M615" s="31">
        <v>0</v>
      </c>
      <c r="N615" s="31">
        <v>0</v>
      </c>
      <c r="O615" s="31">
        <v>0</v>
      </c>
      <c r="P615" s="27"/>
      <c r="Q615" s="29"/>
      <c r="R615" s="30"/>
    </row>
    <row r="616" spans="1:18" ht="90" x14ac:dyDescent="0.25">
      <c r="A616" s="19" t="s">
        <v>1593</v>
      </c>
      <c r="B616" s="20" t="s">
        <v>1594</v>
      </c>
      <c r="C616" s="21" t="s">
        <v>1423</v>
      </c>
      <c r="D616" s="21" t="s">
        <v>1426</v>
      </c>
      <c r="E616" s="21" t="s">
        <v>33</v>
      </c>
      <c r="F616" s="22">
        <f t="shared" ref="F616:O616" si="272">SUM(F617:F617)</f>
        <v>290451</v>
      </c>
      <c r="G616" s="22">
        <f t="shared" si="272"/>
        <v>273057</v>
      </c>
      <c r="H616" s="22">
        <f t="shared" si="272"/>
        <v>0</v>
      </c>
      <c r="I616" s="22">
        <f t="shared" si="272"/>
        <v>0</v>
      </c>
      <c r="J616" s="22">
        <f t="shared" si="272"/>
        <v>0</v>
      </c>
      <c r="K616" s="22">
        <f t="shared" si="272"/>
        <v>0</v>
      </c>
      <c r="L616" s="22">
        <f t="shared" si="272"/>
        <v>0</v>
      </c>
      <c r="M616" s="22">
        <f t="shared" si="272"/>
        <v>17394</v>
      </c>
      <c r="N616" s="22">
        <f t="shared" si="272"/>
        <v>0</v>
      </c>
      <c r="O616" s="22">
        <f t="shared" si="272"/>
        <v>0</v>
      </c>
      <c r="P616" s="21" t="s">
        <v>1590</v>
      </c>
      <c r="Q616" s="23" t="s">
        <v>35</v>
      </c>
      <c r="R616" s="24" t="s">
        <v>36</v>
      </c>
    </row>
    <row r="617" spans="1:18" ht="69.75" x14ac:dyDescent="0.25">
      <c r="A617" s="25" t="s">
        <v>1595</v>
      </c>
      <c r="B617" s="26" t="s">
        <v>1596</v>
      </c>
      <c r="C617" s="27" t="s">
        <v>1423</v>
      </c>
      <c r="D617" s="27" t="s">
        <v>1597</v>
      </c>
      <c r="E617" s="27" t="s">
        <v>40</v>
      </c>
      <c r="F617" s="28">
        <f>SUM(F618:F618)+290451</f>
        <v>290451</v>
      </c>
      <c r="G617" s="28">
        <f>SUM(G618:G618)+273057</f>
        <v>273057</v>
      </c>
      <c r="H617" s="28">
        <f>SUM(H618:H618)</f>
        <v>0</v>
      </c>
      <c r="I617" s="28">
        <f>SUM(I618:I618)</f>
        <v>0</v>
      </c>
      <c r="J617" s="28">
        <f>SUM(J618:J618)</f>
        <v>0</v>
      </c>
      <c r="K617" s="28">
        <f>SUM(K618:K618)</f>
        <v>0</v>
      </c>
      <c r="L617" s="28">
        <f>SUM(L618:L618)</f>
        <v>0</v>
      </c>
      <c r="M617" s="28">
        <f>SUM(M618:M618)+17394</f>
        <v>17394</v>
      </c>
      <c r="N617" s="28">
        <f>SUM(N618:N618)</f>
        <v>0</v>
      </c>
      <c r="O617" s="28">
        <f>SUM(O618:O618)</f>
        <v>0</v>
      </c>
      <c r="P617" s="27" t="s">
        <v>1598</v>
      </c>
      <c r="Q617" s="29" t="s">
        <v>35</v>
      </c>
      <c r="R617" s="30" t="s">
        <v>68</v>
      </c>
    </row>
    <row r="618" spans="1:18" ht="46.5" x14ac:dyDescent="0.25">
      <c r="A618" s="25" t="s">
        <v>1599</v>
      </c>
      <c r="B618" s="26" t="s">
        <v>1600</v>
      </c>
      <c r="C618" s="27"/>
      <c r="D618" s="27"/>
      <c r="E618" s="27"/>
      <c r="F618" s="31">
        <v>0</v>
      </c>
      <c r="G618" s="31">
        <v>0</v>
      </c>
      <c r="H618" s="31">
        <v>0</v>
      </c>
      <c r="I618" s="31">
        <v>0</v>
      </c>
      <c r="J618" s="31">
        <v>0</v>
      </c>
      <c r="K618" s="31">
        <v>0</v>
      </c>
      <c r="L618" s="31">
        <v>0</v>
      </c>
      <c r="M618" s="31">
        <v>0</v>
      </c>
      <c r="N618" s="31">
        <v>0</v>
      </c>
      <c r="O618" s="31">
        <v>0</v>
      </c>
      <c r="P618" s="27"/>
      <c r="Q618" s="29"/>
      <c r="R618" s="30"/>
    </row>
    <row r="619" spans="1:18" ht="67.5" x14ac:dyDescent="0.25">
      <c r="A619" s="19" t="s">
        <v>1601</v>
      </c>
      <c r="B619" s="20" t="s">
        <v>1602</v>
      </c>
      <c r="C619" s="21" t="s">
        <v>1423</v>
      </c>
      <c r="D619" s="21" t="s">
        <v>1426</v>
      </c>
      <c r="E619" s="21" t="s">
        <v>33</v>
      </c>
      <c r="F619" s="22">
        <f t="shared" ref="F619:O619" si="273">F620+F622+F624+F626+F628+F630+F632+F635+F638+F641+F643+F645+F647+F649+F651+F653+F655+F657+F659+F661+F663+F665+F667+F669+F671+F673+F675+F677+F679+F681+F683+F685+F687+F689+F691+F693+F695+F697+F699+F701+F703+F705+F707</f>
        <v>16034110.800000001</v>
      </c>
      <c r="G619" s="22">
        <f t="shared" si="273"/>
        <v>3059500</v>
      </c>
      <c r="H619" s="22">
        <f t="shared" si="273"/>
        <v>0</v>
      </c>
      <c r="I619" s="22">
        <f t="shared" si="273"/>
        <v>0</v>
      </c>
      <c r="J619" s="22">
        <f t="shared" si="273"/>
        <v>728439</v>
      </c>
      <c r="K619" s="22">
        <f t="shared" si="273"/>
        <v>0</v>
      </c>
      <c r="L619" s="22">
        <f t="shared" si="273"/>
        <v>0</v>
      </c>
      <c r="M619" s="22">
        <f t="shared" si="273"/>
        <v>11337074.800000001</v>
      </c>
      <c r="N619" s="22">
        <f t="shared" si="273"/>
        <v>0</v>
      </c>
      <c r="O619" s="22">
        <f t="shared" si="273"/>
        <v>0</v>
      </c>
      <c r="P619" s="21" t="s">
        <v>1590</v>
      </c>
      <c r="Q619" s="23" t="s">
        <v>35</v>
      </c>
      <c r="R619" s="24" t="s">
        <v>144</v>
      </c>
    </row>
    <row r="620" spans="1:18" ht="69.75" x14ac:dyDescent="0.25">
      <c r="A620" s="25" t="s">
        <v>1603</v>
      </c>
      <c r="B620" s="26" t="s">
        <v>1604</v>
      </c>
      <c r="C620" s="27" t="s">
        <v>1423</v>
      </c>
      <c r="D620" s="27" t="s">
        <v>1605</v>
      </c>
      <c r="E620" s="27" t="s">
        <v>40</v>
      </c>
      <c r="F620" s="28">
        <f>SUM(F621:F621)+1336758.41</f>
        <v>1336758.4099999999</v>
      </c>
      <c r="G620" s="28">
        <f>SUM(G621:G621)+942882</f>
        <v>942882</v>
      </c>
      <c r="H620" s="28">
        <f t="shared" ref="H620:O620" si="274">SUM(H621:H621)</f>
        <v>0</v>
      </c>
      <c r="I620" s="28">
        <f t="shared" si="274"/>
        <v>0</v>
      </c>
      <c r="J620" s="28">
        <f t="shared" si="274"/>
        <v>0</v>
      </c>
      <c r="K620" s="28">
        <f t="shared" si="274"/>
        <v>0</v>
      </c>
      <c r="L620" s="28">
        <f t="shared" si="274"/>
        <v>0</v>
      </c>
      <c r="M620" s="28">
        <f t="shared" si="274"/>
        <v>0</v>
      </c>
      <c r="N620" s="28">
        <f t="shared" si="274"/>
        <v>0</v>
      </c>
      <c r="O620" s="28">
        <f t="shared" si="274"/>
        <v>0</v>
      </c>
      <c r="P620" s="27" t="s">
        <v>1606</v>
      </c>
      <c r="Q620" s="29" t="s">
        <v>35</v>
      </c>
      <c r="R620" s="30" t="s">
        <v>1607</v>
      </c>
    </row>
    <row r="621" spans="1:18" ht="46.5" x14ac:dyDescent="0.25">
      <c r="A621" s="25" t="s">
        <v>1608</v>
      </c>
      <c r="B621" s="26" t="s">
        <v>1609</v>
      </c>
      <c r="C621" s="27"/>
      <c r="D621" s="27"/>
      <c r="E621" s="27"/>
      <c r="F621" s="31">
        <v>0</v>
      </c>
      <c r="G621" s="31">
        <v>0</v>
      </c>
      <c r="H621" s="31">
        <v>0</v>
      </c>
      <c r="I621" s="31">
        <v>0</v>
      </c>
      <c r="J621" s="31">
        <v>0</v>
      </c>
      <c r="K621" s="31">
        <v>0</v>
      </c>
      <c r="L621" s="31">
        <v>0</v>
      </c>
      <c r="M621" s="31">
        <v>0</v>
      </c>
      <c r="N621" s="31">
        <v>0</v>
      </c>
      <c r="O621" s="31">
        <v>0</v>
      </c>
      <c r="P621" s="27"/>
      <c r="Q621" s="29"/>
      <c r="R621" s="30"/>
    </row>
    <row r="622" spans="1:18" ht="116.25" x14ac:dyDescent="0.25">
      <c r="A622" s="25" t="s">
        <v>1610</v>
      </c>
      <c r="B622" s="26" t="s">
        <v>1611</v>
      </c>
      <c r="C622" s="27" t="s">
        <v>1423</v>
      </c>
      <c r="D622" s="27" t="s">
        <v>1537</v>
      </c>
      <c r="E622" s="27" t="s">
        <v>40</v>
      </c>
      <c r="F622" s="28">
        <f>SUM(F623:F623)+190000</f>
        <v>190000</v>
      </c>
      <c r="G622" s="28">
        <f>SUM(G623:G623)+190000</f>
        <v>190000</v>
      </c>
      <c r="H622" s="28">
        <f t="shared" ref="H622:O622" si="275">SUM(H623:H623)</f>
        <v>0</v>
      </c>
      <c r="I622" s="28">
        <f t="shared" si="275"/>
        <v>0</v>
      </c>
      <c r="J622" s="28">
        <f t="shared" si="275"/>
        <v>0</v>
      </c>
      <c r="K622" s="28">
        <f t="shared" si="275"/>
        <v>0</v>
      </c>
      <c r="L622" s="28">
        <f t="shared" si="275"/>
        <v>0</v>
      </c>
      <c r="M622" s="28">
        <f t="shared" si="275"/>
        <v>0</v>
      </c>
      <c r="N622" s="28">
        <f t="shared" si="275"/>
        <v>0</v>
      </c>
      <c r="O622" s="28">
        <f t="shared" si="275"/>
        <v>0</v>
      </c>
      <c r="P622" s="27" t="s">
        <v>1612</v>
      </c>
      <c r="Q622" s="29" t="s">
        <v>35</v>
      </c>
      <c r="R622" s="30" t="s">
        <v>1613</v>
      </c>
    </row>
    <row r="623" spans="1:18" ht="93" x14ac:dyDescent="0.25">
      <c r="A623" s="25" t="s">
        <v>1614</v>
      </c>
      <c r="B623" s="26" t="s">
        <v>1615</v>
      </c>
      <c r="C623" s="27"/>
      <c r="D623" s="27"/>
      <c r="E623" s="27"/>
      <c r="F623" s="31">
        <v>0</v>
      </c>
      <c r="G623" s="31">
        <v>0</v>
      </c>
      <c r="H623" s="31">
        <v>0</v>
      </c>
      <c r="I623" s="31">
        <v>0</v>
      </c>
      <c r="J623" s="31">
        <v>0</v>
      </c>
      <c r="K623" s="31">
        <v>0</v>
      </c>
      <c r="L623" s="31">
        <v>0</v>
      </c>
      <c r="M623" s="31">
        <v>0</v>
      </c>
      <c r="N623" s="31">
        <v>0</v>
      </c>
      <c r="O623" s="31">
        <v>0</v>
      </c>
      <c r="P623" s="27"/>
      <c r="Q623" s="29"/>
      <c r="R623" s="30"/>
    </row>
    <row r="624" spans="1:18" ht="93" x14ac:dyDescent="0.25">
      <c r="A624" s="25" t="s">
        <v>1616</v>
      </c>
      <c r="B624" s="26" t="s">
        <v>1617</v>
      </c>
      <c r="C624" s="27" t="s">
        <v>1423</v>
      </c>
      <c r="D624" s="27" t="s">
        <v>1537</v>
      </c>
      <c r="E624" s="27" t="s">
        <v>40</v>
      </c>
      <c r="F624" s="28">
        <f>SUM(F625:F625)+20000</f>
        <v>20000</v>
      </c>
      <c r="G624" s="28">
        <f>SUM(G625:G625)+20000</f>
        <v>20000</v>
      </c>
      <c r="H624" s="28">
        <f t="shared" ref="H624:O624" si="276">SUM(H625:H625)</f>
        <v>0</v>
      </c>
      <c r="I624" s="28">
        <f t="shared" si="276"/>
        <v>0</v>
      </c>
      <c r="J624" s="28">
        <f t="shared" si="276"/>
        <v>0</v>
      </c>
      <c r="K624" s="28">
        <f t="shared" si="276"/>
        <v>0</v>
      </c>
      <c r="L624" s="28">
        <f t="shared" si="276"/>
        <v>0</v>
      </c>
      <c r="M624" s="28">
        <f t="shared" si="276"/>
        <v>0</v>
      </c>
      <c r="N624" s="28">
        <f t="shared" si="276"/>
        <v>0</v>
      </c>
      <c r="O624" s="28">
        <f t="shared" si="276"/>
        <v>0</v>
      </c>
      <c r="P624" s="27" t="s">
        <v>1618</v>
      </c>
      <c r="Q624" s="29" t="s">
        <v>35</v>
      </c>
      <c r="R624" s="30" t="s">
        <v>1619</v>
      </c>
    </row>
    <row r="625" spans="1:18" ht="69.75" x14ac:dyDescent="0.25">
      <c r="A625" s="25" t="s">
        <v>1620</v>
      </c>
      <c r="B625" s="26" t="s">
        <v>1621</v>
      </c>
      <c r="C625" s="27"/>
      <c r="D625" s="27"/>
      <c r="E625" s="27"/>
      <c r="F625" s="31">
        <v>0</v>
      </c>
      <c r="G625" s="31">
        <v>0</v>
      </c>
      <c r="H625" s="31">
        <v>0</v>
      </c>
      <c r="I625" s="31">
        <v>0</v>
      </c>
      <c r="J625" s="31">
        <v>0</v>
      </c>
      <c r="K625" s="31">
        <v>0</v>
      </c>
      <c r="L625" s="31">
        <v>0</v>
      </c>
      <c r="M625" s="31">
        <v>0</v>
      </c>
      <c r="N625" s="31">
        <v>0</v>
      </c>
      <c r="O625" s="31">
        <v>0</v>
      </c>
      <c r="P625" s="27"/>
      <c r="Q625" s="29"/>
      <c r="R625" s="30"/>
    </row>
    <row r="626" spans="1:18" ht="93" x14ac:dyDescent="0.25">
      <c r="A626" s="25" t="s">
        <v>1622</v>
      </c>
      <c r="B626" s="26" t="s">
        <v>1623</v>
      </c>
      <c r="C626" s="27" t="s">
        <v>1423</v>
      </c>
      <c r="D626" s="27" t="s">
        <v>1537</v>
      </c>
      <c r="E626" s="27" t="s">
        <v>40</v>
      </c>
      <c r="F626" s="28">
        <f>SUM(F627:F627)+2000</f>
        <v>2000</v>
      </c>
      <c r="G626" s="28">
        <f>SUM(G627:G627)+2000</f>
        <v>2000</v>
      </c>
      <c r="H626" s="28">
        <f t="shared" ref="H626:O626" si="277">SUM(H627:H627)</f>
        <v>0</v>
      </c>
      <c r="I626" s="28">
        <f t="shared" si="277"/>
        <v>0</v>
      </c>
      <c r="J626" s="28">
        <f t="shared" si="277"/>
        <v>0</v>
      </c>
      <c r="K626" s="28">
        <f t="shared" si="277"/>
        <v>0</v>
      </c>
      <c r="L626" s="28">
        <f t="shared" si="277"/>
        <v>0</v>
      </c>
      <c r="M626" s="28">
        <f t="shared" si="277"/>
        <v>0</v>
      </c>
      <c r="N626" s="28">
        <f t="shared" si="277"/>
        <v>0</v>
      </c>
      <c r="O626" s="28">
        <f t="shared" si="277"/>
        <v>0</v>
      </c>
      <c r="P626" s="27" t="s">
        <v>1624</v>
      </c>
      <c r="Q626" s="29" t="s">
        <v>35</v>
      </c>
      <c r="R626" s="30" t="s">
        <v>135</v>
      </c>
    </row>
    <row r="627" spans="1:18" ht="69.75" x14ac:dyDescent="0.25">
      <c r="A627" s="25" t="s">
        <v>1625</v>
      </c>
      <c r="B627" s="26" t="s">
        <v>1626</v>
      </c>
      <c r="C627" s="27"/>
      <c r="D627" s="27"/>
      <c r="E627" s="27"/>
      <c r="F627" s="31">
        <v>0</v>
      </c>
      <c r="G627" s="31">
        <v>0</v>
      </c>
      <c r="H627" s="31">
        <v>0</v>
      </c>
      <c r="I627" s="31">
        <v>0</v>
      </c>
      <c r="J627" s="31">
        <v>0</v>
      </c>
      <c r="K627" s="31">
        <v>0</v>
      </c>
      <c r="L627" s="31">
        <v>0</v>
      </c>
      <c r="M627" s="31">
        <v>0</v>
      </c>
      <c r="N627" s="31">
        <v>0</v>
      </c>
      <c r="O627" s="31">
        <v>0</v>
      </c>
      <c r="P627" s="27"/>
      <c r="Q627" s="29"/>
      <c r="R627" s="30"/>
    </row>
    <row r="628" spans="1:18" ht="46.5" x14ac:dyDescent="0.25">
      <c r="A628" s="25" t="s">
        <v>1627</v>
      </c>
      <c r="B628" s="26" t="s">
        <v>1628</v>
      </c>
      <c r="C628" s="27" t="s">
        <v>1423</v>
      </c>
      <c r="D628" s="27" t="s">
        <v>1426</v>
      </c>
      <c r="E628" s="27" t="s">
        <v>40</v>
      </c>
      <c r="F628" s="28">
        <f>SUM(F629:F629)+36000</f>
        <v>36000</v>
      </c>
      <c r="G628" s="28">
        <f>SUM(G629:G629)+36000</f>
        <v>36000</v>
      </c>
      <c r="H628" s="28">
        <f t="shared" ref="H628:O628" si="278">SUM(H629:H629)</f>
        <v>0</v>
      </c>
      <c r="I628" s="28">
        <f t="shared" si="278"/>
        <v>0</v>
      </c>
      <c r="J628" s="28">
        <f t="shared" si="278"/>
        <v>0</v>
      </c>
      <c r="K628" s="28">
        <f t="shared" si="278"/>
        <v>0</v>
      </c>
      <c r="L628" s="28">
        <f t="shared" si="278"/>
        <v>0</v>
      </c>
      <c r="M628" s="28">
        <f t="shared" si="278"/>
        <v>0</v>
      </c>
      <c r="N628" s="28">
        <f t="shared" si="278"/>
        <v>0</v>
      </c>
      <c r="O628" s="28">
        <f t="shared" si="278"/>
        <v>0</v>
      </c>
      <c r="P628" s="27" t="s">
        <v>1629</v>
      </c>
      <c r="Q628" s="29" t="s">
        <v>35</v>
      </c>
      <c r="R628" s="30" t="s">
        <v>1630</v>
      </c>
    </row>
    <row r="629" spans="1:18" ht="69.75" x14ac:dyDescent="0.25">
      <c r="A629" s="25" t="s">
        <v>1631</v>
      </c>
      <c r="B629" s="26" t="s">
        <v>1632</v>
      </c>
      <c r="C629" s="27"/>
      <c r="D629" s="27"/>
      <c r="E629" s="27"/>
      <c r="F629" s="31">
        <v>0</v>
      </c>
      <c r="G629" s="31">
        <v>0</v>
      </c>
      <c r="H629" s="31">
        <v>0</v>
      </c>
      <c r="I629" s="31">
        <v>0</v>
      </c>
      <c r="J629" s="31">
        <v>0</v>
      </c>
      <c r="K629" s="31">
        <v>0</v>
      </c>
      <c r="L629" s="31">
        <v>0</v>
      </c>
      <c r="M629" s="31">
        <v>0</v>
      </c>
      <c r="N629" s="31">
        <v>0</v>
      </c>
      <c r="O629" s="31">
        <v>0</v>
      </c>
      <c r="P629" s="27"/>
      <c r="Q629" s="29"/>
      <c r="R629" s="30"/>
    </row>
    <row r="630" spans="1:18" ht="46.5" x14ac:dyDescent="0.25">
      <c r="A630" s="25" t="s">
        <v>1633</v>
      </c>
      <c r="B630" s="26" t="s">
        <v>1634</v>
      </c>
      <c r="C630" s="27" t="s">
        <v>1423</v>
      </c>
      <c r="D630" s="27" t="s">
        <v>1426</v>
      </c>
      <c r="E630" s="27" t="s">
        <v>40</v>
      </c>
      <c r="F630" s="28">
        <f>SUM(F631:F631)+23000</f>
        <v>23000</v>
      </c>
      <c r="G630" s="28">
        <f>SUM(G631:G631)+23000</f>
        <v>23000</v>
      </c>
      <c r="H630" s="28">
        <f t="shared" ref="H630:O630" si="279">SUM(H631:H631)</f>
        <v>0</v>
      </c>
      <c r="I630" s="28">
        <f t="shared" si="279"/>
        <v>0</v>
      </c>
      <c r="J630" s="28">
        <f t="shared" si="279"/>
        <v>0</v>
      </c>
      <c r="K630" s="28">
        <f t="shared" si="279"/>
        <v>0</v>
      </c>
      <c r="L630" s="28">
        <f t="shared" si="279"/>
        <v>0</v>
      </c>
      <c r="M630" s="28">
        <f t="shared" si="279"/>
        <v>0</v>
      </c>
      <c r="N630" s="28">
        <f t="shared" si="279"/>
        <v>0</v>
      </c>
      <c r="O630" s="28">
        <f t="shared" si="279"/>
        <v>0</v>
      </c>
      <c r="P630" s="27" t="s">
        <v>1635</v>
      </c>
      <c r="Q630" s="29" t="s">
        <v>35</v>
      </c>
      <c r="R630" s="30" t="s">
        <v>1636</v>
      </c>
    </row>
    <row r="631" spans="1:18" ht="69.75" x14ac:dyDescent="0.25">
      <c r="A631" s="25" t="s">
        <v>1637</v>
      </c>
      <c r="B631" s="26" t="s">
        <v>1638</v>
      </c>
      <c r="C631" s="27"/>
      <c r="D631" s="27"/>
      <c r="E631" s="27"/>
      <c r="F631" s="31">
        <v>0</v>
      </c>
      <c r="G631" s="31">
        <v>0</v>
      </c>
      <c r="H631" s="31">
        <v>0</v>
      </c>
      <c r="I631" s="31">
        <v>0</v>
      </c>
      <c r="J631" s="31">
        <v>0</v>
      </c>
      <c r="K631" s="31">
        <v>0</v>
      </c>
      <c r="L631" s="31">
        <v>0</v>
      </c>
      <c r="M631" s="31">
        <v>0</v>
      </c>
      <c r="N631" s="31">
        <v>0</v>
      </c>
      <c r="O631" s="31">
        <v>0</v>
      </c>
      <c r="P631" s="27"/>
      <c r="Q631" s="29"/>
      <c r="R631" s="30"/>
    </row>
    <row r="632" spans="1:18" ht="348.75" x14ac:dyDescent="0.25">
      <c r="A632" s="25" t="s">
        <v>1639</v>
      </c>
      <c r="B632" s="26" t="s">
        <v>1640</v>
      </c>
      <c r="C632" s="27" t="s">
        <v>1641</v>
      </c>
      <c r="D632" s="27" t="s">
        <v>1559</v>
      </c>
      <c r="E632" s="27" t="s">
        <v>40</v>
      </c>
      <c r="F632" s="28">
        <f>SUM(F633:F634)+506468</f>
        <v>506468</v>
      </c>
      <c r="G632" s="28">
        <f>SUM(G633:G634)</f>
        <v>0</v>
      </c>
      <c r="H632" s="28">
        <f>SUM(H633:H634)</f>
        <v>0</v>
      </c>
      <c r="I632" s="28">
        <f>SUM(I633:I634)</f>
        <v>0</v>
      </c>
      <c r="J632" s="28">
        <f>SUM(J633:J634)+498396</f>
        <v>498396</v>
      </c>
      <c r="K632" s="28">
        <f>SUM(K633:K634)</f>
        <v>0</v>
      </c>
      <c r="L632" s="28">
        <f>SUM(L633:L634)</f>
        <v>0</v>
      </c>
      <c r="M632" s="28">
        <f>SUM(M633:M634)</f>
        <v>0</v>
      </c>
      <c r="N632" s="28">
        <f>SUM(N633:N634)</f>
        <v>0</v>
      </c>
      <c r="O632" s="28">
        <f>SUM(O633:O634)</f>
        <v>0</v>
      </c>
      <c r="P632" s="27" t="s">
        <v>1642</v>
      </c>
      <c r="Q632" s="29" t="s">
        <v>35</v>
      </c>
      <c r="R632" s="30" t="s">
        <v>1643</v>
      </c>
    </row>
    <row r="633" spans="1:18" ht="69.75" x14ac:dyDescent="0.25">
      <c r="A633" s="32"/>
      <c r="B633" s="33"/>
      <c r="C633" s="34"/>
      <c r="D633" s="34"/>
      <c r="E633" s="34"/>
      <c r="F633" s="35">
        <v>0</v>
      </c>
      <c r="G633" s="35">
        <v>0</v>
      </c>
      <c r="H633" s="35">
        <v>0</v>
      </c>
      <c r="I633" s="35">
        <v>0</v>
      </c>
      <c r="J633" s="35">
        <v>0</v>
      </c>
      <c r="K633" s="35">
        <v>0</v>
      </c>
      <c r="L633" s="35">
        <v>0</v>
      </c>
      <c r="M633" s="35">
        <v>0</v>
      </c>
      <c r="N633" s="35">
        <v>0</v>
      </c>
      <c r="O633" s="35">
        <v>0</v>
      </c>
      <c r="P633" s="34" t="s">
        <v>1644</v>
      </c>
      <c r="Q633" s="36" t="s">
        <v>35</v>
      </c>
      <c r="R633" s="37" t="s">
        <v>1645</v>
      </c>
    </row>
    <row r="634" spans="1:18" ht="116.25" x14ac:dyDescent="0.25">
      <c r="A634" s="25" t="s">
        <v>1646</v>
      </c>
      <c r="B634" s="26" t="s">
        <v>1647</v>
      </c>
      <c r="C634" s="27"/>
      <c r="D634" s="27"/>
      <c r="E634" s="27"/>
      <c r="F634" s="31">
        <v>0</v>
      </c>
      <c r="G634" s="31">
        <v>0</v>
      </c>
      <c r="H634" s="31">
        <v>0</v>
      </c>
      <c r="I634" s="31">
        <v>0</v>
      </c>
      <c r="J634" s="31">
        <v>0</v>
      </c>
      <c r="K634" s="31">
        <v>0</v>
      </c>
      <c r="L634" s="31">
        <v>0</v>
      </c>
      <c r="M634" s="31">
        <v>0</v>
      </c>
      <c r="N634" s="31">
        <v>0</v>
      </c>
      <c r="O634" s="31">
        <v>0</v>
      </c>
      <c r="P634" s="27"/>
      <c r="Q634" s="29"/>
      <c r="R634" s="30"/>
    </row>
    <row r="635" spans="1:18" ht="69.75" x14ac:dyDescent="0.25">
      <c r="A635" s="25" t="s">
        <v>1648</v>
      </c>
      <c r="B635" s="26" t="s">
        <v>1649</v>
      </c>
      <c r="C635" s="27" t="s">
        <v>1423</v>
      </c>
      <c r="D635" s="27" t="s">
        <v>1559</v>
      </c>
      <c r="E635" s="27" t="s">
        <v>40</v>
      </c>
      <c r="F635" s="28">
        <f>SUM(F636:F637)+8004</f>
        <v>8004</v>
      </c>
      <c r="G635" s="28">
        <f>SUM(G636:G637)</f>
        <v>0</v>
      </c>
      <c r="H635" s="28">
        <f>SUM(H636:H637)</f>
        <v>0</v>
      </c>
      <c r="I635" s="28">
        <f>SUM(I636:I637)</f>
        <v>0</v>
      </c>
      <c r="J635" s="28">
        <f>SUM(J636:J637)+8004</f>
        <v>8004</v>
      </c>
      <c r="K635" s="28">
        <f>SUM(K636:K637)</f>
        <v>0</v>
      </c>
      <c r="L635" s="28">
        <f>SUM(L636:L637)</f>
        <v>0</v>
      </c>
      <c r="M635" s="28">
        <f>SUM(M636:M637)</f>
        <v>0</v>
      </c>
      <c r="N635" s="28">
        <f>SUM(N636:N637)</f>
        <v>0</v>
      </c>
      <c r="O635" s="28">
        <f>SUM(O636:O637)</f>
        <v>0</v>
      </c>
      <c r="P635" s="27" t="s">
        <v>1650</v>
      </c>
      <c r="Q635" s="29" t="s">
        <v>35</v>
      </c>
      <c r="R635" s="30" t="s">
        <v>864</v>
      </c>
    </row>
    <row r="636" spans="1:18" ht="69.75" x14ac:dyDescent="0.25">
      <c r="A636" s="32"/>
      <c r="B636" s="33"/>
      <c r="C636" s="34"/>
      <c r="D636" s="34"/>
      <c r="E636" s="34"/>
      <c r="F636" s="35">
        <v>0</v>
      </c>
      <c r="G636" s="35">
        <v>0</v>
      </c>
      <c r="H636" s="35">
        <v>0</v>
      </c>
      <c r="I636" s="35">
        <v>0</v>
      </c>
      <c r="J636" s="35">
        <v>0</v>
      </c>
      <c r="K636" s="35">
        <v>0</v>
      </c>
      <c r="L636" s="35">
        <v>0</v>
      </c>
      <c r="M636" s="35">
        <v>0</v>
      </c>
      <c r="N636" s="35">
        <v>0</v>
      </c>
      <c r="O636" s="35">
        <v>0</v>
      </c>
      <c r="P636" s="34" t="s">
        <v>1651</v>
      </c>
      <c r="Q636" s="36" t="s">
        <v>35</v>
      </c>
      <c r="R636" s="37" t="s">
        <v>88</v>
      </c>
    </row>
    <row r="637" spans="1:18" ht="116.25" x14ac:dyDescent="0.25">
      <c r="A637" s="25" t="s">
        <v>1652</v>
      </c>
      <c r="B637" s="26" t="s">
        <v>1653</v>
      </c>
      <c r="C637" s="27"/>
      <c r="D637" s="27"/>
      <c r="E637" s="27"/>
      <c r="F637" s="31">
        <v>0</v>
      </c>
      <c r="G637" s="31">
        <v>0</v>
      </c>
      <c r="H637" s="31">
        <v>0</v>
      </c>
      <c r="I637" s="31">
        <v>0</v>
      </c>
      <c r="J637" s="31">
        <v>0</v>
      </c>
      <c r="K637" s="31">
        <v>0</v>
      </c>
      <c r="L637" s="31">
        <v>0</v>
      </c>
      <c r="M637" s="31">
        <v>0</v>
      </c>
      <c r="N637" s="31">
        <v>0</v>
      </c>
      <c r="O637" s="31">
        <v>0</v>
      </c>
      <c r="P637" s="27"/>
      <c r="Q637" s="29"/>
      <c r="R637" s="30"/>
    </row>
    <row r="638" spans="1:18" ht="69.75" x14ac:dyDescent="0.25">
      <c r="A638" s="25" t="s">
        <v>1654</v>
      </c>
      <c r="B638" s="26" t="s">
        <v>1655</v>
      </c>
      <c r="C638" s="27" t="s">
        <v>1423</v>
      </c>
      <c r="D638" s="27" t="s">
        <v>1547</v>
      </c>
      <c r="E638" s="27" t="s">
        <v>40</v>
      </c>
      <c r="F638" s="28">
        <f>SUM(F639:F640)+222039</f>
        <v>222039</v>
      </c>
      <c r="G638" s="28">
        <f>SUM(G639:G640)</f>
        <v>0</v>
      </c>
      <c r="H638" s="28">
        <f>SUM(H639:H640)</f>
        <v>0</v>
      </c>
      <c r="I638" s="28">
        <f>SUM(I639:I640)</f>
        <v>0</v>
      </c>
      <c r="J638" s="28">
        <f>SUM(J639:J640)+222039</f>
        <v>222039</v>
      </c>
      <c r="K638" s="28">
        <f>SUM(K639:K640)</f>
        <v>0</v>
      </c>
      <c r="L638" s="28">
        <f>SUM(L639:L640)</f>
        <v>0</v>
      </c>
      <c r="M638" s="28">
        <f>SUM(M639:M640)</f>
        <v>0</v>
      </c>
      <c r="N638" s="28">
        <f>SUM(N639:N640)</f>
        <v>0</v>
      </c>
      <c r="O638" s="28">
        <f>SUM(O639:O640)</f>
        <v>0</v>
      </c>
      <c r="P638" s="27" t="s">
        <v>1656</v>
      </c>
      <c r="Q638" s="29" t="s">
        <v>35</v>
      </c>
      <c r="R638" s="30" t="s">
        <v>1657</v>
      </c>
    </row>
    <row r="639" spans="1:18" ht="46.5" x14ac:dyDescent="0.25">
      <c r="A639" s="25" t="s">
        <v>1658</v>
      </c>
      <c r="B639" s="26" t="s">
        <v>1659</v>
      </c>
      <c r="C639" s="27"/>
      <c r="D639" s="27"/>
      <c r="E639" s="27"/>
      <c r="F639" s="31">
        <v>0</v>
      </c>
      <c r="G639" s="31">
        <v>0</v>
      </c>
      <c r="H639" s="31">
        <v>0</v>
      </c>
      <c r="I639" s="31">
        <v>0</v>
      </c>
      <c r="J639" s="31">
        <v>0</v>
      </c>
      <c r="K639" s="31">
        <v>0</v>
      </c>
      <c r="L639" s="31">
        <v>0</v>
      </c>
      <c r="M639" s="31">
        <v>0</v>
      </c>
      <c r="N639" s="31">
        <v>0</v>
      </c>
      <c r="O639" s="31">
        <v>0</v>
      </c>
      <c r="P639" s="27"/>
      <c r="Q639" s="29"/>
      <c r="R639" s="30"/>
    </row>
    <row r="640" spans="1:18" ht="69.75" x14ac:dyDescent="0.25">
      <c r="A640" s="25" t="s">
        <v>1660</v>
      </c>
      <c r="B640" s="26" t="s">
        <v>1661</v>
      </c>
      <c r="C640" s="27"/>
      <c r="D640" s="27"/>
      <c r="E640" s="27"/>
      <c r="F640" s="31">
        <v>0</v>
      </c>
      <c r="G640" s="31">
        <v>0</v>
      </c>
      <c r="H640" s="31">
        <v>0</v>
      </c>
      <c r="I640" s="31">
        <v>0</v>
      </c>
      <c r="J640" s="31">
        <v>0</v>
      </c>
      <c r="K640" s="31">
        <v>0</v>
      </c>
      <c r="L640" s="31">
        <v>0</v>
      </c>
      <c r="M640" s="31">
        <v>0</v>
      </c>
      <c r="N640" s="31">
        <v>0</v>
      </c>
      <c r="O640" s="31">
        <v>0</v>
      </c>
      <c r="P640" s="27"/>
      <c r="Q640" s="29"/>
      <c r="R640" s="30"/>
    </row>
    <row r="641" spans="1:18" ht="69.75" x14ac:dyDescent="0.25">
      <c r="A641" s="25" t="s">
        <v>1662</v>
      </c>
      <c r="B641" s="26" t="s">
        <v>1663</v>
      </c>
      <c r="C641" s="27" t="s">
        <v>1423</v>
      </c>
      <c r="D641" s="27" t="s">
        <v>1605</v>
      </c>
      <c r="E641" s="27" t="s">
        <v>40</v>
      </c>
      <c r="F641" s="28">
        <f>SUM(F642:F642)+247561.35</f>
        <v>247561.35</v>
      </c>
      <c r="G641" s="28">
        <f>SUM(G642:G642)+164638</f>
        <v>164638</v>
      </c>
      <c r="H641" s="28">
        <f t="shared" ref="H641:O641" si="280">SUM(H642:H642)</f>
        <v>0</v>
      </c>
      <c r="I641" s="28">
        <f t="shared" si="280"/>
        <v>0</v>
      </c>
      <c r="J641" s="28">
        <f t="shared" si="280"/>
        <v>0</v>
      </c>
      <c r="K641" s="28">
        <f t="shared" si="280"/>
        <v>0</v>
      </c>
      <c r="L641" s="28">
        <f t="shared" si="280"/>
        <v>0</v>
      </c>
      <c r="M641" s="28">
        <f t="shared" si="280"/>
        <v>0</v>
      </c>
      <c r="N641" s="28">
        <f t="shared" si="280"/>
        <v>0</v>
      </c>
      <c r="O641" s="28">
        <f t="shared" si="280"/>
        <v>0</v>
      </c>
      <c r="P641" s="27" t="s">
        <v>1664</v>
      </c>
      <c r="Q641" s="29" t="s">
        <v>35</v>
      </c>
      <c r="R641" s="30" t="s">
        <v>1665</v>
      </c>
    </row>
    <row r="642" spans="1:18" ht="69.75" x14ac:dyDescent="0.25">
      <c r="A642" s="25" t="s">
        <v>1666</v>
      </c>
      <c r="B642" s="26" t="s">
        <v>1667</v>
      </c>
      <c r="C642" s="27"/>
      <c r="D642" s="27"/>
      <c r="E642" s="27"/>
      <c r="F642" s="31">
        <v>0</v>
      </c>
      <c r="G642" s="31">
        <v>0</v>
      </c>
      <c r="H642" s="31">
        <v>0</v>
      </c>
      <c r="I642" s="31">
        <v>0</v>
      </c>
      <c r="J642" s="31">
        <v>0</v>
      </c>
      <c r="K642" s="31">
        <v>0</v>
      </c>
      <c r="L642" s="31">
        <v>0</v>
      </c>
      <c r="M642" s="31">
        <v>0</v>
      </c>
      <c r="N642" s="31">
        <v>0</v>
      </c>
      <c r="O642" s="31">
        <v>0</v>
      </c>
      <c r="P642" s="27"/>
      <c r="Q642" s="29"/>
      <c r="R642" s="30"/>
    </row>
    <row r="643" spans="1:18" ht="93" x14ac:dyDescent="0.25">
      <c r="A643" s="25" t="s">
        <v>1668</v>
      </c>
      <c r="B643" s="26" t="s">
        <v>1669</v>
      </c>
      <c r="C643" s="27" t="s">
        <v>1423</v>
      </c>
      <c r="D643" s="27" t="s">
        <v>1605</v>
      </c>
      <c r="E643" s="27" t="s">
        <v>40</v>
      </c>
      <c r="F643" s="28">
        <f>SUM(F644:F644)+19141.97</f>
        <v>19141.97</v>
      </c>
      <c r="G643" s="28">
        <f>SUM(G644:G644)+13641.97</f>
        <v>13641.97</v>
      </c>
      <c r="H643" s="28">
        <f t="shared" ref="H643:O643" si="281">SUM(H644:H644)</f>
        <v>0</v>
      </c>
      <c r="I643" s="28">
        <f t="shared" si="281"/>
        <v>0</v>
      </c>
      <c r="J643" s="28">
        <f t="shared" si="281"/>
        <v>0</v>
      </c>
      <c r="K643" s="28">
        <f t="shared" si="281"/>
        <v>0</v>
      </c>
      <c r="L643" s="28">
        <f t="shared" si="281"/>
        <v>0</v>
      </c>
      <c r="M643" s="28">
        <f t="shared" si="281"/>
        <v>0</v>
      </c>
      <c r="N643" s="28">
        <f t="shared" si="281"/>
        <v>0</v>
      </c>
      <c r="O643" s="28">
        <f t="shared" si="281"/>
        <v>0</v>
      </c>
      <c r="P643" s="27" t="s">
        <v>1670</v>
      </c>
      <c r="Q643" s="29" t="s">
        <v>35</v>
      </c>
      <c r="R643" s="30" t="s">
        <v>1671</v>
      </c>
    </row>
    <row r="644" spans="1:18" ht="69.75" x14ac:dyDescent="0.25">
      <c r="A644" s="25" t="s">
        <v>1672</v>
      </c>
      <c r="B644" s="26" t="s">
        <v>1673</v>
      </c>
      <c r="C644" s="27"/>
      <c r="D644" s="27"/>
      <c r="E644" s="27"/>
      <c r="F644" s="31">
        <v>0</v>
      </c>
      <c r="G644" s="31">
        <v>0</v>
      </c>
      <c r="H644" s="31">
        <v>0</v>
      </c>
      <c r="I644" s="31">
        <v>0</v>
      </c>
      <c r="J644" s="31">
        <v>0</v>
      </c>
      <c r="K644" s="31">
        <v>0</v>
      </c>
      <c r="L644" s="31">
        <v>0</v>
      </c>
      <c r="M644" s="31">
        <v>0</v>
      </c>
      <c r="N644" s="31">
        <v>0</v>
      </c>
      <c r="O644" s="31">
        <v>0</v>
      </c>
      <c r="P644" s="27"/>
      <c r="Q644" s="29"/>
      <c r="R644" s="30"/>
    </row>
    <row r="645" spans="1:18" ht="69.75" x14ac:dyDescent="0.25">
      <c r="A645" s="25" t="s">
        <v>1674</v>
      </c>
      <c r="B645" s="26" t="s">
        <v>1675</v>
      </c>
      <c r="C645" s="27" t="s">
        <v>1423</v>
      </c>
      <c r="D645" s="27" t="s">
        <v>1605</v>
      </c>
      <c r="E645" s="27" t="s">
        <v>40</v>
      </c>
      <c r="F645" s="28">
        <f>SUM(F646:F646)+15007.81</f>
        <v>15007.81</v>
      </c>
      <c r="G645" s="28">
        <f>SUM(G646:G646)+8500</f>
        <v>8500</v>
      </c>
      <c r="H645" s="28">
        <f t="shared" ref="H645:O645" si="282">SUM(H646:H646)</f>
        <v>0</v>
      </c>
      <c r="I645" s="28">
        <f t="shared" si="282"/>
        <v>0</v>
      </c>
      <c r="J645" s="28">
        <f t="shared" si="282"/>
        <v>0</v>
      </c>
      <c r="K645" s="28">
        <f t="shared" si="282"/>
        <v>0</v>
      </c>
      <c r="L645" s="28">
        <f t="shared" si="282"/>
        <v>0</v>
      </c>
      <c r="M645" s="28">
        <f t="shared" si="282"/>
        <v>0</v>
      </c>
      <c r="N645" s="28">
        <f t="shared" si="282"/>
        <v>0</v>
      </c>
      <c r="O645" s="28">
        <f t="shared" si="282"/>
        <v>0</v>
      </c>
      <c r="P645" s="27" t="s">
        <v>1676</v>
      </c>
      <c r="Q645" s="29" t="s">
        <v>35</v>
      </c>
      <c r="R645" s="30" t="s">
        <v>1677</v>
      </c>
    </row>
    <row r="646" spans="1:18" ht="69.75" x14ac:dyDescent="0.25">
      <c r="A646" s="25" t="s">
        <v>1678</v>
      </c>
      <c r="B646" s="26" t="s">
        <v>1679</v>
      </c>
      <c r="C646" s="27"/>
      <c r="D646" s="27"/>
      <c r="E646" s="27"/>
      <c r="F646" s="31">
        <v>0</v>
      </c>
      <c r="G646" s="31">
        <v>0</v>
      </c>
      <c r="H646" s="31">
        <v>0</v>
      </c>
      <c r="I646" s="31">
        <v>0</v>
      </c>
      <c r="J646" s="31">
        <v>0</v>
      </c>
      <c r="K646" s="31">
        <v>0</v>
      </c>
      <c r="L646" s="31">
        <v>0</v>
      </c>
      <c r="M646" s="31">
        <v>0</v>
      </c>
      <c r="N646" s="31">
        <v>0</v>
      </c>
      <c r="O646" s="31">
        <v>0</v>
      </c>
      <c r="P646" s="27"/>
      <c r="Q646" s="29"/>
      <c r="R646" s="30"/>
    </row>
    <row r="647" spans="1:18" ht="116.25" x14ac:dyDescent="0.25">
      <c r="A647" s="25" t="s">
        <v>1680</v>
      </c>
      <c r="B647" s="26" t="s">
        <v>1681</v>
      </c>
      <c r="C647" s="27" t="s">
        <v>1423</v>
      </c>
      <c r="D647" s="27" t="s">
        <v>1682</v>
      </c>
      <c r="E647" s="27" t="s">
        <v>40</v>
      </c>
      <c r="F647" s="28">
        <f>SUM(F648:F648)+141458.03</f>
        <v>141458.03</v>
      </c>
      <c r="G647" s="28">
        <f>SUM(G648:G648)+109458.03</f>
        <v>109458.03</v>
      </c>
      <c r="H647" s="28">
        <f t="shared" ref="H647:O647" si="283">SUM(H648:H648)</f>
        <v>0</v>
      </c>
      <c r="I647" s="28">
        <f t="shared" si="283"/>
        <v>0</v>
      </c>
      <c r="J647" s="28">
        <f t="shared" si="283"/>
        <v>0</v>
      </c>
      <c r="K647" s="28">
        <f t="shared" si="283"/>
        <v>0</v>
      </c>
      <c r="L647" s="28">
        <f t="shared" si="283"/>
        <v>0</v>
      </c>
      <c r="M647" s="28">
        <f t="shared" si="283"/>
        <v>0</v>
      </c>
      <c r="N647" s="28">
        <f t="shared" si="283"/>
        <v>0</v>
      </c>
      <c r="O647" s="28">
        <f t="shared" si="283"/>
        <v>0</v>
      </c>
      <c r="P647" s="27" t="s">
        <v>1683</v>
      </c>
      <c r="Q647" s="29" t="s">
        <v>35</v>
      </c>
      <c r="R647" s="30" t="s">
        <v>1684</v>
      </c>
    </row>
    <row r="648" spans="1:18" ht="116.25" x14ac:dyDescent="0.25">
      <c r="A648" s="25" t="s">
        <v>1685</v>
      </c>
      <c r="B648" s="26" t="s">
        <v>1686</v>
      </c>
      <c r="C648" s="27"/>
      <c r="D648" s="27"/>
      <c r="E648" s="27"/>
      <c r="F648" s="31">
        <v>0</v>
      </c>
      <c r="G648" s="31">
        <v>0</v>
      </c>
      <c r="H648" s="31">
        <v>0</v>
      </c>
      <c r="I648" s="31">
        <v>0</v>
      </c>
      <c r="J648" s="31">
        <v>0</v>
      </c>
      <c r="K648" s="31">
        <v>0</v>
      </c>
      <c r="L648" s="31">
        <v>0</v>
      </c>
      <c r="M648" s="31">
        <v>0</v>
      </c>
      <c r="N648" s="31">
        <v>0</v>
      </c>
      <c r="O648" s="31">
        <v>0</v>
      </c>
      <c r="P648" s="27"/>
      <c r="Q648" s="29"/>
      <c r="R648" s="30"/>
    </row>
    <row r="649" spans="1:18" ht="69.75" x14ac:dyDescent="0.25">
      <c r="A649" s="25" t="s">
        <v>1687</v>
      </c>
      <c r="B649" s="26" t="s">
        <v>1688</v>
      </c>
      <c r="C649" s="27" t="s">
        <v>1423</v>
      </c>
      <c r="D649" s="27" t="s">
        <v>1605</v>
      </c>
      <c r="E649" s="27" t="s">
        <v>40</v>
      </c>
      <c r="F649" s="28">
        <f>SUM(F650:F650)+1894197.43</f>
        <v>1894197.43</v>
      </c>
      <c r="G649" s="28">
        <f>SUM(G650:G650)+1513980</f>
        <v>1513980</v>
      </c>
      <c r="H649" s="28">
        <f t="shared" ref="H649:O649" si="284">SUM(H650:H650)</f>
        <v>0</v>
      </c>
      <c r="I649" s="28">
        <f t="shared" si="284"/>
        <v>0</v>
      </c>
      <c r="J649" s="28">
        <f t="shared" si="284"/>
        <v>0</v>
      </c>
      <c r="K649" s="28">
        <f t="shared" si="284"/>
        <v>0</v>
      </c>
      <c r="L649" s="28">
        <f t="shared" si="284"/>
        <v>0</v>
      </c>
      <c r="M649" s="28">
        <f t="shared" si="284"/>
        <v>0</v>
      </c>
      <c r="N649" s="28">
        <f t="shared" si="284"/>
        <v>0</v>
      </c>
      <c r="O649" s="28">
        <f t="shared" si="284"/>
        <v>0</v>
      </c>
      <c r="P649" s="27" t="s">
        <v>1689</v>
      </c>
      <c r="Q649" s="29" t="s">
        <v>35</v>
      </c>
      <c r="R649" s="30" t="s">
        <v>1690</v>
      </c>
    </row>
    <row r="650" spans="1:18" ht="69.75" x14ac:dyDescent="0.25">
      <c r="A650" s="25" t="s">
        <v>1691</v>
      </c>
      <c r="B650" s="26" t="s">
        <v>1692</v>
      </c>
      <c r="C650" s="27"/>
      <c r="D650" s="27"/>
      <c r="E650" s="27"/>
      <c r="F650" s="31">
        <v>0</v>
      </c>
      <c r="G650" s="31">
        <v>0</v>
      </c>
      <c r="H650" s="31">
        <v>0</v>
      </c>
      <c r="I650" s="31">
        <v>0</v>
      </c>
      <c r="J650" s="31">
        <v>0</v>
      </c>
      <c r="K650" s="31">
        <v>0</v>
      </c>
      <c r="L650" s="31">
        <v>0</v>
      </c>
      <c r="M650" s="31">
        <v>0</v>
      </c>
      <c r="N650" s="31">
        <v>0</v>
      </c>
      <c r="O650" s="31">
        <v>0</v>
      </c>
      <c r="P650" s="27"/>
      <c r="Q650" s="29"/>
      <c r="R650" s="30"/>
    </row>
    <row r="651" spans="1:18" ht="69.75" x14ac:dyDescent="0.25">
      <c r="A651" s="25" t="s">
        <v>1693</v>
      </c>
      <c r="B651" s="26" t="s">
        <v>1694</v>
      </c>
      <c r="C651" s="27" t="s">
        <v>1423</v>
      </c>
      <c r="D651" s="27" t="s">
        <v>1605</v>
      </c>
      <c r="E651" s="27" t="s">
        <v>40</v>
      </c>
      <c r="F651" s="28">
        <f>SUM(F652:F652)+100000</f>
        <v>100000</v>
      </c>
      <c r="G651" s="28">
        <f t="shared" ref="G651:L651" si="285">SUM(G652:G652)</f>
        <v>0</v>
      </c>
      <c r="H651" s="28">
        <f t="shared" si="285"/>
        <v>0</v>
      </c>
      <c r="I651" s="28">
        <f t="shared" si="285"/>
        <v>0</v>
      </c>
      <c r="J651" s="28">
        <f t="shared" si="285"/>
        <v>0</v>
      </c>
      <c r="K651" s="28">
        <f t="shared" si="285"/>
        <v>0</v>
      </c>
      <c r="L651" s="28">
        <f t="shared" si="285"/>
        <v>0</v>
      </c>
      <c r="M651" s="28">
        <f>SUM(M652:M652)+100000</f>
        <v>100000</v>
      </c>
      <c r="N651" s="28">
        <f>SUM(N652:N652)</f>
        <v>0</v>
      </c>
      <c r="O651" s="28">
        <f>SUM(O652:O652)</f>
        <v>0</v>
      </c>
      <c r="P651" s="27" t="s">
        <v>1695</v>
      </c>
      <c r="Q651" s="29" t="s">
        <v>35</v>
      </c>
      <c r="R651" s="30" t="s">
        <v>1237</v>
      </c>
    </row>
    <row r="652" spans="1:18" ht="69.75" x14ac:dyDescent="0.25">
      <c r="A652" s="25" t="s">
        <v>1696</v>
      </c>
      <c r="B652" s="26" t="s">
        <v>1697</v>
      </c>
      <c r="C652" s="27"/>
      <c r="D652" s="27"/>
      <c r="E652" s="27"/>
      <c r="F652" s="31">
        <v>0</v>
      </c>
      <c r="G652" s="31">
        <v>0</v>
      </c>
      <c r="H652" s="31">
        <v>0</v>
      </c>
      <c r="I652" s="31">
        <v>0</v>
      </c>
      <c r="J652" s="31">
        <v>0</v>
      </c>
      <c r="K652" s="31">
        <v>0</v>
      </c>
      <c r="L652" s="31">
        <v>0</v>
      </c>
      <c r="M652" s="31">
        <v>0</v>
      </c>
      <c r="N652" s="31">
        <v>0</v>
      </c>
      <c r="O652" s="31">
        <v>0</v>
      </c>
      <c r="P652" s="27"/>
      <c r="Q652" s="29"/>
      <c r="R652" s="30"/>
    </row>
    <row r="653" spans="1:18" ht="69.75" x14ac:dyDescent="0.25">
      <c r="A653" s="25" t="s">
        <v>1698</v>
      </c>
      <c r="B653" s="26" t="s">
        <v>1699</v>
      </c>
      <c r="C653" s="27" t="s">
        <v>1423</v>
      </c>
      <c r="D653" s="27" t="s">
        <v>1605</v>
      </c>
      <c r="E653" s="27" t="s">
        <v>40</v>
      </c>
      <c r="F653" s="28">
        <f>SUM(F654:F654)+6543442</f>
        <v>6543442</v>
      </c>
      <c r="G653" s="28">
        <f t="shared" ref="G653:L653" si="286">SUM(G654:G654)</f>
        <v>0</v>
      </c>
      <c r="H653" s="28">
        <f t="shared" si="286"/>
        <v>0</v>
      </c>
      <c r="I653" s="28">
        <f t="shared" si="286"/>
        <v>0</v>
      </c>
      <c r="J653" s="28">
        <f t="shared" si="286"/>
        <v>0</v>
      </c>
      <c r="K653" s="28">
        <f t="shared" si="286"/>
        <v>0</v>
      </c>
      <c r="L653" s="28">
        <f t="shared" si="286"/>
        <v>0</v>
      </c>
      <c r="M653" s="28">
        <f>SUM(M654:M654)+6543442</f>
        <v>6543442</v>
      </c>
      <c r="N653" s="28">
        <f>SUM(N654:N654)</f>
        <v>0</v>
      </c>
      <c r="O653" s="28">
        <f>SUM(O654:O654)</f>
        <v>0</v>
      </c>
      <c r="P653" s="27" t="s">
        <v>1700</v>
      </c>
      <c r="Q653" s="29" t="s">
        <v>35</v>
      </c>
      <c r="R653" s="30" t="s">
        <v>1701</v>
      </c>
    </row>
    <row r="654" spans="1:18" ht="69.75" x14ac:dyDescent="0.25">
      <c r="A654" s="25" t="s">
        <v>1702</v>
      </c>
      <c r="B654" s="26" t="s">
        <v>1703</v>
      </c>
      <c r="C654" s="27"/>
      <c r="D654" s="27"/>
      <c r="E654" s="27"/>
      <c r="F654" s="31">
        <v>0</v>
      </c>
      <c r="G654" s="31">
        <v>0</v>
      </c>
      <c r="H654" s="31">
        <v>0</v>
      </c>
      <c r="I654" s="31">
        <v>0</v>
      </c>
      <c r="J654" s="31">
        <v>0</v>
      </c>
      <c r="K654" s="31">
        <v>0</v>
      </c>
      <c r="L654" s="31">
        <v>0</v>
      </c>
      <c r="M654" s="31">
        <v>0</v>
      </c>
      <c r="N654" s="31">
        <v>0</v>
      </c>
      <c r="O654" s="31">
        <v>0</v>
      </c>
      <c r="P654" s="27"/>
      <c r="Q654" s="29"/>
      <c r="R654" s="30"/>
    </row>
    <row r="655" spans="1:18" ht="93" x14ac:dyDescent="0.25">
      <c r="A655" s="25" t="s">
        <v>1704</v>
      </c>
      <c r="B655" s="26" t="s">
        <v>1705</v>
      </c>
      <c r="C655" s="27" t="s">
        <v>1423</v>
      </c>
      <c r="D655" s="27" t="s">
        <v>1605</v>
      </c>
      <c r="E655" s="27" t="s">
        <v>40</v>
      </c>
      <c r="F655" s="28">
        <f>SUM(F656:F656)+20000</f>
        <v>20000</v>
      </c>
      <c r="G655" s="28">
        <f t="shared" ref="G655:L655" si="287">SUM(G656:G656)</f>
        <v>0</v>
      </c>
      <c r="H655" s="28">
        <f t="shared" si="287"/>
        <v>0</v>
      </c>
      <c r="I655" s="28">
        <f t="shared" si="287"/>
        <v>0</v>
      </c>
      <c r="J655" s="28">
        <f t="shared" si="287"/>
        <v>0</v>
      </c>
      <c r="K655" s="28">
        <f t="shared" si="287"/>
        <v>0</v>
      </c>
      <c r="L655" s="28">
        <f t="shared" si="287"/>
        <v>0</v>
      </c>
      <c r="M655" s="28">
        <f>SUM(M656:M656)+20000</f>
        <v>20000</v>
      </c>
      <c r="N655" s="28">
        <f>SUM(N656:N656)</f>
        <v>0</v>
      </c>
      <c r="O655" s="28">
        <f>SUM(O656:O656)</f>
        <v>0</v>
      </c>
      <c r="P655" s="27" t="s">
        <v>1706</v>
      </c>
      <c r="Q655" s="29" t="s">
        <v>35</v>
      </c>
      <c r="R655" s="30" t="s">
        <v>864</v>
      </c>
    </row>
    <row r="656" spans="1:18" ht="93" x14ac:dyDescent="0.25">
      <c r="A656" s="25" t="s">
        <v>1707</v>
      </c>
      <c r="B656" s="26" t="s">
        <v>1708</v>
      </c>
      <c r="C656" s="27"/>
      <c r="D656" s="27"/>
      <c r="E656" s="27"/>
      <c r="F656" s="31">
        <v>0</v>
      </c>
      <c r="G656" s="31">
        <v>0</v>
      </c>
      <c r="H656" s="31">
        <v>0</v>
      </c>
      <c r="I656" s="31">
        <v>0</v>
      </c>
      <c r="J656" s="31">
        <v>0</v>
      </c>
      <c r="K656" s="31">
        <v>0</v>
      </c>
      <c r="L656" s="31">
        <v>0</v>
      </c>
      <c r="M656" s="31">
        <v>0</v>
      </c>
      <c r="N656" s="31">
        <v>0</v>
      </c>
      <c r="O656" s="31">
        <v>0</v>
      </c>
      <c r="P656" s="27"/>
      <c r="Q656" s="29"/>
      <c r="R656" s="30"/>
    </row>
    <row r="657" spans="1:18" ht="93" x14ac:dyDescent="0.25">
      <c r="A657" s="25" t="s">
        <v>1709</v>
      </c>
      <c r="B657" s="26" t="s">
        <v>1710</v>
      </c>
      <c r="C657" s="27" t="s">
        <v>1423</v>
      </c>
      <c r="D657" s="27" t="s">
        <v>1605</v>
      </c>
      <c r="E657" s="27" t="s">
        <v>40</v>
      </c>
      <c r="F657" s="28">
        <f>SUM(F658:F658)+1000</f>
        <v>1000</v>
      </c>
      <c r="G657" s="28">
        <f t="shared" ref="G657:L657" si="288">SUM(G658:G658)</f>
        <v>0</v>
      </c>
      <c r="H657" s="28">
        <f t="shared" si="288"/>
        <v>0</v>
      </c>
      <c r="I657" s="28">
        <f t="shared" si="288"/>
        <v>0</v>
      </c>
      <c r="J657" s="28">
        <f t="shared" si="288"/>
        <v>0</v>
      </c>
      <c r="K657" s="28">
        <f t="shared" si="288"/>
        <v>0</v>
      </c>
      <c r="L657" s="28">
        <f t="shared" si="288"/>
        <v>0</v>
      </c>
      <c r="M657" s="28">
        <f>SUM(M658:M658)+1000</f>
        <v>1000</v>
      </c>
      <c r="N657" s="28">
        <f>SUM(N658:N658)</f>
        <v>0</v>
      </c>
      <c r="O657" s="28">
        <f>SUM(O658:O658)</f>
        <v>0</v>
      </c>
      <c r="P657" s="27" t="s">
        <v>1711</v>
      </c>
      <c r="Q657" s="29" t="s">
        <v>35</v>
      </c>
      <c r="R657" s="30" t="s">
        <v>48</v>
      </c>
    </row>
    <row r="658" spans="1:18" ht="93" x14ac:dyDescent="0.25">
      <c r="A658" s="25" t="s">
        <v>1712</v>
      </c>
      <c r="B658" s="26" t="s">
        <v>1713</v>
      </c>
      <c r="C658" s="27"/>
      <c r="D658" s="27"/>
      <c r="E658" s="27"/>
      <c r="F658" s="31">
        <v>0</v>
      </c>
      <c r="G658" s="31">
        <v>0</v>
      </c>
      <c r="H658" s="31">
        <v>0</v>
      </c>
      <c r="I658" s="31">
        <v>0</v>
      </c>
      <c r="J658" s="31">
        <v>0</v>
      </c>
      <c r="K658" s="31">
        <v>0</v>
      </c>
      <c r="L658" s="31">
        <v>0</v>
      </c>
      <c r="M658" s="31">
        <v>0</v>
      </c>
      <c r="N658" s="31">
        <v>0</v>
      </c>
      <c r="O658" s="31">
        <v>0</v>
      </c>
      <c r="P658" s="27"/>
      <c r="Q658" s="29"/>
      <c r="R658" s="30"/>
    </row>
    <row r="659" spans="1:18" ht="93" x14ac:dyDescent="0.25">
      <c r="A659" s="25" t="s">
        <v>1714</v>
      </c>
      <c r="B659" s="26" t="s">
        <v>1715</v>
      </c>
      <c r="C659" s="27" t="s">
        <v>1423</v>
      </c>
      <c r="D659" s="27" t="s">
        <v>1605</v>
      </c>
      <c r="E659" s="27" t="s">
        <v>40</v>
      </c>
      <c r="F659" s="28">
        <f>SUM(F660:F660)+70000</f>
        <v>70000</v>
      </c>
      <c r="G659" s="28">
        <f t="shared" ref="G659:L659" si="289">SUM(G660:G660)</f>
        <v>0</v>
      </c>
      <c r="H659" s="28">
        <f t="shared" si="289"/>
        <v>0</v>
      </c>
      <c r="I659" s="28">
        <f t="shared" si="289"/>
        <v>0</v>
      </c>
      <c r="J659" s="28">
        <f t="shared" si="289"/>
        <v>0</v>
      </c>
      <c r="K659" s="28">
        <f t="shared" si="289"/>
        <v>0</v>
      </c>
      <c r="L659" s="28">
        <f t="shared" si="289"/>
        <v>0</v>
      </c>
      <c r="M659" s="28">
        <f>SUM(M660:M660)+70000</f>
        <v>70000</v>
      </c>
      <c r="N659" s="28">
        <f>SUM(N660:N660)</f>
        <v>0</v>
      </c>
      <c r="O659" s="28">
        <f>SUM(O660:O660)</f>
        <v>0</v>
      </c>
      <c r="P659" s="27" t="s">
        <v>1716</v>
      </c>
      <c r="Q659" s="29" t="s">
        <v>35</v>
      </c>
      <c r="R659" s="30" t="s">
        <v>1036</v>
      </c>
    </row>
    <row r="660" spans="1:18" ht="93" x14ac:dyDescent="0.25">
      <c r="A660" s="25" t="s">
        <v>1717</v>
      </c>
      <c r="B660" s="26" t="s">
        <v>1718</v>
      </c>
      <c r="C660" s="27"/>
      <c r="D660" s="27"/>
      <c r="E660" s="27"/>
      <c r="F660" s="31">
        <v>0</v>
      </c>
      <c r="G660" s="31">
        <v>0</v>
      </c>
      <c r="H660" s="31">
        <v>0</v>
      </c>
      <c r="I660" s="31">
        <v>0</v>
      </c>
      <c r="J660" s="31">
        <v>0</v>
      </c>
      <c r="K660" s="31">
        <v>0</v>
      </c>
      <c r="L660" s="31">
        <v>0</v>
      </c>
      <c r="M660" s="31">
        <v>0</v>
      </c>
      <c r="N660" s="31">
        <v>0</v>
      </c>
      <c r="O660" s="31">
        <v>0</v>
      </c>
      <c r="P660" s="27"/>
      <c r="Q660" s="29"/>
      <c r="R660" s="30"/>
    </row>
    <row r="661" spans="1:18" ht="69.75" x14ac:dyDescent="0.25">
      <c r="A661" s="25" t="s">
        <v>1719</v>
      </c>
      <c r="B661" s="26" t="s">
        <v>1720</v>
      </c>
      <c r="C661" s="27" t="s">
        <v>1423</v>
      </c>
      <c r="D661" s="27" t="s">
        <v>1547</v>
      </c>
      <c r="E661" s="27" t="s">
        <v>40</v>
      </c>
      <c r="F661" s="28">
        <f>SUM(F662:F662)+20000</f>
        <v>20000</v>
      </c>
      <c r="G661" s="28">
        <f t="shared" ref="G661:L661" si="290">SUM(G662:G662)</f>
        <v>0</v>
      </c>
      <c r="H661" s="28">
        <f t="shared" si="290"/>
        <v>0</v>
      </c>
      <c r="I661" s="28">
        <f t="shared" si="290"/>
        <v>0</v>
      </c>
      <c r="J661" s="28">
        <f t="shared" si="290"/>
        <v>0</v>
      </c>
      <c r="K661" s="28">
        <f t="shared" si="290"/>
        <v>0</v>
      </c>
      <c r="L661" s="28">
        <f t="shared" si="290"/>
        <v>0</v>
      </c>
      <c r="M661" s="28">
        <f>SUM(M662:M662)+20000</f>
        <v>20000</v>
      </c>
      <c r="N661" s="28">
        <f>SUM(N662:N662)</f>
        <v>0</v>
      </c>
      <c r="O661" s="28">
        <f>SUM(O662:O662)</f>
        <v>0</v>
      </c>
      <c r="P661" s="27" t="s">
        <v>1721</v>
      </c>
      <c r="Q661" s="29" t="s">
        <v>35</v>
      </c>
      <c r="R661" s="30" t="s">
        <v>1549</v>
      </c>
    </row>
    <row r="662" spans="1:18" ht="69.75" x14ac:dyDescent="0.25">
      <c r="A662" s="25" t="s">
        <v>1722</v>
      </c>
      <c r="B662" s="26" t="s">
        <v>1723</v>
      </c>
      <c r="C662" s="27"/>
      <c r="D662" s="27"/>
      <c r="E662" s="27"/>
      <c r="F662" s="31">
        <v>0</v>
      </c>
      <c r="G662" s="31">
        <v>0</v>
      </c>
      <c r="H662" s="31">
        <v>0</v>
      </c>
      <c r="I662" s="31">
        <v>0</v>
      </c>
      <c r="J662" s="31">
        <v>0</v>
      </c>
      <c r="K662" s="31">
        <v>0</v>
      </c>
      <c r="L662" s="31">
        <v>0</v>
      </c>
      <c r="M662" s="31">
        <v>0</v>
      </c>
      <c r="N662" s="31">
        <v>0</v>
      </c>
      <c r="O662" s="31">
        <v>0</v>
      </c>
      <c r="P662" s="27"/>
      <c r="Q662" s="29"/>
      <c r="R662" s="30"/>
    </row>
    <row r="663" spans="1:18" ht="69.75" x14ac:dyDescent="0.25">
      <c r="A663" s="25" t="s">
        <v>1724</v>
      </c>
      <c r="B663" s="26" t="s">
        <v>1725</v>
      </c>
      <c r="C663" s="27" t="s">
        <v>1423</v>
      </c>
      <c r="D663" s="27" t="s">
        <v>1605</v>
      </c>
      <c r="E663" s="27" t="s">
        <v>40</v>
      </c>
      <c r="F663" s="28">
        <f>SUM(F664:F664)+250000</f>
        <v>250000</v>
      </c>
      <c r="G663" s="28">
        <f t="shared" ref="G663:L663" si="291">SUM(G664:G664)</f>
        <v>0</v>
      </c>
      <c r="H663" s="28">
        <f t="shared" si="291"/>
        <v>0</v>
      </c>
      <c r="I663" s="28">
        <f t="shared" si="291"/>
        <v>0</v>
      </c>
      <c r="J663" s="28">
        <f t="shared" si="291"/>
        <v>0</v>
      </c>
      <c r="K663" s="28">
        <f t="shared" si="291"/>
        <v>0</v>
      </c>
      <c r="L663" s="28">
        <f t="shared" si="291"/>
        <v>0</v>
      </c>
      <c r="M663" s="28">
        <f>SUM(M664:M664)+250000</f>
        <v>250000</v>
      </c>
      <c r="N663" s="28">
        <f>SUM(N664:N664)</f>
        <v>0</v>
      </c>
      <c r="O663" s="28">
        <f>SUM(O664:O664)</f>
        <v>0</v>
      </c>
      <c r="P663" s="27" t="s">
        <v>1726</v>
      </c>
      <c r="Q663" s="29" t="s">
        <v>35</v>
      </c>
      <c r="R663" s="30" t="s">
        <v>1727</v>
      </c>
    </row>
    <row r="664" spans="1:18" ht="69.75" x14ac:dyDescent="0.25">
      <c r="A664" s="25" t="s">
        <v>1728</v>
      </c>
      <c r="B664" s="26" t="s">
        <v>1729</v>
      </c>
      <c r="C664" s="27"/>
      <c r="D664" s="27"/>
      <c r="E664" s="27"/>
      <c r="F664" s="31">
        <v>0</v>
      </c>
      <c r="G664" s="31">
        <v>0</v>
      </c>
      <c r="H664" s="31">
        <v>0</v>
      </c>
      <c r="I664" s="31">
        <v>0</v>
      </c>
      <c r="J664" s="31">
        <v>0</v>
      </c>
      <c r="K664" s="31">
        <v>0</v>
      </c>
      <c r="L664" s="31">
        <v>0</v>
      </c>
      <c r="M664" s="31">
        <v>0</v>
      </c>
      <c r="N664" s="31">
        <v>0</v>
      </c>
      <c r="O664" s="31">
        <v>0</v>
      </c>
      <c r="P664" s="27"/>
      <c r="Q664" s="29"/>
      <c r="R664" s="30"/>
    </row>
    <row r="665" spans="1:18" ht="69.75" x14ac:dyDescent="0.25">
      <c r="A665" s="25" t="s">
        <v>1730</v>
      </c>
      <c r="B665" s="26" t="s">
        <v>1731</v>
      </c>
      <c r="C665" s="27" t="s">
        <v>1423</v>
      </c>
      <c r="D665" s="27" t="s">
        <v>1605</v>
      </c>
      <c r="E665" s="27" t="s">
        <v>40</v>
      </c>
      <c r="F665" s="28">
        <f>SUM(F666:F666)+200000</f>
        <v>200000</v>
      </c>
      <c r="G665" s="28">
        <f t="shared" ref="G665:L665" si="292">SUM(G666:G666)</f>
        <v>0</v>
      </c>
      <c r="H665" s="28">
        <f t="shared" si="292"/>
        <v>0</v>
      </c>
      <c r="I665" s="28">
        <f t="shared" si="292"/>
        <v>0</v>
      </c>
      <c r="J665" s="28">
        <f t="shared" si="292"/>
        <v>0</v>
      </c>
      <c r="K665" s="28">
        <f t="shared" si="292"/>
        <v>0</v>
      </c>
      <c r="L665" s="28">
        <f t="shared" si="292"/>
        <v>0</v>
      </c>
      <c r="M665" s="28">
        <f>SUM(M666:M666)+200000</f>
        <v>200000</v>
      </c>
      <c r="N665" s="28">
        <f>SUM(N666:N666)</f>
        <v>0</v>
      </c>
      <c r="O665" s="28">
        <f>SUM(O666:O666)</f>
        <v>0</v>
      </c>
      <c r="P665" s="27" t="s">
        <v>1732</v>
      </c>
      <c r="Q665" s="29" t="s">
        <v>35</v>
      </c>
      <c r="R665" s="30" t="s">
        <v>1204</v>
      </c>
    </row>
    <row r="666" spans="1:18" ht="69.75" x14ac:dyDescent="0.25">
      <c r="A666" s="25" t="s">
        <v>1733</v>
      </c>
      <c r="B666" s="26" t="s">
        <v>1734</v>
      </c>
      <c r="C666" s="27"/>
      <c r="D666" s="27"/>
      <c r="E666" s="27"/>
      <c r="F666" s="31">
        <v>0</v>
      </c>
      <c r="G666" s="31">
        <v>0</v>
      </c>
      <c r="H666" s="31">
        <v>0</v>
      </c>
      <c r="I666" s="31">
        <v>0</v>
      </c>
      <c r="J666" s="31">
        <v>0</v>
      </c>
      <c r="K666" s="31">
        <v>0</v>
      </c>
      <c r="L666" s="31">
        <v>0</v>
      </c>
      <c r="M666" s="31">
        <v>0</v>
      </c>
      <c r="N666" s="31">
        <v>0</v>
      </c>
      <c r="O666" s="31">
        <v>0</v>
      </c>
      <c r="P666" s="27"/>
      <c r="Q666" s="29"/>
      <c r="R666" s="30"/>
    </row>
    <row r="667" spans="1:18" ht="69.75" x14ac:dyDescent="0.25">
      <c r="A667" s="25" t="s">
        <v>1735</v>
      </c>
      <c r="B667" s="26" t="s">
        <v>1736</v>
      </c>
      <c r="C667" s="27" t="s">
        <v>1423</v>
      </c>
      <c r="D667" s="27" t="s">
        <v>1605</v>
      </c>
      <c r="E667" s="27" t="s">
        <v>40</v>
      </c>
      <c r="F667" s="28">
        <f>SUM(F668:F668)+13000</f>
        <v>13000</v>
      </c>
      <c r="G667" s="28">
        <f t="shared" ref="G667:L667" si="293">SUM(G668:G668)</f>
        <v>0</v>
      </c>
      <c r="H667" s="28">
        <f t="shared" si="293"/>
        <v>0</v>
      </c>
      <c r="I667" s="28">
        <f t="shared" si="293"/>
        <v>0</v>
      </c>
      <c r="J667" s="28">
        <f t="shared" si="293"/>
        <v>0</v>
      </c>
      <c r="K667" s="28">
        <f t="shared" si="293"/>
        <v>0</v>
      </c>
      <c r="L667" s="28">
        <f t="shared" si="293"/>
        <v>0</v>
      </c>
      <c r="M667" s="28">
        <f>SUM(M668:M668)+13000</f>
        <v>13000</v>
      </c>
      <c r="N667" s="28">
        <f>SUM(N668:N668)</f>
        <v>0</v>
      </c>
      <c r="O667" s="28">
        <f>SUM(O668:O668)</f>
        <v>0</v>
      </c>
      <c r="P667" s="27" t="s">
        <v>1737</v>
      </c>
      <c r="Q667" s="29" t="s">
        <v>35</v>
      </c>
      <c r="R667" s="30" t="s">
        <v>1738</v>
      </c>
    </row>
    <row r="668" spans="1:18" ht="69.75" x14ac:dyDescent="0.25">
      <c r="A668" s="25" t="s">
        <v>1739</v>
      </c>
      <c r="B668" s="26" t="s">
        <v>1740</v>
      </c>
      <c r="C668" s="27"/>
      <c r="D668" s="27"/>
      <c r="E668" s="27"/>
      <c r="F668" s="31">
        <v>0</v>
      </c>
      <c r="G668" s="31">
        <v>0</v>
      </c>
      <c r="H668" s="31">
        <v>0</v>
      </c>
      <c r="I668" s="31">
        <v>0</v>
      </c>
      <c r="J668" s="31">
        <v>0</v>
      </c>
      <c r="K668" s="31">
        <v>0</v>
      </c>
      <c r="L668" s="31">
        <v>0</v>
      </c>
      <c r="M668" s="31">
        <v>0</v>
      </c>
      <c r="N668" s="31">
        <v>0</v>
      </c>
      <c r="O668" s="31">
        <v>0</v>
      </c>
      <c r="P668" s="27"/>
      <c r="Q668" s="29"/>
      <c r="R668" s="30"/>
    </row>
    <row r="669" spans="1:18" ht="69.75" x14ac:dyDescent="0.25">
      <c r="A669" s="25" t="s">
        <v>1741</v>
      </c>
      <c r="B669" s="26" t="s">
        <v>1742</v>
      </c>
      <c r="C669" s="27" t="s">
        <v>1423</v>
      </c>
      <c r="D669" s="27" t="s">
        <v>1547</v>
      </c>
      <c r="E669" s="27" t="s">
        <v>40</v>
      </c>
      <c r="F669" s="28">
        <f>SUM(F670:F670)+52700</f>
        <v>52700</v>
      </c>
      <c r="G669" s="28">
        <f t="shared" ref="G669:L669" si="294">SUM(G670:G670)</f>
        <v>0</v>
      </c>
      <c r="H669" s="28">
        <f t="shared" si="294"/>
        <v>0</v>
      </c>
      <c r="I669" s="28">
        <f t="shared" si="294"/>
        <v>0</v>
      </c>
      <c r="J669" s="28">
        <f t="shared" si="294"/>
        <v>0</v>
      </c>
      <c r="K669" s="28">
        <f t="shared" si="294"/>
        <v>0</v>
      </c>
      <c r="L669" s="28">
        <f t="shared" si="294"/>
        <v>0</v>
      </c>
      <c r="M669" s="28">
        <f>SUM(M670:M670)+52700</f>
        <v>52700</v>
      </c>
      <c r="N669" s="28">
        <f>SUM(N670:N670)</f>
        <v>0</v>
      </c>
      <c r="O669" s="28">
        <f>SUM(O670:O670)</f>
        <v>0</v>
      </c>
      <c r="P669" s="27" t="s">
        <v>1743</v>
      </c>
      <c r="Q669" s="29" t="s">
        <v>35</v>
      </c>
      <c r="R669" s="30" t="s">
        <v>130</v>
      </c>
    </row>
    <row r="670" spans="1:18" ht="69.75" x14ac:dyDescent="0.25">
      <c r="A670" s="25" t="s">
        <v>1744</v>
      </c>
      <c r="B670" s="26" t="s">
        <v>1745</v>
      </c>
      <c r="C670" s="27"/>
      <c r="D670" s="27"/>
      <c r="E670" s="27"/>
      <c r="F670" s="31">
        <v>0</v>
      </c>
      <c r="G670" s="31">
        <v>0</v>
      </c>
      <c r="H670" s="31">
        <v>0</v>
      </c>
      <c r="I670" s="31">
        <v>0</v>
      </c>
      <c r="J670" s="31">
        <v>0</v>
      </c>
      <c r="K670" s="31">
        <v>0</v>
      </c>
      <c r="L670" s="31">
        <v>0</v>
      </c>
      <c r="M670" s="31">
        <v>0</v>
      </c>
      <c r="N670" s="31">
        <v>0</v>
      </c>
      <c r="O670" s="31">
        <v>0</v>
      </c>
      <c r="P670" s="27"/>
      <c r="Q670" s="29"/>
      <c r="R670" s="30"/>
    </row>
    <row r="671" spans="1:18" ht="69.75" x14ac:dyDescent="0.25">
      <c r="A671" s="25" t="s">
        <v>1746</v>
      </c>
      <c r="B671" s="26" t="s">
        <v>1747</v>
      </c>
      <c r="C671" s="27" t="s">
        <v>1423</v>
      </c>
      <c r="D671" s="27" t="s">
        <v>1605</v>
      </c>
      <c r="E671" s="27" t="s">
        <v>40</v>
      </c>
      <c r="F671" s="28">
        <f>SUM(F672:F672)+7000</f>
        <v>7000</v>
      </c>
      <c r="G671" s="28">
        <f t="shared" ref="G671:L671" si="295">SUM(G672:G672)</f>
        <v>0</v>
      </c>
      <c r="H671" s="28">
        <f t="shared" si="295"/>
        <v>0</v>
      </c>
      <c r="I671" s="28">
        <f t="shared" si="295"/>
        <v>0</v>
      </c>
      <c r="J671" s="28">
        <f t="shared" si="295"/>
        <v>0</v>
      </c>
      <c r="K671" s="28">
        <f t="shared" si="295"/>
        <v>0</v>
      </c>
      <c r="L671" s="28">
        <f t="shared" si="295"/>
        <v>0</v>
      </c>
      <c r="M671" s="28">
        <f>SUM(M672:M672)+7000</f>
        <v>7000</v>
      </c>
      <c r="N671" s="28">
        <f>SUM(N672:N672)</f>
        <v>0</v>
      </c>
      <c r="O671" s="28">
        <f>SUM(O672:O672)</f>
        <v>0</v>
      </c>
      <c r="P671" s="27" t="s">
        <v>1748</v>
      </c>
      <c r="Q671" s="29" t="s">
        <v>35</v>
      </c>
      <c r="R671" s="30" t="s">
        <v>48</v>
      </c>
    </row>
    <row r="672" spans="1:18" ht="69.75" x14ac:dyDescent="0.25">
      <c r="A672" s="25" t="s">
        <v>1749</v>
      </c>
      <c r="B672" s="26" t="s">
        <v>1750</v>
      </c>
      <c r="C672" s="27"/>
      <c r="D672" s="27"/>
      <c r="E672" s="27"/>
      <c r="F672" s="31">
        <v>0</v>
      </c>
      <c r="G672" s="31">
        <v>0</v>
      </c>
      <c r="H672" s="31">
        <v>0</v>
      </c>
      <c r="I672" s="31">
        <v>0</v>
      </c>
      <c r="J672" s="31">
        <v>0</v>
      </c>
      <c r="K672" s="31">
        <v>0</v>
      </c>
      <c r="L672" s="31">
        <v>0</v>
      </c>
      <c r="M672" s="31">
        <v>0</v>
      </c>
      <c r="N672" s="31">
        <v>0</v>
      </c>
      <c r="O672" s="31">
        <v>0</v>
      </c>
      <c r="P672" s="27"/>
      <c r="Q672" s="29"/>
      <c r="R672" s="30"/>
    </row>
    <row r="673" spans="1:18" ht="69.75" x14ac:dyDescent="0.25">
      <c r="A673" s="25" t="s">
        <v>1751</v>
      </c>
      <c r="B673" s="26" t="s">
        <v>1752</v>
      </c>
      <c r="C673" s="27" t="s">
        <v>1423</v>
      </c>
      <c r="D673" s="27" t="s">
        <v>1547</v>
      </c>
      <c r="E673" s="27" t="s">
        <v>40</v>
      </c>
      <c r="F673" s="28">
        <f>SUM(F674:F674)+2353800</f>
        <v>2353800</v>
      </c>
      <c r="G673" s="28">
        <f t="shared" ref="G673:L673" si="296">SUM(G674:G674)</f>
        <v>0</v>
      </c>
      <c r="H673" s="28">
        <f t="shared" si="296"/>
        <v>0</v>
      </c>
      <c r="I673" s="28">
        <f t="shared" si="296"/>
        <v>0</v>
      </c>
      <c r="J673" s="28">
        <f t="shared" si="296"/>
        <v>0</v>
      </c>
      <c r="K673" s="28">
        <f t="shared" si="296"/>
        <v>0</v>
      </c>
      <c r="L673" s="28">
        <f t="shared" si="296"/>
        <v>0</v>
      </c>
      <c r="M673" s="28">
        <f>SUM(M674:M674)+2353800</f>
        <v>2353800</v>
      </c>
      <c r="N673" s="28">
        <f>SUM(N674:N674)</f>
        <v>0</v>
      </c>
      <c r="O673" s="28">
        <f>SUM(O674:O674)</f>
        <v>0</v>
      </c>
      <c r="P673" s="27" t="s">
        <v>1753</v>
      </c>
      <c r="Q673" s="29" t="s">
        <v>35</v>
      </c>
      <c r="R673" s="30" t="s">
        <v>1754</v>
      </c>
    </row>
    <row r="674" spans="1:18" ht="69.75" x14ac:dyDescent="0.25">
      <c r="A674" s="25" t="s">
        <v>1755</v>
      </c>
      <c r="B674" s="26" t="s">
        <v>1756</v>
      </c>
      <c r="C674" s="27"/>
      <c r="D674" s="27"/>
      <c r="E674" s="27"/>
      <c r="F674" s="31">
        <v>0</v>
      </c>
      <c r="G674" s="31">
        <v>0</v>
      </c>
      <c r="H674" s="31">
        <v>0</v>
      </c>
      <c r="I674" s="31">
        <v>0</v>
      </c>
      <c r="J674" s="31">
        <v>0</v>
      </c>
      <c r="K674" s="31">
        <v>0</v>
      </c>
      <c r="L674" s="31">
        <v>0</v>
      </c>
      <c r="M674" s="31">
        <v>0</v>
      </c>
      <c r="N674" s="31">
        <v>0</v>
      </c>
      <c r="O674" s="31">
        <v>0</v>
      </c>
      <c r="P674" s="27"/>
      <c r="Q674" s="29"/>
      <c r="R674" s="30"/>
    </row>
    <row r="675" spans="1:18" ht="69.75" x14ac:dyDescent="0.25">
      <c r="A675" s="25" t="s">
        <v>1757</v>
      </c>
      <c r="B675" s="26" t="s">
        <v>1758</v>
      </c>
      <c r="C675" s="27" t="s">
        <v>1423</v>
      </c>
      <c r="D675" s="27" t="s">
        <v>1547</v>
      </c>
      <c r="E675" s="27" t="s">
        <v>40</v>
      </c>
      <c r="F675" s="28">
        <f>SUM(F676:F676)+1500960.4</f>
        <v>1500960.4</v>
      </c>
      <c r="G675" s="28">
        <f t="shared" ref="G675:L675" si="297">SUM(G676:G676)</f>
        <v>0</v>
      </c>
      <c r="H675" s="28">
        <f t="shared" si="297"/>
        <v>0</v>
      </c>
      <c r="I675" s="28">
        <f t="shared" si="297"/>
        <v>0</v>
      </c>
      <c r="J675" s="28">
        <f t="shared" si="297"/>
        <v>0</v>
      </c>
      <c r="K675" s="28">
        <f t="shared" si="297"/>
        <v>0</v>
      </c>
      <c r="L675" s="28">
        <f t="shared" si="297"/>
        <v>0</v>
      </c>
      <c r="M675" s="28">
        <f>SUM(M676:M676)+1500960.4</f>
        <v>1500960.4</v>
      </c>
      <c r="N675" s="28">
        <f>SUM(N676:N676)</f>
        <v>0</v>
      </c>
      <c r="O675" s="28">
        <f>SUM(O676:O676)</f>
        <v>0</v>
      </c>
      <c r="P675" s="27" t="s">
        <v>1759</v>
      </c>
      <c r="Q675" s="29" t="s">
        <v>35</v>
      </c>
      <c r="R675" s="30" t="s">
        <v>1760</v>
      </c>
    </row>
    <row r="676" spans="1:18" ht="69.75" x14ac:dyDescent="0.25">
      <c r="A676" s="25" t="s">
        <v>1761</v>
      </c>
      <c r="B676" s="26" t="s">
        <v>1762</v>
      </c>
      <c r="C676" s="27"/>
      <c r="D676" s="27"/>
      <c r="E676" s="27"/>
      <c r="F676" s="31">
        <v>0</v>
      </c>
      <c r="G676" s="31">
        <v>0</v>
      </c>
      <c r="H676" s="31">
        <v>0</v>
      </c>
      <c r="I676" s="31">
        <v>0</v>
      </c>
      <c r="J676" s="31">
        <v>0</v>
      </c>
      <c r="K676" s="31">
        <v>0</v>
      </c>
      <c r="L676" s="31">
        <v>0</v>
      </c>
      <c r="M676" s="31">
        <v>0</v>
      </c>
      <c r="N676" s="31">
        <v>0</v>
      </c>
      <c r="O676" s="31">
        <v>0</v>
      </c>
      <c r="P676" s="27"/>
      <c r="Q676" s="29"/>
      <c r="R676" s="30"/>
    </row>
    <row r="677" spans="1:18" ht="46.5" x14ac:dyDescent="0.25">
      <c r="A677" s="25" t="s">
        <v>1763</v>
      </c>
      <c r="B677" s="26" t="s">
        <v>1764</v>
      </c>
      <c r="C677" s="27" t="s">
        <v>1423</v>
      </c>
      <c r="D677" s="27" t="s">
        <v>1547</v>
      </c>
      <c r="E677" s="27" t="s">
        <v>40</v>
      </c>
      <c r="F677" s="28">
        <f>SUM(F678:F678)+154238.4</f>
        <v>154238.39999999999</v>
      </c>
      <c r="G677" s="28">
        <f t="shared" ref="G677:L677" si="298">SUM(G678:G678)</f>
        <v>0</v>
      </c>
      <c r="H677" s="28">
        <f t="shared" si="298"/>
        <v>0</v>
      </c>
      <c r="I677" s="28">
        <f t="shared" si="298"/>
        <v>0</v>
      </c>
      <c r="J677" s="28">
        <f t="shared" si="298"/>
        <v>0</v>
      </c>
      <c r="K677" s="28">
        <f t="shared" si="298"/>
        <v>0</v>
      </c>
      <c r="L677" s="28">
        <f t="shared" si="298"/>
        <v>0</v>
      </c>
      <c r="M677" s="28">
        <f>SUM(M678:M678)+154238.4</f>
        <v>154238.39999999999</v>
      </c>
      <c r="N677" s="28">
        <f>SUM(N678:N678)</f>
        <v>0</v>
      </c>
      <c r="O677" s="28">
        <f>SUM(O678:O678)</f>
        <v>0</v>
      </c>
      <c r="P677" s="27" t="s">
        <v>1765</v>
      </c>
      <c r="Q677" s="29" t="s">
        <v>35</v>
      </c>
      <c r="R677" s="30" t="s">
        <v>68</v>
      </c>
    </row>
    <row r="678" spans="1:18" ht="46.5" x14ac:dyDescent="0.25">
      <c r="A678" s="25" t="s">
        <v>1766</v>
      </c>
      <c r="B678" s="26" t="s">
        <v>1767</v>
      </c>
      <c r="C678" s="27"/>
      <c r="D678" s="27"/>
      <c r="E678" s="27"/>
      <c r="F678" s="31">
        <v>0</v>
      </c>
      <c r="G678" s="31">
        <v>0</v>
      </c>
      <c r="H678" s="31">
        <v>0</v>
      </c>
      <c r="I678" s="31">
        <v>0</v>
      </c>
      <c r="J678" s="31">
        <v>0</v>
      </c>
      <c r="K678" s="31">
        <v>0</v>
      </c>
      <c r="L678" s="31">
        <v>0</v>
      </c>
      <c r="M678" s="31">
        <v>0</v>
      </c>
      <c r="N678" s="31">
        <v>0</v>
      </c>
      <c r="O678" s="31">
        <v>0</v>
      </c>
      <c r="P678" s="27"/>
      <c r="Q678" s="29"/>
      <c r="R678" s="30"/>
    </row>
    <row r="679" spans="1:18" ht="69.75" x14ac:dyDescent="0.25">
      <c r="A679" s="25" t="s">
        <v>1768</v>
      </c>
      <c r="B679" s="26" t="s">
        <v>1769</v>
      </c>
      <c r="C679" s="27" t="s">
        <v>1423</v>
      </c>
      <c r="D679" s="27" t="s">
        <v>1605</v>
      </c>
      <c r="E679" s="27" t="s">
        <v>40</v>
      </c>
      <c r="F679" s="28">
        <f>SUM(F680:F680)+50934</f>
        <v>50934</v>
      </c>
      <c r="G679" s="28">
        <f t="shared" ref="G679:L679" si="299">SUM(G680:G680)</f>
        <v>0</v>
      </c>
      <c r="H679" s="28">
        <f t="shared" si="299"/>
        <v>0</v>
      </c>
      <c r="I679" s="28">
        <f t="shared" si="299"/>
        <v>0</v>
      </c>
      <c r="J679" s="28">
        <f t="shared" si="299"/>
        <v>0</v>
      </c>
      <c r="K679" s="28">
        <f t="shared" si="299"/>
        <v>0</v>
      </c>
      <c r="L679" s="28">
        <f t="shared" si="299"/>
        <v>0</v>
      </c>
      <c r="M679" s="28">
        <f>SUM(M680:M680)+50934</f>
        <v>50934</v>
      </c>
      <c r="N679" s="28">
        <f>SUM(N680:N680)</f>
        <v>0</v>
      </c>
      <c r="O679" s="28">
        <f>SUM(O680:O680)</f>
        <v>0</v>
      </c>
      <c r="P679" s="27" t="s">
        <v>1765</v>
      </c>
      <c r="Q679" s="29" t="s">
        <v>35</v>
      </c>
      <c r="R679" s="30" t="s">
        <v>68</v>
      </c>
    </row>
    <row r="680" spans="1:18" ht="46.5" x14ac:dyDescent="0.25">
      <c r="A680" s="25" t="s">
        <v>1770</v>
      </c>
      <c r="B680" s="26" t="s">
        <v>1771</v>
      </c>
      <c r="C680" s="27"/>
      <c r="D680" s="27"/>
      <c r="E680" s="27"/>
      <c r="F680" s="31">
        <v>0</v>
      </c>
      <c r="G680" s="31">
        <v>0</v>
      </c>
      <c r="H680" s="31">
        <v>0</v>
      </c>
      <c r="I680" s="31">
        <v>0</v>
      </c>
      <c r="J680" s="31">
        <v>0</v>
      </c>
      <c r="K680" s="31">
        <v>0</v>
      </c>
      <c r="L680" s="31">
        <v>0</v>
      </c>
      <c r="M680" s="31">
        <v>0</v>
      </c>
      <c r="N680" s="31">
        <v>0</v>
      </c>
      <c r="O680" s="31">
        <v>0</v>
      </c>
      <c r="P680" s="27"/>
      <c r="Q680" s="29"/>
      <c r="R680" s="30"/>
    </row>
    <row r="681" spans="1:18" ht="93" x14ac:dyDescent="0.25">
      <c r="A681" s="25" t="s">
        <v>1772</v>
      </c>
      <c r="B681" s="26" t="s">
        <v>1773</v>
      </c>
      <c r="C681" s="27" t="s">
        <v>726</v>
      </c>
      <c r="D681" s="27" t="s">
        <v>727</v>
      </c>
      <c r="E681" s="27" t="s">
        <v>40</v>
      </c>
      <c r="F681" s="28">
        <f>SUM(F682:F682)+1150</f>
        <v>1150</v>
      </c>
      <c r="G681" s="28">
        <f>SUM(G682:G682)+1150</f>
        <v>1150</v>
      </c>
      <c r="H681" s="28">
        <f t="shared" ref="H681:O681" si="300">SUM(H682:H682)</f>
        <v>0</v>
      </c>
      <c r="I681" s="28">
        <f t="shared" si="300"/>
        <v>0</v>
      </c>
      <c r="J681" s="28">
        <f t="shared" si="300"/>
        <v>0</v>
      </c>
      <c r="K681" s="28">
        <f t="shared" si="300"/>
        <v>0</v>
      </c>
      <c r="L681" s="28">
        <f t="shared" si="300"/>
        <v>0</v>
      </c>
      <c r="M681" s="28">
        <f t="shared" si="300"/>
        <v>0</v>
      </c>
      <c r="N681" s="28">
        <f t="shared" si="300"/>
        <v>0</v>
      </c>
      <c r="O681" s="28">
        <f t="shared" si="300"/>
        <v>0</v>
      </c>
      <c r="P681" s="27" t="s">
        <v>1774</v>
      </c>
      <c r="Q681" s="29" t="s">
        <v>35</v>
      </c>
      <c r="R681" s="30" t="s">
        <v>144</v>
      </c>
    </row>
    <row r="682" spans="1:18" ht="69.75" x14ac:dyDescent="0.25">
      <c r="A682" s="25" t="s">
        <v>1775</v>
      </c>
      <c r="B682" s="26" t="s">
        <v>1776</v>
      </c>
      <c r="C682" s="27"/>
      <c r="D682" s="27"/>
      <c r="E682" s="27"/>
      <c r="F682" s="31">
        <v>0</v>
      </c>
      <c r="G682" s="31">
        <v>0</v>
      </c>
      <c r="H682" s="31">
        <v>0</v>
      </c>
      <c r="I682" s="31">
        <v>0</v>
      </c>
      <c r="J682" s="31">
        <v>0</v>
      </c>
      <c r="K682" s="31">
        <v>0</v>
      </c>
      <c r="L682" s="31">
        <v>0</v>
      </c>
      <c r="M682" s="31">
        <v>0</v>
      </c>
      <c r="N682" s="31">
        <v>0</v>
      </c>
      <c r="O682" s="31">
        <v>0</v>
      </c>
      <c r="P682" s="27"/>
      <c r="Q682" s="29"/>
      <c r="R682" s="30"/>
    </row>
    <row r="683" spans="1:18" ht="93" x14ac:dyDescent="0.25">
      <c r="A683" s="25" t="s">
        <v>1777</v>
      </c>
      <c r="B683" s="26" t="s">
        <v>1778</v>
      </c>
      <c r="C683" s="27" t="s">
        <v>735</v>
      </c>
      <c r="D683" s="27" t="s">
        <v>736</v>
      </c>
      <c r="E683" s="27" t="s">
        <v>40</v>
      </c>
      <c r="F683" s="28">
        <f>SUM(F684:F684)+3050</f>
        <v>3050</v>
      </c>
      <c r="G683" s="28">
        <f>SUM(G684:G684)+3050</f>
        <v>3050</v>
      </c>
      <c r="H683" s="28">
        <f t="shared" ref="H683:O683" si="301">SUM(H684:H684)</f>
        <v>0</v>
      </c>
      <c r="I683" s="28">
        <f t="shared" si="301"/>
        <v>0</v>
      </c>
      <c r="J683" s="28">
        <f t="shared" si="301"/>
        <v>0</v>
      </c>
      <c r="K683" s="28">
        <f t="shared" si="301"/>
        <v>0</v>
      </c>
      <c r="L683" s="28">
        <f t="shared" si="301"/>
        <v>0</v>
      </c>
      <c r="M683" s="28">
        <f t="shared" si="301"/>
        <v>0</v>
      </c>
      <c r="N683" s="28">
        <f t="shared" si="301"/>
        <v>0</v>
      </c>
      <c r="O683" s="28">
        <f t="shared" si="301"/>
        <v>0</v>
      </c>
      <c r="P683" s="27" t="s">
        <v>1774</v>
      </c>
      <c r="Q683" s="29" t="s">
        <v>35</v>
      </c>
      <c r="R683" s="30" t="s">
        <v>189</v>
      </c>
    </row>
    <row r="684" spans="1:18" ht="69.75" x14ac:dyDescent="0.25">
      <c r="A684" s="25" t="s">
        <v>1779</v>
      </c>
      <c r="B684" s="26" t="s">
        <v>1776</v>
      </c>
      <c r="C684" s="27"/>
      <c r="D684" s="27"/>
      <c r="E684" s="27"/>
      <c r="F684" s="31">
        <v>0</v>
      </c>
      <c r="G684" s="31">
        <v>0</v>
      </c>
      <c r="H684" s="31">
        <v>0</v>
      </c>
      <c r="I684" s="31">
        <v>0</v>
      </c>
      <c r="J684" s="31">
        <v>0</v>
      </c>
      <c r="K684" s="31">
        <v>0</v>
      </c>
      <c r="L684" s="31">
        <v>0</v>
      </c>
      <c r="M684" s="31">
        <v>0</v>
      </c>
      <c r="N684" s="31">
        <v>0</v>
      </c>
      <c r="O684" s="31">
        <v>0</v>
      </c>
      <c r="P684" s="27"/>
      <c r="Q684" s="29"/>
      <c r="R684" s="30"/>
    </row>
    <row r="685" spans="1:18" ht="93" x14ac:dyDescent="0.25">
      <c r="A685" s="25" t="s">
        <v>1780</v>
      </c>
      <c r="B685" s="26" t="s">
        <v>1781</v>
      </c>
      <c r="C685" s="27" t="s">
        <v>113</v>
      </c>
      <c r="D685" s="27" t="s">
        <v>741</v>
      </c>
      <c r="E685" s="27" t="s">
        <v>40</v>
      </c>
      <c r="F685" s="28">
        <f>SUM(F686:F686)+2620</f>
        <v>2620</v>
      </c>
      <c r="G685" s="28">
        <f>SUM(G686:G686)+2620</f>
        <v>2620</v>
      </c>
      <c r="H685" s="28">
        <f t="shared" ref="H685:O685" si="302">SUM(H686:H686)</f>
        <v>0</v>
      </c>
      <c r="I685" s="28">
        <f t="shared" si="302"/>
        <v>0</v>
      </c>
      <c r="J685" s="28">
        <f t="shared" si="302"/>
        <v>0</v>
      </c>
      <c r="K685" s="28">
        <f t="shared" si="302"/>
        <v>0</v>
      </c>
      <c r="L685" s="28">
        <f t="shared" si="302"/>
        <v>0</v>
      </c>
      <c r="M685" s="28">
        <f t="shared" si="302"/>
        <v>0</v>
      </c>
      <c r="N685" s="28">
        <f t="shared" si="302"/>
        <v>0</v>
      </c>
      <c r="O685" s="28">
        <f t="shared" si="302"/>
        <v>0</v>
      </c>
      <c r="P685" s="27" t="s">
        <v>1774</v>
      </c>
      <c r="Q685" s="29" t="s">
        <v>35</v>
      </c>
      <c r="R685" s="30" t="s">
        <v>150</v>
      </c>
    </row>
    <row r="686" spans="1:18" ht="69.75" x14ac:dyDescent="0.25">
      <c r="A686" s="25" t="s">
        <v>1782</v>
      </c>
      <c r="B686" s="26" t="s">
        <v>1776</v>
      </c>
      <c r="C686" s="27"/>
      <c r="D686" s="27"/>
      <c r="E686" s="27"/>
      <c r="F686" s="31">
        <v>0</v>
      </c>
      <c r="G686" s="31">
        <v>0</v>
      </c>
      <c r="H686" s="31">
        <v>0</v>
      </c>
      <c r="I686" s="31">
        <v>0</v>
      </c>
      <c r="J686" s="31">
        <v>0</v>
      </c>
      <c r="K686" s="31">
        <v>0</v>
      </c>
      <c r="L686" s="31">
        <v>0</v>
      </c>
      <c r="M686" s="31">
        <v>0</v>
      </c>
      <c r="N686" s="31">
        <v>0</v>
      </c>
      <c r="O686" s="31">
        <v>0</v>
      </c>
      <c r="P686" s="27"/>
      <c r="Q686" s="29"/>
      <c r="R686" s="30"/>
    </row>
    <row r="687" spans="1:18" ht="93" x14ac:dyDescent="0.25">
      <c r="A687" s="25" t="s">
        <v>1783</v>
      </c>
      <c r="B687" s="26" t="s">
        <v>1784</v>
      </c>
      <c r="C687" s="27" t="s">
        <v>746</v>
      </c>
      <c r="D687" s="27" t="s">
        <v>747</v>
      </c>
      <c r="E687" s="27" t="s">
        <v>40</v>
      </c>
      <c r="F687" s="28">
        <f>SUM(F688:F688)+2370</f>
        <v>2370</v>
      </c>
      <c r="G687" s="28">
        <f>SUM(G688:G688)+2370</f>
        <v>2370</v>
      </c>
      <c r="H687" s="28">
        <f t="shared" ref="H687:O687" si="303">SUM(H688:H688)</f>
        <v>0</v>
      </c>
      <c r="I687" s="28">
        <f t="shared" si="303"/>
        <v>0</v>
      </c>
      <c r="J687" s="28">
        <f t="shared" si="303"/>
        <v>0</v>
      </c>
      <c r="K687" s="28">
        <f t="shared" si="303"/>
        <v>0</v>
      </c>
      <c r="L687" s="28">
        <f t="shared" si="303"/>
        <v>0</v>
      </c>
      <c r="M687" s="28">
        <f t="shared" si="303"/>
        <v>0</v>
      </c>
      <c r="N687" s="28">
        <f t="shared" si="303"/>
        <v>0</v>
      </c>
      <c r="O687" s="28">
        <f t="shared" si="303"/>
        <v>0</v>
      </c>
      <c r="P687" s="27" t="s">
        <v>1774</v>
      </c>
      <c r="Q687" s="29" t="s">
        <v>35</v>
      </c>
      <c r="R687" s="30" t="s">
        <v>150</v>
      </c>
    </row>
    <row r="688" spans="1:18" ht="69.75" x14ac:dyDescent="0.25">
      <c r="A688" s="25" t="s">
        <v>1785</v>
      </c>
      <c r="B688" s="26" t="s">
        <v>1776</v>
      </c>
      <c r="C688" s="27"/>
      <c r="D688" s="27"/>
      <c r="E688" s="27"/>
      <c r="F688" s="31">
        <v>0</v>
      </c>
      <c r="G688" s="31">
        <v>0</v>
      </c>
      <c r="H688" s="31">
        <v>0</v>
      </c>
      <c r="I688" s="31">
        <v>0</v>
      </c>
      <c r="J688" s="31">
        <v>0</v>
      </c>
      <c r="K688" s="31">
        <v>0</v>
      </c>
      <c r="L688" s="31">
        <v>0</v>
      </c>
      <c r="M688" s="31">
        <v>0</v>
      </c>
      <c r="N688" s="31">
        <v>0</v>
      </c>
      <c r="O688" s="31">
        <v>0</v>
      </c>
      <c r="P688" s="27"/>
      <c r="Q688" s="29"/>
      <c r="R688" s="30"/>
    </row>
    <row r="689" spans="1:18" ht="93" x14ac:dyDescent="0.25">
      <c r="A689" s="25" t="s">
        <v>1786</v>
      </c>
      <c r="B689" s="26" t="s">
        <v>1787</v>
      </c>
      <c r="C689" s="27" t="s">
        <v>120</v>
      </c>
      <c r="D689" s="27" t="s">
        <v>752</v>
      </c>
      <c r="E689" s="27" t="s">
        <v>40</v>
      </c>
      <c r="F689" s="28">
        <f>SUM(F690:F690)+2000</f>
        <v>2000</v>
      </c>
      <c r="G689" s="28">
        <f>SUM(G690:G690)+2000</f>
        <v>2000</v>
      </c>
      <c r="H689" s="28">
        <f t="shared" ref="H689:O689" si="304">SUM(H690:H690)</f>
        <v>0</v>
      </c>
      <c r="I689" s="28">
        <f t="shared" si="304"/>
        <v>0</v>
      </c>
      <c r="J689" s="28">
        <f t="shared" si="304"/>
        <v>0</v>
      </c>
      <c r="K689" s="28">
        <f t="shared" si="304"/>
        <v>0</v>
      </c>
      <c r="L689" s="28">
        <f t="shared" si="304"/>
        <v>0</v>
      </c>
      <c r="M689" s="28">
        <f t="shared" si="304"/>
        <v>0</v>
      </c>
      <c r="N689" s="28">
        <f t="shared" si="304"/>
        <v>0</v>
      </c>
      <c r="O689" s="28">
        <f t="shared" si="304"/>
        <v>0</v>
      </c>
      <c r="P689" s="27" t="s">
        <v>1774</v>
      </c>
      <c r="Q689" s="29" t="s">
        <v>35</v>
      </c>
      <c r="R689" s="30" t="s">
        <v>388</v>
      </c>
    </row>
    <row r="690" spans="1:18" ht="69.75" x14ac:dyDescent="0.25">
      <c r="A690" s="25" t="s">
        <v>1788</v>
      </c>
      <c r="B690" s="26" t="s">
        <v>1776</v>
      </c>
      <c r="C690" s="27"/>
      <c r="D690" s="27"/>
      <c r="E690" s="27"/>
      <c r="F690" s="31">
        <v>0</v>
      </c>
      <c r="G690" s="31">
        <v>0</v>
      </c>
      <c r="H690" s="31">
        <v>0</v>
      </c>
      <c r="I690" s="31">
        <v>0</v>
      </c>
      <c r="J690" s="31">
        <v>0</v>
      </c>
      <c r="K690" s="31">
        <v>0</v>
      </c>
      <c r="L690" s="31">
        <v>0</v>
      </c>
      <c r="M690" s="31">
        <v>0</v>
      </c>
      <c r="N690" s="31">
        <v>0</v>
      </c>
      <c r="O690" s="31">
        <v>0</v>
      </c>
      <c r="P690" s="27"/>
      <c r="Q690" s="29"/>
      <c r="R690" s="30"/>
    </row>
    <row r="691" spans="1:18" ht="116.25" x14ac:dyDescent="0.25">
      <c r="A691" s="25" t="s">
        <v>1789</v>
      </c>
      <c r="B691" s="26" t="s">
        <v>1790</v>
      </c>
      <c r="C691" s="27" t="s">
        <v>124</v>
      </c>
      <c r="D691" s="27" t="s">
        <v>757</v>
      </c>
      <c r="E691" s="27" t="s">
        <v>40</v>
      </c>
      <c r="F691" s="28">
        <f>SUM(F692:F692)+2840</f>
        <v>2840</v>
      </c>
      <c r="G691" s="28">
        <f>SUM(G692:G692)+2840</f>
        <v>2840</v>
      </c>
      <c r="H691" s="28">
        <f t="shared" ref="H691:O691" si="305">SUM(H692:H692)</f>
        <v>0</v>
      </c>
      <c r="I691" s="28">
        <f t="shared" si="305"/>
        <v>0</v>
      </c>
      <c r="J691" s="28">
        <f t="shared" si="305"/>
        <v>0</v>
      </c>
      <c r="K691" s="28">
        <f t="shared" si="305"/>
        <v>0</v>
      </c>
      <c r="L691" s="28">
        <f t="shared" si="305"/>
        <v>0</v>
      </c>
      <c r="M691" s="28">
        <f t="shared" si="305"/>
        <v>0</v>
      </c>
      <c r="N691" s="28">
        <f t="shared" si="305"/>
        <v>0</v>
      </c>
      <c r="O691" s="28">
        <f t="shared" si="305"/>
        <v>0</v>
      </c>
      <c r="P691" s="27" t="s">
        <v>1774</v>
      </c>
      <c r="Q691" s="29" t="s">
        <v>35</v>
      </c>
      <c r="R691" s="30" t="s">
        <v>492</v>
      </c>
    </row>
    <row r="692" spans="1:18" ht="69.75" x14ac:dyDescent="0.25">
      <c r="A692" s="25" t="s">
        <v>1791</v>
      </c>
      <c r="B692" s="26" t="s">
        <v>1776</v>
      </c>
      <c r="C692" s="27"/>
      <c r="D692" s="27"/>
      <c r="E692" s="27"/>
      <c r="F692" s="31">
        <v>0</v>
      </c>
      <c r="G692" s="31">
        <v>0</v>
      </c>
      <c r="H692" s="31">
        <v>0</v>
      </c>
      <c r="I692" s="31">
        <v>0</v>
      </c>
      <c r="J692" s="31">
        <v>0</v>
      </c>
      <c r="K692" s="31">
        <v>0</v>
      </c>
      <c r="L692" s="31">
        <v>0</v>
      </c>
      <c r="M692" s="31">
        <v>0</v>
      </c>
      <c r="N692" s="31">
        <v>0</v>
      </c>
      <c r="O692" s="31">
        <v>0</v>
      </c>
      <c r="P692" s="27"/>
      <c r="Q692" s="29"/>
      <c r="R692" s="30"/>
    </row>
    <row r="693" spans="1:18" ht="93" x14ac:dyDescent="0.25">
      <c r="A693" s="25" t="s">
        <v>1792</v>
      </c>
      <c r="B693" s="26" t="s">
        <v>1793</v>
      </c>
      <c r="C693" s="27" t="s">
        <v>129</v>
      </c>
      <c r="D693" s="27" t="s">
        <v>762</v>
      </c>
      <c r="E693" s="27" t="s">
        <v>40</v>
      </c>
      <c r="F693" s="28">
        <f>SUM(F694:F694)+1790</f>
        <v>1790</v>
      </c>
      <c r="G693" s="28">
        <f>SUM(G694:G694)+1790</f>
        <v>1790</v>
      </c>
      <c r="H693" s="28">
        <f t="shared" ref="H693:O693" si="306">SUM(H694:H694)</f>
        <v>0</v>
      </c>
      <c r="I693" s="28">
        <f t="shared" si="306"/>
        <v>0</v>
      </c>
      <c r="J693" s="28">
        <f t="shared" si="306"/>
        <v>0</v>
      </c>
      <c r="K693" s="28">
        <f t="shared" si="306"/>
        <v>0</v>
      </c>
      <c r="L693" s="28">
        <f t="shared" si="306"/>
        <v>0</v>
      </c>
      <c r="M693" s="28">
        <f t="shared" si="306"/>
        <v>0</v>
      </c>
      <c r="N693" s="28">
        <f t="shared" si="306"/>
        <v>0</v>
      </c>
      <c r="O693" s="28">
        <f t="shared" si="306"/>
        <v>0</v>
      </c>
      <c r="P693" s="27" t="s">
        <v>1774</v>
      </c>
      <c r="Q693" s="29" t="s">
        <v>35</v>
      </c>
      <c r="R693" s="30" t="s">
        <v>54</v>
      </c>
    </row>
    <row r="694" spans="1:18" ht="69.75" x14ac:dyDescent="0.25">
      <c r="A694" s="25" t="s">
        <v>1794</v>
      </c>
      <c r="B694" s="26" t="s">
        <v>1776</v>
      </c>
      <c r="C694" s="27"/>
      <c r="D694" s="27"/>
      <c r="E694" s="27"/>
      <c r="F694" s="31">
        <v>0</v>
      </c>
      <c r="G694" s="31">
        <v>0</v>
      </c>
      <c r="H694" s="31">
        <v>0</v>
      </c>
      <c r="I694" s="31">
        <v>0</v>
      </c>
      <c r="J694" s="31">
        <v>0</v>
      </c>
      <c r="K694" s="31">
        <v>0</v>
      </c>
      <c r="L694" s="31">
        <v>0</v>
      </c>
      <c r="M694" s="31">
        <v>0</v>
      </c>
      <c r="N694" s="31">
        <v>0</v>
      </c>
      <c r="O694" s="31">
        <v>0</v>
      </c>
      <c r="P694" s="27"/>
      <c r="Q694" s="29"/>
      <c r="R694" s="30"/>
    </row>
    <row r="695" spans="1:18" ht="93" x14ac:dyDescent="0.25">
      <c r="A695" s="25" t="s">
        <v>1795</v>
      </c>
      <c r="B695" s="26" t="s">
        <v>1796</v>
      </c>
      <c r="C695" s="27" t="s">
        <v>767</v>
      </c>
      <c r="D695" s="27" t="s">
        <v>768</v>
      </c>
      <c r="E695" s="27" t="s">
        <v>40</v>
      </c>
      <c r="F695" s="28">
        <f>SUM(F696:F696)+2650</f>
        <v>2650</v>
      </c>
      <c r="G695" s="28">
        <f>SUM(G696:G696)+2650</f>
        <v>2650</v>
      </c>
      <c r="H695" s="28">
        <f t="shared" ref="H695:O695" si="307">SUM(H696:H696)</f>
        <v>0</v>
      </c>
      <c r="I695" s="28">
        <f t="shared" si="307"/>
        <v>0</v>
      </c>
      <c r="J695" s="28">
        <f t="shared" si="307"/>
        <v>0</v>
      </c>
      <c r="K695" s="28">
        <f t="shared" si="307"/>
        <v>0</v>
      </c>
      <c r="L695" s="28">
        <f t="shared" si="307"/>
        <v>0</v>
      </c>
      <c r="M695" s="28">
        <f t="shared" si="307"/>
        <v>0</v>
      </c>
      <c r="N695" s="28">
        <f t="shared" si="307"/>
        <v>0</v>
      </c>
      <c r="O695" s="28">
        <f t="shared" si="307"/>
        <v>0</v>
      </c>
      <c r="P695" s="27" t="s">
        <v>1774</v>
      </c>
      <c r="Q695" s="29" t="s">
        <v>35</v>
      </c>
      <c r="R695" s="30" t="s">
        <v>196</v>
      </c>
    </row>
    <row r="696" spans="1:18" ht="69.75" x14ac:dyDescent="0.25">
      <c r="A696" s="25" t="s">
        <v>1797</v>
      </c>
      <c r="B696" s="26" t="s">
        <v>1776</v>
      </c>
      <c r="C696" s="27"/>
      <c r="D696" s="27"/>
      <c r="E696" s="27"/>
      <c r="F696" s="31">
        <v>0</v>
      </c>
      <c r="G696" s="31">
        <v>0</v>
      </c>
      <c r="H696" s="31">
        <v>0</v>
      </c>
      <c r="I696" s="31">
        <v>0</v>
      </c>
      <c r="J696" s="31">
        <v>0</v>
      </c>
      <c r="K696" s="31">
        <v>0</v>
      </c>
      <c r="L696" s="31">
        <v>0</v>
      </c>
      <c r="M696" s="31">
        <v>0</v>
      </c>
      <c r="N696" s="31">
        <v>0</v>
      </c>
      <c r="O696" s="31">
        <v>0</v>
      </c>
      <c r="P696" s="27"/>
      <c r="Q696" s="29"/>
      <c r="R696" s="30"/>
    </row>
    <row r="697" spans="1:18" ht="93" x14ac:dyDescent="0.25">
      <c r="A697" s="25" t="s">
        <v>1798</v>
      </c>
      <c r="B697" s="26" t="s">
        <v>1799</v>
      </c>
      <c r="C697" s="27" t="s">
        <v>773</v>
      </c>
      <c r="D697" s="27" t="s">
        <v>774</v>
      </c>
      <c r="E697" s="27" t="s">
        <v>40</v>
      </c>
      <c r="F697" s="28">
        <f>SUM(F698:F698)+1100</f>
        <v>1100</v>
      </c>
      <c r="G697" s="28">
        <f>SUM(G698:G698)+1100</f>
        <v>1100</v>
      </c>
      <c r="H697" s="28">
        <f t="shared" ref="H697:O697" si="308">SUM(H698:H698)</f>
        <v>0</v>
      </c>
      <c r="I697" s="28">
        <f t="shared" si="308"/>
        <v>0</v>
      </c>
      <c r="J697" s="28">
        <f t="shared" si="308"/>
        <v>0</v>
      </c>
      <c r="K697" s="28">
        <f t="shared" si="308"/>
        <v>0</v>
      </c>
      <c r="L697" s="28">
        <f t="shared" si="308"/>
        <v>0</v>
      </c>
      <c r="M697" s="28">
        <f t="shared" si="308"/>
        <v>0</v>
      </c>
      <c r="N697" s="28">
        <f t="shared" si="308"/>
        <v>0</v>
      </c>
      <c r="O697" s="28">
        <f t="shared" si="308"/>
        <v>0</v>
      </c>
      <c r="P697" s="27" t="s">
        <v>1774</v>
      </c>
      <c r="Q697" s="29" t="s">
        <v>35</v>
      </c>
      <c r="R697" s="30" t="s">
        <v>388</v>
      </c>
    </row>
    <row r="698" spans="1:18" ht="69.75" x14ac:dyDescent="0.25">
      <c r="A698" s="25" t="s">
        <v>1800</v>
      </c>
      <c r="B698" s="26" t="s">
        <v>1776</v>
      </c>
      <c r="C698" s="27"/>
      <c r="D698" s="27"/>
      <c r="E698" s="27"/>
      <c r="F698" s="31">
        <v>0</v>
      </c>
      <c r="G698" s="31">
        <v>0</v>
      </c>
      <c r="H698" s="31">
        <v>0</v>
      </c>
      <c r="I698" s="31">
        <v>0</v>
      </c>
      <c r="J698" s="31">
        <v>0</v>
      </c>
      <c r="K698" s="31">
        <v>0</v>
      </c>
      <c r="L698" s="31">
        <v>0</v>
      </c>
      <c r="M698" s="31">
        <v>0</v>
      </c>
      <c r="N698" s="31">
        <v>0</v>
      </c>
      <c r="O698" s="31">
        <v>0</v>
      </c>
      <c r="P698" s="27"/>
      <c r="Q698" s="29"/>
      <c r="R698" s="30"/>
    </row>
    <row r="699" spans="1:18" ht="93" x14ac:dyDescent="0.25">
      <c r="A699" s="25" t="s">
        <v>1801</v>
      </c>
      <c r="B699" s="26" t="s">
        <v>1802</v>
      </c>
      <c r="C699" s="27" t="s">
        <v>779</v>
      </c>
      <c r="D699" s="27" t="s">
        <v>780</v>
      </c>
      <c r="E699" s="27" t="s">
        <v>40</v>
      </c>
      <c r="F699" s="28">
        <f>SUM(F700:F700)+1840</f>
        <v>1840</v>
      </c>
      <c r="G699" s="28">
        <f>SUM(G700:G700)+1840</f>
        <v>1840</v>
      </c>
      <c r="H699" s="28">
        <f t="shared" ref="H699:O699" si="309">SUM(H700:H700)</f>
        <v>0</v>
      </c>
      <c r="I699" s="28">
        <f t="shared" si="309"/>
        <v>0</v>
      </c>
      <c r="J699" s="28">
        <f t="shared" si="309"/>
        <v>0</v>
      </c>
      <c r="K699" s="28">
        <f t="shared" si="309"/>
        <v>0</v>
      </c>
      <c r="L699" s="28">
        <f t="shared" si="309"/>
        <v>0</v>
      </c>
      <c r="M699" s="28">
        <f t="shared" si="309"/>
        <v>0</v>
      </c>
      <c r="N699" s="28">
        <f t="shared" si="309"/>
        <v>0</v>
      </c>
      <c r="O699" s="28">
        <f t="shared" si="309"/>
        <v>0</v>
      </c>
      <c r="P699" s="27" t="s">
        <v>1774</v>
      </c>
      <c r="Q699" s="29" t="s">
        <v>35</v>
      </c>
      <c r="R699" s="30" t="s">
        <v>36</v>
      </c>
    </row>
    <row r="700" spans="1:18" ht="69.75" x14ac:dyDescent="0.25">
      <c r="A700" s="25" t="s">
        <v>1803</v>
      </c>
      <c r="B700" s="26" t="s">
        <v>1776</v>
      </c>
      <c r="C700" s="27"/>
      <c r="D700" s="27"/>
      <c r="E700" s="27"/>
      <c r="F700" s="31">
        <v>0</v>
      </c>
      <c r="G700" s="31">
        <v>0</v>
      </c>
      <c r="H700" s="31">
        <v>0</v>
      </c>
      <c r="I700" s="31">
        <v>0</v>
      </c>
      <c r="J700" s="31">
        <v>0</v>
      </c>
      <c r="K700" s="31">
        <v>0</v>
      </c>
      <c r="L700" s="31">
        <v>0</v>
      </c>
      <c r="M700" s="31">
        <v>0</v>
      </c>
      <c r="N700" s="31">
        <v>0</v>
      </c>
      <c r="O700" s="31">
        <v>0</v>
      </c>
      <c r="P700" s="27"/>
      <c r="Q700" s="29"/>
      <c r="R700" s="30"/>
    </row>
    <row r="701" spans="1:18" ht="93" x14ac:dyDescent="0.25">
      <c r="A701" s="25" t="s">
        <v>1804</v>
      </c>
      <c r="B701" s="26" t="s">
        <v>1805</v>
      </c>
      <c r="C701" s="27" t="s">
        <v>787</v>
      </c>
      <c r="D701" s="27" t="s">
        <v>788</v>
      </c>
      <c r="E701" s="27" t="s">
        <v>40</v>
      </c>
      <c r="F701" s="28">
        <f>SUM(F702:F702)+890</f>
        <v>890</v>
      </c>
      <c r="G701" s="28">
        <f>SUM(G702:G702)+890</f>
        <v>890</v>
      </c>
      <c r="H701" s="28">
        <f t="shared" ref="H701:O701" si="310">SUM(H702:H702)</f>
        <v>0</v>
      </c>
      <c r="I701" s="28">
        <f t="shared" si="310"/>
        <v>0</v>
      </c>
      <c r="J701" s="28">
        <f t="shared" si="310"/>
        <v>0</v>
      </c>
      <c r="K701" s="28">
        <f t="shared" si="310"/>
        <v>0</v>
      </c>
      <c r="L701" s="28">
        <f t="shared" si="310"/>
        <v>0</v>
      </c>
      <c r="M701" s="28">
        <f t="shared" si="310"/>
        <v>0</v>
      </c>
      <c r="N701" s="28">
        <f t="shared" si="310"/>
        <v>0</v>
      </c>
      <c r="O701" s="28">
        <f t="shared" si="310"/>
        <v>0</v>
      </c>
      <c r="P701" s="27" t="s">
        <v>1774</v>
      </c>
      <c r="Q701" s="29" t="s">
        <v>35</v>
      </c>
      <c r="R701" s="30" t="s">
        <v>48</v>
      </c>
    </row>
    <row r="702" spans="1:18" ht="69.75" x14ac:dyDescent="0.25">
      <c r="A702" s="25" t="s">
        <v>1806</v>
      </c>
      <c r="B702" s="26" t="s">
        <v>1776</v>
      </c>
      <c r="C702" s="27"/>
      <c r="D702" s="27"/>
      <c r="E702" s="27"/>
      <c r="F702" s="31">
        <v>0</v>
      </c>
      <c r="G702" s="31">
        <v>0</v>
      </c>
      <c r="H702" s="31">
        <v>0</v>
      </c>
      <c r="I702" s="31">
        <v>0</v>
      </c>
      <c r="J702" s="31">
        <v>0</v>
      </c>
      <c r="K702" s="31">
        <v>0</v>
      </c>
      <c r="L702" s="31">
        <v>0</v>
      </c>
      <c r="M702" s="31">
        <v>0</v>
      </c>
      <c r="N702" s="31">
        <v>0</v>
      </c>
      <c r="O702" s="31">
        <v>0</v>
      </c>
      <c r="P702" s="27"/>
      <c r="Q702" s="29"/>
      <c r="R702" s="30"/>
    </row>
    <row r="703" spans="1:18" ht="93" x14ac:dyDescent="0.25">
      <c r="A703" s="25" t="s">
        <v>1807</v>
      </c>
      <c r="B703" s="26" t="s">
        <v>1808</v>
      </c>
      <c r="C703" s="27" t="s">
        <v>134</v>
      </c>
      <c r="D703" s="27" t="s">
        <v>793</v>
      </c>
      <c r="E703" s="27" t="s">
        <v>40</v>
      </c>
      <c r="F703" s="28">
        <f>SUM(F704:F704)+2130</f>
        <v>2130</v>
      </c>
      <c r="G703" s="28">
        <f>SUM(G704:G704)+2130</f>
        <v>2130</v>
      </c>
      <c r="H703" s="28">
        <f t="shared" ref="H703:O703" si="311">SUM(H704:H704)</f>
        <v>0</v>
      </c>
      <c r="I703" s="28">
        <f t="shared" si="311"/>
        <v>0</v>
      </c>
      <c r="J703" s="28">
        <f t="shared" si="311"/>
        <v>0</v>
      </c>
      <c r="K703" s="28">
        <f t="shared" si="311"/>
        <v>0</v>
      </c>
      <c r="L703" s="28">
        <f t="shared" si="311"/>
        <v>0</v>
      </c>
      <c r="M703" s="28">
        <f t="shared" si="311"/>
        <v>0</v>
      </c>
      <c r="N703" s="28">
        <f t="shared" si="311"/>
        <v>0</v>
      </c>
      <c r="O703" s="28">
        <f t="shared" si="311"/>
        <v>0</v>
      </c>
      <c r="P703" s="27" t="s">
        <v>1774</v>
      </c>
      <c r="Q703" s="29" t="s">
        <v>35</v>
      </c>
      <c r="R703" s="30" t="s">
        <v>48</v>
      </c>
    </row>
    <row r="704" spans="1:18" ht="69.75" x14ac:dyDescent="0.25">
      <c r="A704" s="25" t="s">
        <v>1809</v>
      </c>
      <c r="B704" s="26" t="s">
        <v>1776</v>
      </c>
      <c r="C704" s="27"/>
      <c r="D704" s="27"/>
      <c r="E704" s="27"/>
      <c r="F704" s="31">
        <v>0</v>
      </c>
      <c r="G704" s="31">
        <v>0</v>
      </c>
      <c r="H704" s="31">
        <v>0</v>
      </c>
      <c r="I704" s="31">
        <v>0</v>
      </c>
      <c r="J704" s="31">
        <v>0</v>
      </c>
      <c r="K704" s="31">
        <v>0</v>
      </c>
      <c r="L704" s="31">
        <v>0</v>
      </c>
      <c r="M704" s="31">
        <v>0</v>
      </c>
      <c r="N704" s="31">
        <v>0</v>
      </c>
      <c r="O704" s="31">
        <v>0</v>
      </c>
      <c r="P704" s="27"/>
      <c r="Q704" s="29"/>
      <c r="R704" s="30"/>
    </row>
    <row r="705" spans="1:18" ht="93" x14ac:dyDescent="0.25">
      <c r="A705" s="25" t="s">
        <v>1810</v>
      </c>
      <c r="B705" s="26" t="s">
        <v>1811</v>
      </c>
      <c r="C705" s="27" t="s">
        <v>798</v>
      </c>
      <c r="D705" s="27" t="s">
        <v>799</v>
      </c>
      <c r="E705" s="27" t="s">
        <v>40</v>
      </c>
      <c r="F705" s="28">
        <f>SUM(F706:F706)+10140</f>
        <v>10140</v>
      </c>
      <c r="G705" s="28">
        <f>SUM(G706:G706)+10140</f>
        <v>10140</v>
      </c>
      <c r="H705" s="28">
        <f t="shared" ref="H705:O705" si="312">SUM(H706:H706)</f>
        <v>0</v>
      </c>
      <c r="I705" s="28">
        <f t="shared" si="312"/>
        <v>0</v>
      </c>
      <c r="J705" s="28">
        <f t="shared" si="312"/>
        <v>0</v>
      </c>
      <c r="K705" s="28">
        <f t="shared" si="312"/>
        <v>0</v>
      </c>
      <c r="L705" s="28">
        <f t="shared" si="312"/>
        <v>0</v>
      </c>
      <c r="M705" s="28">
        <f t="shared" si="312"/>
        <v>0</v>
      </c>
      <c r="N705" s="28">
        <f t="shared" si="312"/>
        <v>0</v>
      </c>
      <c r="O705" s="28">
        <f t="shared" si="312"/>
        <v>0</v>
      </c>
      <c r="P705" s="27" t="s">
        <v>1774</v>
      </c>
      <c r="Q705" s="29" t="s">
        <v>35</v>
      </c>
      <c r="R705" s="30" t="s">
        <v>1381</v>
      </c>
    </row>
    <row r="706" spans="1:18" ht="69.75" x14ac:dyDescent="0.25">
      <c r="A706" s="25" t="s">
        <v>1812</v>
      </c>
      <c r="B706" s="26" t="s">
        <v>1776</v>
      </c>
      <c r="C706" s="27"/>
      <c r="D706" s="27"/>
      <c r="E706" s="27"/>
      <c r="F706" s="31">
        <v>0</v>
      </c>
      <c r="G706" s="31">
        <v>0</v>
      </c>
      <c r="H706" s="31">
        <v>0</v>
      </c>
      <c r="I706" s="31">
        <v>0</v>
      </c>
      <c r="J706" s="31">
        <v>0</v>
      </c>
      <c r="K706" s="31">
        <v>0</v>
      </c>
      <c r="L706" s="31">
        <v>0</v>
      </c>
      <c r="M706" s="31">
        <v>0</v>
      </c>
      <c r="N706" s="31">
        <v>0</v>
      </c>
      <c r="O706" s="31">
        <v>0</v>
      </c>
      <c r="P706" s="27"/>
      <c r="Q706" s="29"/>
      <c r="R706" s="30"/>
    </row>
    <row r="707" spans="1:18" ht="93" x14ac:dyDescent="0.25">
      <c r="A707" s="25" t="s">
        <v>1813</v>
      </c>
      <c r="B707" s="26" t="s">
        <v>1814</v>
      </c>
      <c r="C707" s="27" t="s">
        <v>804</v>
      </c>
      <c r="D707" s="27" t="s">
        <v>805</v>
      </c>
      <c r="E707" s="27" t="s">
        <v>40</v>
      </c>
      <c r="F707" s="28">
        <f>SUM(F708:F708)+830</f>
        <v>830</v>
      </c>
      <c r="G707" s="28">
        <f>SUM(G708:G708)+830</f>
        <v>830</v>
      </c>
      <c r="H707" s="28">
        <f t="shared" ref="H707:O707" si="313">SUM(H708:H708)</f>
        <v>0</v>
      </c>
      <c r="I707" s="28">
        <f t="shared" si="313"/>
        <v>0</v>
      </c>
      <c r="J707" s="28">
        <f t="shared" si="313"/>
        <v>0</v>
      </c>
      <c r="K707" s="28">
        <f t="shared" si="313"/>
        <v>0</v>
      </c>
      <c r="L707" s="28">
        <f t="shared" si="313"/>
        <v>0</v>
      </c>
      <c r="M707" s="28">
        <f t="shared" si="313"/>
        <v>0</v>
      </c>
      <c r="N707" s="28">
        <f t="shared" si="313"/>
        <v>0</v>
      </c>
      <c r="O707" s="28">
        <f t="shared" si="313"/>
        <v>0</v>
      </c>
      <c r="P707" s="27" t="s">
        <v>1774</v>
      </c>
      <c r="Q707" s="29" t="s">
        <v>35</v>
      </c>
      <c r="R707" s="30" t="s">
        <v>163</v>
      </c>
    </row>
    <row r="708" spans="1:18" ht="69.75" x14ac:dyDescent="0.25">
      <c r="A708" s="25" t="s">
        <v>1815</v>
      </c>
      <c r="B708" s="26" t="s">
        <v>1776</v>
      </c>
      <c r="C708" s="27"/>
      <c r="D708" s="27"/>
      <c r="E708" s="27"/>
      <c r="F708" s="31">
        <v>0</v>
      </c>
      <c r="G708" s="31">
        <v>0</v>
      </c>
      <c r="H708" s="31">
        <v>0</v>
      </c>
      <c r="I708" s="31">
        <v>0</v>
      </c>
      <c r="J708" s="31">
        <v>0</v>
      </c>
      <c r="K708" s="31">
        <v>0</v>
      </c>
      <c r="L708" s="31">
        <v>0</v>
      </c>
      <c r="M708" s="31">
        <v>0</v>
      </c>
      <c r="N708" s="31">
        <v>0</v>
      </c>
      <c r="O708" s="31">
        <v>0</v>
      </c>
      <c r="P708" s="27"/>
      <c r="Q708" s="29"/>
      <c r="R708" s="30"/>
    </row>
    <row r="709" spans="1:18" ht="45" x14ac:dyDescent="0.25">
      <c r="A709" s="19" t="s">
        <v>1816</v>
      </c>
      <c r="B709" s="20" t="s">
        <v>1817</v>
      </c>
      <c r="C709" s="21" t="s">
        <v>1423</v>
      </c>
      <c r="D709" s="21" t="s">
        <v>1426</v>
      </c>
      <c r="E709" s="21" t="s">
        <v>33</v>
      </c>
      <c r="F709" s="22">
        <f t="shared" ref="F709:O709" si="314">SUM(F710:F710)</f>
        <v>15000</v>
      </c>
      <c r="G709" s="22">
        <f t="shared" si="314"/>
        <v>15000</v>
      </c>
      <c r="H709" s="22">
        <f t="shared" si="314"/>
        <v>0</v>
      </c>
      <c r="I709" s="22">
        <f t="shared" si="314"/>
        <v>0</v>
      </c>
      <c r="J709" s="22">
        <f t="shared" si="314"/>
        <v>0</v>
      </c>
      <c r="K709" s="22">
        <f t="shared" si="314"/>
        <v>0</v>
      </c>
      <c r="L709" s="22">
        <f t="shared" si="314"/>
        <v>0</v>
      </c>
      <c r="M709" s="22">
        <f t="shared" si="314"/>
        <v>0</v>
      </c>
      <c r="N709" s="22">
        <f t="shared" si="314"/>
        <v>0</v>
      </c>
      <c r="O709" s="22">
        <f t="shared" si="314"/>
        <v>0</v>
      </c>
      <c r="P709" s="21" t="s">
        <v>1818</v>
      </c>
      <c r="Q709" s="23" t="s">
        <v>35</v>
      </c>
      <c r="R709" s="24" t="s">
        <v>48</v>
      </c>
    </row>
    <row r="710" spans="1:18" ht="46.5" x14ac:dyDescent="0.25">
      <c r="A710" s="25" t="s">
        <v>1819</v>
      </c>
      <c r="B710" s="26" t="s">
        <v>1820</v>
      </c>
      <c r="C710" s="27" t="s">
        <v>1423</v>
      </c>
      <c r="D710" s="27" t="s">
        <v>1537</v>
      </c>
      <c r="E710" s="27" t="s">
        <v>40</v>
      </c>
      <c r="F710" s="28">
        <f>SUM(F711:F711)+15000</f>
        <v>15000</v>
      </c>
      <c r="G710" s="28">
        <f>SUM(G711:G711)+15000</f>
        <v>15000</v>
      </c>
      <c r="H710" s="28">
        <f t="shared" ref="H710:O710" si="315">SUM(H711:H711)</f>
        <v>0</v>
      </c>
      <c r="I710" s="28">
        <f t="shared" si="315"/>
        <v>0</v>
      </c>
      <c r="J710" s="28">
        <f t="shared" si="315"/>
        <v>0</v>
      </c>
      <c r="K710" s="28">
        <f t="shared" si="315"/>
        <v>0</v>
      </c>
      <c r="L710" s="28">
        <f t="shared" si="315"/>
        <v>0</v>
      </c>
      <c r="M710" s="28">
        <f t="shared" si="315"/>
        <v>0</v>
      </c>
      <c r="N710" s="28">
        <f t="shared" si="315"/>
        <v>0</v>
      </c>
      <c r="O710" s="28">
        <f t="shared" si="315"/>
        <v>0</v>
      </c>
      <c r="P710" s="27" t="s">
        <v>1821</v>
      </c>
      <c r="Q710" s="29" t="s">
        <v>35</v>
      </c>
      <c r="R710" s="30" t="s">
        <v>48</v>
      </c>
    </row>
    <row r="711" spans="1:18" ht="69.75" x14ac:dyDescent="0.25">
      <c r="A711" s="25" t="s">
        <v>1822</v>
      </c>
      <c r="B711" s="26" t="s">
        <v>1823</v>
      </c>
      <c r="C711" s="27"/>
      <c r="D711" s="27"/>
      <c r="E711" s="27"/>
      <c r="F711" s="31">
        <v>0</v>
      </c>
      <c r="G711" s="31">
        <v>0</v>
      </c>
      <c r="H711" s="31">
        <v>0</v>
      </c>
      <c r="I711" s="31">
        <v>0</v>
      </c>
      <c r="J711" s="31">
        <v>0</v>
      </c>
      <c r="K711" s="31">
        <v>0</v>
      </c>
      <c r="L711" s="31">
        <v>0</v>
      </c>
      <c r="M711" s="31">
        <v>0</v>
      </c>
      <c r="N711" s="31">
        <v>0</v>
      </c>
      <c r="O711" s="31">
        <v>0</v>
      </c>
      <c r="P711" s="27"/>
      <c r="Q711" s="29"/>
      <c r="R711" s="30"/>
    </row>
    <row r="712" spans="1:18" ht="67.5" x14ac:dyDescent="0.25">
      <c r="A712" s="19" t="s">
        <v>1824</v>
      </c>
      <c r="B712" s="20" t="s">
        <v>1825</v>
      </c>
      <c r="C712" s="21" t="s">
        <v>1423</v>
      </c>
      <c r="D712" s="21" t="s">
        <v>1426</v>
      </c>
      <c r="E712" s="21" t="s">
        <v>33</v>
      </c>
      <c r="F712" s="22">
        <f t="shared" ref="F712:O712" si="316">F713+F715+F717+F719+F721+F723+F725+F727+F729+F731+F733+F735+F737</f>
        <v>123854.23999999999</v>
      </c>
      <c r="G712" s="22">
        <f t="shared" si="316"/>
        <v>0</v>
      </c>
      <c r="H712" s="22">
        <f t="shared" si="316"/>
        <v>112119.24</v>
      </c>
      <c r="I712" s="22">
        <f t="shared" si="316"/>
        <v>0</v>
      </c>
      <c r="J712" s="22">
        <f t="shared" si="316"/>
        <v>6635</v>
      </c>
      <c r="K712" s="22">
        <f t="shared" si="316"/>
        <v>0</v>
      </c>
      <c r="L712" s="22">
        <f t="shared" si="316"/>
        <v>0</v>
      </c>
      <c r="M712" s="22">
        <f t="shared" si="316"/>
        <v>5100</v>
      </c>
      <c r="N712" s="22">
        <f t="shared" si="316"/>
        <v>0</v>
      </c>
      <c r="O712" s="22">
        <f t="shared" si="316"/>
        <v>0</v>
      </c>
      <c r="P712" s="21" t="s">
        <v>1826</v>
      </c>
      <c r="Q712" s="23" t="s">
        <v>35</v>
      </c>
      <c r="R712" s="24" t="s">
        <v>36</v>
      </c>
    </row>
    <row r="713" spans="1:18" ht="46.5" x14ac:dyDescent="0.25">
      <c r="A713" s="25" t="s">
        <v>1827</v>
      </c>
      <c r="B713" s="26" t="s">
        <v>1828</v>
      </c>
      <c r="C713" s="27" t="s">
        <v>842</v>
      </c>
      <c r="D713" s="27" t="s">
        <v>863</v>
      </c>
      <c r="E713" s="27" t="s">
        <v>40</v>
      </c>
      <c r="F713" s="28">
        <f>SUM(F714:F714)+6635</f>
        <v>6635</v>
      </c>
      <c r="G713" s="28">
        <f>SUM(G714:G714)</f>
        <v>0</v>
      </c>
      <c r="H713" s="28">
        <f>SUM(H714:H714)</f>
        <v>0</v>
      </c>
      <c r="I713" s="28">
        <f>SUM(I714:I714)</f>
        <v>0</v>
      </c>
      <c r="J713" s="28">
        <f>SUM(J714:J714)+6635</f>
        <v>6635</v>
      </c>
      <c r="K713" s="28">
        <f>SUM(K714:K714)</f>
        <v>0</v>
      </c>
      <c r="L713" s="28">
        <f>SUM(L714:L714)</f>
        <v>0</v>
      </c>
      <c r="M713" s="28">
        <f>SUM(M714:M714)</f>
        <v>0</v>
      </c>
      <c r="N713" s="28">
        <f>SUM(N714:N714)</f>
        <v>0</v>
      </c>
      <c r="O713" s="28">
        <f>SUM(O714:O714)</f>
        <v>0</v>
      </c>
      <c r="P713" s="27" t="s">
        <v>1829</v>
      </c>
      <c r="Q713" s="29" t="s">
        <v>35</v>
      </c>
      <c r="R713" s="30" t="s">
        <v>88</v>
      </c>
    </row>
    <row r="714" spans="1:18" ht="46.5" x14ac:dyDescent="0.25">
      <c r="A714" s="25" t="s">
        <v>1830</v>
      </c>
      <c r="B714" s="26" t="s">
        <v>1831</v>
      </c>
      <c r="C714" s="27"/>
      <c r="D714" s="27"/>
      <c r="E714" s="27"/>
      <c r="F714" s="31">
        <v>0</v>
      </c>
      <c r="G714" s="31">
        <v>0</v>
      </c>
      <c r="H714" s="31">
        <v>0</v>
      </c>
      <c r="I714" s="31">
        <v>0</v>
      </c>
      <c r="J714" s="31">
        <v>0</v>
      </c>
      <c r="K714" s="31">
        <v>0</v>
      </c>
      <c r="L714" s="31">
        <v>0</v>
      </c>
      <c r="M714" s="31">
        <v>0</v>
      </c>
      <c r="N714" s="31">
        <v>0</v>
      </c>
      <c r="O714" s="31">
        <v>0</v>
      </c>
      <c r="P714" s="27"/>
      <c r="Q714" s="29"/>
      <c r="R714" s="30"/>
    </row>
    <row r="715" spans="1:18" ht="46.5" x14ac:dyDescent="0.25">
      <c r="A715" s="25" t="s">
        <v>1832</v>
      </c>
      <c r="B715" s="26" t="s">
        <v>1833</v>
      </c>
      <c r="C715" s="27" t="s">
        <v>1423</v>
      </c>
      <c r="D715" s="27" t="s">
        <v>1426</v>
      </c>
      <c r="E715" s="27" t="s">
        <v>40</v>
      </c>
      <c r="F715" s="28">
        <f t="shared" ref="F715:O715" si="317">SUM(F716:F716)</f>
        <v>0</v>
      </c>
      <c r="G715" s="28">
        <f t="shared" si="317"/>
        <v>0</v>
      </c>
      <c r="H715" s="28">
        <f t="shared" si="317"/>
        <v>0</v>
      </c>
      <c r="I715" s="28">
        <f t="shared" si="317"/>
        <v>0</v>
      </c>
      <c r="J715" s="28">
        <f t="shared" si="317"/>
        <v>0</v>
      </c>
      <c r="K715" s="28">
        <f t="shared" si="317"/>
        <v>0</v>
      </c>
      <c r="L715" s="28">
        <f t="shared" si="317"/>
        <v>0</v>
      </c>
      <c r="M715" s="28">
        <f t="shared" si="317"/>
        <v>0</v>
      </c>
      <c r="N715" s="28">
        <f t="shared" si="317"/>
        <v>0</v>
      </c>
      <c r="O715" s="28">
        <f t="shared" si="317"/>
        <v>0</v>
      </c>
      <c r="P715" s="27" t="s">
        <v>1834</v>
      </c>
      <c r="Q715" s="29" t="s">
        <v>35</v>
      </c>
      <c r="R715" s="30" t="s">
        <v>181</v>
      </c>
    </row>
    <row r="716" spans="1:18" ht="93" x14ac:dyDescent="0.25">
      <c r="A716" s="25" t="s">
        <v>1835</v>
      </c>
      <c r="B716" s="26" t="s">
        <v>1836</v>
      </c>
      <c r="C716" s="27"/>
      <c r="D716" s="27"/>
      <c r="E716" s="27"/>
      <c r="F716" s="31">
        <v>0</v>
      </c>
      <c r="G716" s="31">
        <v>0</v>
      </c>
      <c r="H716" s="31">
        <v>0</v>
      </c>
      <c r="I716" s="31">
        <v>0</v>
      </c>
      <c r="J716" s="31">
        <v>0</v>
      </c>
      <c r="K716" s="31">
        <v>0</v>
      </c>
      <c r="L716" s="31">
        <v>0</v>
      </c>
      <c r="M716" s="31">
        <v>0</v>
      </c>
      <c r="N716" s="31">
        <v>0</v>
      </c>
      <c r="O716" s="31">
        <v>0</v>
      </c>
      <c r="P716" s="27"/>
      <c r="Q716" s="29"/>
      <c r="R716" s="30"/>
    </row>
    <row r="717" spans="1:18" ht="46.5" x14ac:dyDescent="0.25">
      <c r="A717" s="25" t="s">
        <v>1837</v>
      </c>
      <c r="B717" s="26" t="s">
        <v>1838</v>
      </c>
      <c r="C717" s="27" t="s">
        <v>798</v>
      </c>
      <c r="D717" s="27" t="s">
        <v>799</v>
      </c>
      <c r="E717" s="27"/>
      <c r="F717" s="28">
        <f>SUM(F718:F718)+55099.56</f>
        <v>55099.56</v>
      </c>
      <c r="G717" s="28">
        <f>SUM(G718:G718)</f>
        <v>0</v>
      </c>
      <c r="H717" s="28">
        <f>SUM(H718:H718)+55099.56</f>
        <v>55099.56</v>
      </c>
      <c r="I717" s="28">
        <f t="shared" ref="I717:O717" si="318">SUM(I718:I718)</f>
        <v>0</v>
      </c>
      <c r="J717" s="28">
        <f t="shared" si="318"/>
        <v>0</v>
      </c>
      <c r="K717" s="28">
        <f t="shared" si="318"/>
        <v>0</v>
      </c>
      <c r="L717" s="28">
        <f t="shared" si="318"/>
        <v>0</v>
      </c>
      <c r="M717" s="28">
        <f t="shared" si="318"/>
        <v>0</v>
      </c>
      <c r="N717" s="28">
        <f t="shared" si="318"/>
        <v>0</v>
      </c>
      <c r="O717" s="28">
        <f t="shared" si="318"/>
        <v>0</v>
      </c>
      <c r="P717" s="27" t="s">
        <v>1834</v>
      </c>
      <c r="Q717" s="29" t="s">
        <v>35</v>
      </c>
      <c r="R717" s="30" t="s">
        <v>68</v>
      </c>
    </row>
    <row r="718" spans="1:18" ht="69.75" x14ac:dyDescent="0.25">
      <c r="A718" s="25" t="s">
        <v>1839</v>
      </c>
      <c r="B718" s="26" t="s">
        <v>1840</v>
      </c>
      <c r="C718" s="27"/>
      <c r="D718" s="27"/>
      <c r="E718" s="27"/>
      <c r="F718" s="31">
        <v>0</v>
      </c>
      <c r="G718" s="31">
        <v>0</v>
      </c>
      <c r="H718" s="31">
        <v>0</v>
      </c>
      <c r="I718" s="31">
        <v>0</v>
      </c>
      <c r="J718" s="31">
        <v>0</v>
      </c>
      <c r="K718" s="31">
        <v>0</v>
      </c>
      <c r="L718" s="31">
        <v>0</v>
      </c>
      <c r="M718" s="31">
        <v>0</v>
      </c>
      <c r="N718" s="31">
        <v>0</v>
      </c>
      <c r="O718" s="31">
        <v>0</v>
      </c>
      <c r="P718" s="27"/>
      <c r="Q718" s="29"/>
      <c r="R718" s="30"/>
    </row>
    <row r="719" spans="1:18" ht="46.5" x14ac:dyDescent="0.25">
      <c r="A719" s="25" t="s">
        <v>1841</v>
      </c>
      <c r="B719" s="26" t="s">
        <v>1842</v>
      </c>
      <c r="C719" s="27" t="s">
        <v>735</v>
      </c>
      <c r="D719" s="27" t="s">
        <v>736</v>
      </c>
      <c r="E719" s="27" t="s">
        <v>40</v>
      </c>
      <c r="F719" s="28">
        <f>SUM(F720:F720)+8261.93</f>
        <v>8261.93</v>
      </c>
      <c r="G719" s="28">
        <f>SUM(G720:G720)</f>
        <v>0</v>
      </c>
      <c r="H719" s="28">
        <f>SUM(H720:H720)+8261.93</f>
        <v>8261.93</v>
      </c>
      <c r="I719" s="28">
        <f t="shared" ref="I719:O719" si="319">SUM(I720:I720)</f>
        <v>0</v>
      </c>
      <c r="J719" s="28">
        <f t="shared" si="319"/>
        <v>0</v>
      </c>
      <c r="K719" s="28">
        <f t="shared" si="319"/>
        <v>0</v>
      </c>
      <c r="L719" s="28">
        <f t="shared" si="319"/>
        <v>0</v>
      </c>
      <c r="M719" s="28">
        <f t="shared" si="319"/>
        <v>0</v>
      </c>
      <c r="N719" s="28">
        <f t="shared" si="319"/>
        <v>0</v>
      </c>
      <c r="O719" s="28">
        <f t="shared" si="319"/>
        <v>0</v>
      </c>
      <c r="P719" s="27" t="s">
        <v>1834</v>
      </c>
      <c r="Q719" s="29" t="s">
        <v>35</v>
      </c>
      <c r="R719" s="30" t="s">
        <v>48</v>
      </c>
    </row>
    <row r="720" spans="1:18" ht="69.75" x14ac:dyDescent="0.25">
      <c r="A720" s="25" t="s">
        <v>1843</v>
      </c>
      <c r="B720" s="26" t="s">
        <v>1840</v>
      </c>
      <c r="C720" s="27"/>
      <c r="D720" s="27"/>
      <c r="E720" s="27"/>
      <c r="F720" s="31">
        <v>0</v>
      </c>
      <c r="G720" s="31">
        <v>0</v>
      </c>
      <c r="H720" s="31">
        <v>0</v>
      </c>
      <c r="I720" s="31">
        <v>0</v>
      </c>
      <c r="J720" s="31">
        <v>0</v>
      </c>
      <c r="K720" s="31">
        <v>0</v>
      </c>
      <c r="L720" s="31">
        <v>0</v>
      </c>
      <c r="M720" s="31">
        <v>0</v>
      </c>
      <c r="N720" s="31">
        <v>0</v>
      </c>
      <c r="O720" s="31">
        <v>0</v>
      </c>
      <c r="P720" s="27"/>
      <c r="Q720" s="29"/>
      <c r="R720" s="30"/>
    </row>
    <row r="721" spans="1:18" ht="69.75" x14ac:dyDescent="0.25">
      <c r="A721" s="25" t="s">
        <v>1844</v>
      </c>
      <c r="B721" s="26" t="s">
        <v>1845</v>
      </c>
      <c r="C721" s="27" t="s">
        <v>113</v>
      </c>
      <c r="D721" s="27" t="s">
        <v>741</v>
      </c>
      <c r="E721" s="27"/>
      <c r="F721" s="28">
        <f>SUM(F722:F722)+7360.03</f>
        <v>7360.03</v>
      </c>
      <c r="G721" s="28">
        <f>SUM(G722:G722)</f>
        <v>0</v>
      </c>
      <c r="H721" s="28">
        <f>SUM(H722:H722)+7360.03</f>
        <v>7360.03</v>
      </c>
      <c r="I721" s="28">
        <f t="shared" ref="I721:O721" si="320">SUM(I722:I722)</f>
        <v>0</v>
      </c>
      <c r="J721" s="28">
        <f t="shared" si="320"/>
        <v>0</v>
      </c>
      <c r="K721" s="28">
        <f t="shared" si="320"/>
        <v>0</v>
      </c>
      <c r="L721" s="28">
        <f t="shared" si="320"/>
        <v>0</v>
      </c>
      <c r="M721" s="28">
        <f t="shared" si="320"/>
        <v>0</v>
      </c>
      <c r="N721" s="28">
        <f t="shared" si="320"/>
        <v>0</v>
      </c>
      <c r="O721" s="28">
        <f t="shared" si="320"/>
        <v>0</v>
      </c>
      <c r="P721" s="27" t="s">
        <v>1846</v>
      </c>
      <c r="Q721" s="29" t="s">
        <v>35</v>
      </c>
      <c r="R721" s="30" t="s">
        <v>48</v>
      </c>
    </row>
    <row r="722" spans="1:18" ht="69.75" x14ac:dyDescent="0.25">
      <c r="A722" s="25" t="s">
        <v>1847</v>
      </c>
      <c r="B722" s="26" t="s">
        <v>1840</v>
      </c>
      <c r="C722" s="27"/>
      <c r="D722" s="27"/>
      <c r="E722" s="27"/>
      <c r="F722" s="31">
        <v>0</v>
      </c>
      <c r="G722" s="31">
        <v>0</v>
      </c>
      <c r="H722" s="31">
        <v>0</v>
      </c>
      <c r="I722" s="31">
        <v>0</v>
      </c>
      <c r="J722" s="31">
        <v>0</v>
      </c>
      <c r="K722" s="31">
        <v>0</v>
      </c>
      <c r="L722" s="31">
        <v>0</v>
      </c>
      <c r="M722" s="31">
        <v>0</v>
      </c>
      <c r="N722" s="31">
        <v>0</v>
      </c>
      <c r="O722" s="31">
        <v>0</v>
      </c>
      <c r="P722" s="27"/>
      <c r="Q722" s="29"/>
      <c r="R722" s="30"/>
    </row>
    <row r="723" spans="1:18" ht="46.5" x14ac:dyDescent="0.25">
      <c r="A723" s="25" t="s">
        <v>1848</v>
      </c>
      <c r="B723" s="26" t="s">
        <v>1849</v>
      </c>
      <c r="C723" s="27" t="s">
        <v>746</v>
      </c>
      <c r="D723" s="27" t="s">
        <v>747</v>
      </c>
      <c r="E723" s="27" t="s">
        <v>40</v>
      </c>
      <c r="F723" s="28">
        <f>SUM(F724:F724)+2160.32</f>
        <v>2160.3200000000002</v>
      </c>
      <c r="G723" s="28">
        <f>SUM(G724:G724)</f>
        <v>0</v>
      </c>
      <c r="H723" s="28">
        <f>SUM(H724:H724)+2160.32</f>
        <v>2160.3200000000002</v>
      </c>
      <c r="I723" s="28">
        <f t="shared" ref="I723:O723" si="321">SUM(I724:I724)</f>
        <v>0</v>
      </c>
      <c r="J723" s="28">
        <f t="shared" si="321"/>
        <v>0</v>
      </c>
      <c r="K723" s="28">
        <f t="shared" si="321"/>
        <v>0</v>
      </c>
      <c r="L723" s="28">
        <f t="shared" si="321"/>
        <v>0</v>
      </c>
      <c r="M723" s="28">
        <f t="shared" si="321"/>
        <v>0</v>
      </c>
      <c r="N723" s="28">
        <f t="shared" si="321"/>
        <v>0</v>
      </c>
      <c r="O723" s="28">
        <f t="shared" si="321"/>
        <v>0</v>
      </c>
      <c r="P723" s="27" t="s">
        <v>1834</v>
      </c>
      <c r="Q723" s="29" t="s">
        <v>35</v>
      </c>
      <c r="R723" s="30" t="s">
        <v>48</v>
      </c>
    </row>
    <row r="724" spans="1:18" ht="69.75" x14ac:dyDescent="0.25">
      <c r="A724" s="25" t="s">
        <v>1850</v>
      </c>
      <c r="B724" s="26" t="s">
        <v>1840</v>
      </c>
      <c r="C724" s="27"/>
      <c r="D724" s="27"/>
      <c r="E724" s="27"/>
      <c r="F724" s="31">
        <v>0</v>
      </c>
      <c r="G724" s="31">
        <v>0</v>
      </c>
      <c r="H724" s="31">
        <v>0</v>
      </c>
      <c r="I724" s="31">
        <v>0</v>
      </c>
      <c r="J724" s="31">
        <v>0</v>
      </c>
      <c r="K724" s="31">
        <v>0</v>
      </c>
      <c r="L724" s="31">
        <v>0</v>
      </c>
      <c r="M724" s="31">
        <v>0</v>
      </c>
      <c r="N724" s="31">
        <v>0</v>
      </c>
      <c r="O724" s="31">
        <v>0</v>
      </c>
      <c r="P724" s="27"/>
      <c r="Q724" s="29"/>
      <c r="R724" s="30"/>
    </row>
    <row r="725" spans="1:18" ht="46.5" x14ac:dyDescent="0.25">
      <c r="A725" s="25" t="s">
        <v>1851</v>
      </c>
      <c r="B725" s="26" t="s">
        <v>1852</v>
      </c>
      <c r="C725" s="27" t="s">
        <v>120</v>
      </c>
      <c r="D725" s="27" t="s">
        <v>752</v>
      </c>
      <c r="E725" s="27" t="s">
        <v>40</v>
      </c>
      <c r="F725" s="28">
        <f>SUM(F726:F726)+8019.55</f>
        <v>8019.55</v>
      </c>
      <c r="G725" s="28">
        <f>SUM(G726:G726)</f>
        <v>0</v>
      </c>
      <c r="H725" s="28">
        <f>SUM(H726:H726)+8019.55</f>
        <v>8019.55</v>
      </c>
      <c r="I725" s="28">
        <f t="shared" ref="I725:O725" si="322">SUM(I726:I726)</f>
        <v>0</v>
      </c>
      <c r="J725" s="28">
        <f t="shared" si="322"/>
        <v>0</v>
      </c>
      <c r="K725" s="28">
        <f t="shared" si="322"/>
        <v>0</v>
      </c>
      <c r="L725" s="28">
        <f t="shared" si="322"/>
        <v>0</v>
      </c>
      <c r="M725" s="28">
        <f t="shared" si="322"/>
        <v>0</v>
      </c>
      <c r="N725" s="28">
        <f t="shared" si="322"/>
        <v>0</v>
      </c>
      <c r="O725" s="28">
        <f t="shared" si="322"/>
        <v>0</v>
      </c>
      <c r="P725" s="27" t="s">
        <v>1834</v>
      </c>
      <c r="Q725" s="29" t="s">
        <v>35</v>
      </c>
      <c r="R725" s="30" t="s">
        <v>48</v>
      </c>
    </row>
    <row r="726" spans="1:18" ht="69.75" x14ac:dyDescent="0.25">
      <c r="A726" s="25" t="s">
        <v>1853</v>
      </c>
      <c r="B726" s="26" t="s">
        <v>1840</v>
      </c>
      <c r="C726" s="27"/>
      <c r="D726" s="27"/>
      <c r="E726" s="27"/>
      <c r="F726" s="31">
        <v>0</v>
      </c>
      <c r="G726" s="31">
        <v>0</v>
      </c>
      <c r="H726" s="31">
        <v>0</v>
      </c>
      <c r="I726" s="31">
        <v>0</v>
      </c>
      <c r="J726" s="31">
        <v>0</v>
      </c>
      <c r="K726" s="31">
        <v>0</v>
      </c>
      <c r="L726" s="31">
        <v>0</v>
      </c>
      <c r="M726" s="31">
        <v>0</v>
      </c>
      <c r="N726" s="31">
        <v>0</v>
      </c>
      <c r="O726" s="31">
        <v>0</v>
      </c>
      <c r="P726" s="27"/>
      <c r="Q726" s="29"/>
      <c r="R726" s="30"/>
    </row>
    <row r="727" spans="1:18" ht="69.75" x14ac:dyDescent="0.25">
      <c r="A727" s="25" t="s">
        <v>1854</v>
      </c>
      <c r="B727" s="26" t="s">
        <v>1855</v>
      </c>
      <c r="C727" s="27" t="s">
        <v>124</v>
      </c>
      <c r="D727" s="27" t="s">
        <v>757</v>
      </c>
      <c r="E727" s="27" t="s">
        <v>40</v>
      </c>
      <c r="F727" s="28">
        <f>SUM(F728:F728)+13963.59</f>
        <v>13963.59</v>
      </c>
      <c r="G727" s="28">
        <f>SUM(G728:G728)</f>
        <v>0</v>
      </c>
      <c r="H727" s="28">
        <f>SUM(H728:H728)+13963.59</f>
        <v>13963.59</v>
      </c>
      <c r="I727" s="28">
        <f t="shared" ref="I727:O727" si="323">SUM(I728:I728)</f>
        <v>0</v>
      </c>
      <c r="J727" s="28">
        <f t="shared" si="323"/>
        <v>0</v>
      </c>
      <c r="K727" s="28">
        <f t="shared" si="323"/>
        <v>0</v>
      </c>
      <c r="L727" s="28">
        <f t="shared" si="323"/>
        <v>0</v>
      </c>
      <c r="M727" s="28">
        <f t="shared" si="323"/>
        <v>0</v>
      </c>
      <c r="N727" s="28">
        <f t="shared" si="323"/>
        <v>0</v>
      </c>
      <c r="O727" s="28">
        <f t="shared" si="323"/>
        <v>0</v>
      </c>
      <c r="P727" s="27" t="s">
        <v>1834</v>
      </c>
      <c r="Q727" s="29" t="s">
        <v>35</v>
      </c>
      <c r="R727" s="30" t="s">
        <v>144</v>
      </c>
    </row>
    <row r="728" spans="1:18" ht="69.75" x14ac:dyDescent="0.25">
      <c r="A728" s="25" t="s">
        <v>1856</v>
      </c>
      <c r="B728" s="26" t="s">
        <v>1840</v>
      </c>
      <c r="C728" s="27"/>
      <c r="D728" s="27"/>
      <c r="E728" s="27"/>
      <c r="F728" s="31">
        <v>0</v>
      </c>
      <c r="G728" s="31">
        <v>0</v>
      </c>
      <c r="H728" s="31">
        <v>0</v>
      </c>
      <c r="I728" s="31">
        <v>0</v>
      </c>
      <c r="J728" s="31">
        <v>0</v>
      </c>
      <c r="K728" s="31">
        <v>0</v>
      </c>
      <c r="L728" s="31">
        <v>0</v>
      </c>
      <c r="M728" s="31">
        <v>0</v>
      </c>
      <c r="N728" s="31">
        <v>0</v>
      </c>
      <c r="O728" s="31">
        <v>0</v>
      </c>
      <c r="P728" s="27"/>
      <c r="Q728" s="29"/>
      <c r="R728" s="30"/>
    </row>
    <row r="729" spans="1:18" ht="46.5" x14ac:dyDescent="0.25">
      <c r="A729" s="25" t="s">
        <v>1857</v>
      </c>
      <c r="B729" s="26" t="s">
        <v>1858</v>
      </c>
      <c r="C729" s="27" t="s">
        <v>129</v>
      </c>
      <c r="D729" s="27" t="s">
        <v>762</v>
      </c>
      <c r="E729" s="27" t="s">
        <v>40</v>
      </c>
      <c r="F729" s="28">
        <f>SUM(F730:F730)+5067.76</f>
        <v>5067.76</v>
      </c>
      <c r="G729" s="28">
        <f>SUM(G730:G730)</f>
        <v>0</v>
      </c>
      <c r="H729" s="28">
        <f>SUM(H730:H730)+5067.76</f>
        <v>5067.76</v>
      </c>
      <c r="I729" s="28">
        <f t="shared" ref="I729:O729" si="324">SUM(I730:I730)</f>
        <v>0</v>
      </c>
      <c r="J729" s="28">
        <f t="shared" si="324"/>
        <v>0</v>
      </c>
      <c r="K729" s="28">
        <f t="shared" si="324"/>
        <v>0</v>
      </c>
      <c r="L729" s="28">
        <f t="shared" si="324"/>
        <v>0</v>
      </c>
      <c r="M729" s="28">
        <f t="shared" si="324"/>
        <v>0</v>
      </c>
      <c r="N729" s="28">
        <f t="shared" si="324"/>
        <v>0</v>
      </c>
      <c r="O729" s="28">
        <f t="shared" si="324"/>
        <v>0</v>
      </c>
      <c r="P729" s="27" t="s">
        <v>1834</v>
      </c>
      <c r="Q729" s="29" t="s">
        <v>35</v>
      </c>
      <c r="R729" s="30" t="s">
        <v>36</v>
      </c>
    </row>
    <row r="730" spans="1:18" ht="69.75" x14ac:dyDescent="0.25">
      <c r="A730" s="25" t="s">
        <v>1859</v>
      </c>
      <c r="B730" s="26" t="s">
        <v>1840</v>
      </c>
      <c r="C730" s="27"/>
      <c r="D730" s="27"/>
      <c r="E730" s="27"/>
      <c r="F730" s="31">
        <v>0</v>
      </c>
      <c r="G730" s="31">
        <v>0</v>
      </c>
      <c r="H730" s="31">
        <v>0</v>
      </c>
      <c r="I730" s="31">
        <v>0</v>
      </c>
      <c r="J730" s="31">
        <v>0</v>
      </c>
      <c r="K730" s="31">
        <v>0</v>
      </c>
      <c r="L730" s="31">
        <v>0</v>
      </c>
      <c r="M730" s="31">
        <v>0</v>
      </c>
      <c r="N730" s="31">
        <v>0</v>
      </c>
      <c r="O730" s="31">
        <v>0</v>
      </c>
      <c r="P730" s="27"/>
      <c r="Q730" s="29"/>
      <c r="R730" s="30"/>
    </row>
    <row r="731" spans="1:18" ht="46.5" x14ac:dyDescent="0.25">
      <c r="A731" s="25" t="s">
        <v>1860</v>
      </c>
      <c r="B731" s="26" t="s">
        <v>1861</v>
      </c>
      <c r="C731" s="27" t="s">
        <v>767</v>
      </c>
      <c r="D731" s="27" t="s">
        <v>768</v>
      </c>
      <c r="E731" s="27" t="s">
        <v>40</v>
      </c>
      <c r="F731" s="28">
        <f>SUM(F732:F732)+7044.04</f>
        <v>7044.04</v>
      </c>
      <c r="G731" s="28">
        <f>SUM(G732:G732)</f>
        <v>0</v>
      </c>
      <c r="H731" s="28">
        <f>SUM(H732:H732)+7044.04</f>
        <v>7044.04</v>
      </c>
      <c r="I731" s="28">
        <f t="shared" ref="I731:O731" si="325">SUM(I732:I732)</f>
        <v>0</v>
      </c>
      <c r="J731" s="28">
        <f t="shared" si="325"/>
        <v>0</v>
      </c>
      <c r="K731" s="28">
        <f t="shared" si="325"/>
        <v>0</v>
      </c>
      <c r="L731" s="28">
        <f t="shared" si="325"/>
        <v>0</v>
      </c>
      <c r="M731" s="28">
        <f t="shared" si="325"/>
        <v>0</v>
      </c>
      <c r="N731" s="28">
        <f t="shared" si="325"/>
        <v>0</v>
      </c>
      <c r="O731" s="28">
        <f t="shared" si="325"/>
        <v>0</v>
      </c>
      <c r="P731" s="27" t="s">
        <v>1834</v>
      </c>
      <c r="Q731" s="29" t="s">
        <v>35</v>
      </c>
      <c r="R731" s="30" t="s">
        <v>48</v>
      </c>
    </row>
    <row r="732" spans="1:18" ht="69.75" x14ac:dyDescent="0.25">
      <c r="A732" s="25" t="s">
        <v>1862</v>
      </c>
      <c r="B732" s="26" t="s">
        <v>1840</v>
      </c>
      <c r="C732" s="27"/>
      <c r="D732" s="27"/>
      <c r="E732" s="27"/>
      <c r="F732" s="31">
        <v>0</v>
      </c>
      <c r="G732" s="31">
        <v>0</v>
      </c>
      <c r="H732" s="31">
        <v>0</v>
      </c>
      <c r="I732" s="31">
        <v>0</v>
      </c>
      <c r="J732" s="31">
        <v>0</v>
      </c>
      <c r="K732" s="31">
        <v>0</v>
      </c>
      <c r="L732" s="31">
        <v>0</v>
      </c>
      <c r="M732" s="31">
        <v>0</v>
      </c>
      <c r="N732" s="31">
        <v>0</v>
      </c>
      <c r="O732" s="31">
        <v>0</v>
      </c>
      <c r="P732" s="27"/>
      <c r="Q732" s="29"/>
      <c r="R732" s="30"/>
    </row>
    <row r="733" spans="1:18" ht="46.5" x14ac:dyDescent="0.25">
      <c r="A733" s="25" t="s">
        <v>1863</v>
      </c>
      <c r="B733" s="26" t="s">
        <v>1864</v>
      </c>
      <c r="C733" s="27" t="s">
        <v>773</v>
      </c>
      <c r="D733" s="27" t="s">
        <v>774</v>
      </c>
      <c r="E733" s="27" t="s">
        <v>40</v>
      </c>
      <c r="F733" s="28">
        <f>SUM(F734:F734)+5142.46</f>
        <v>5142.46</v>
      </c>
      <c r="G733" s="28">
        <f>SUM(G734:G734)</f>
        <v>0</v>
      </c>
      <c r="H733" s="28">
        <f>SUM(H734:H734)+5142.46</f>
        <v>5142.46</v>
      </c>
      <c r="I733" s="28">
        <f t="shared" ref="I733:O733" si="326">SUM(I734:I734)</f>
        <v>0</v>
      </c>
      <c r="J733" s="28">
        <f t="shared" si="326"/>
        <v>0</v>
      </c>
      <c r="K733" s="28">
        <f t="shared" si="326"/>
        <v>0</v>
      </c>
      <c r="L733" s="28">
        <f t="shared" si="326"/>
        <v>0</v>
      </c>
      <c r="M733" s="28">
        <f t="shared" si="326"/>
        <v>0</v>
      </c>
      <c r="N733" s="28">
        <f t="shared" si="326"/>
        <v>0</v>
      </c>
      <c r="O733" s="28">
        <f t="shared" si="326"/>
        <v>0</v>
      </c>
      <c r="P733" s="27" t="s">
        <v>1834</v>
      </c>
      <c r="Q733" s="29" t="s">
        <v>35</v>
      </c>
      <c r="R733" s="30" t="s">
        <v>36</v>
      </c>
    </row>
    <row r="734" spans="1:18" ht="69.75" x14ac:dyDescent="0.25">
      <c r="A734" s="25" t="s">
        <v>1865</v>
      </c>
      <c r="B734" s="26" t="s">
        <v>1840</v>
      </c>
      <c r="C734" s="27"/>
      <c r="D734" s="27"/>
      <c r="E734" s="27"/>
      <c r="F734" s="31">
        <v>0</v>
      </c>
      <c r="G734" s="31">
        <v>0</v>
      </c>
      <c r="H734" s="31">
        <v>0</v>
      </c>
      <c r="I734" s="31">
        <v>0</v>
      </c>
      <c r="J734" s="31">
        <v>0</v>
      </c>
      <c r="K734" s="31">
        <v>0</v>
      </c>
      <c r="L734" s="31">
        <v>0</v>
      </c>
      <c r="M734" s="31">
        <v>0</v>
      </c>
      <c r="N734" s="31">
        <v>0</v>
      </c>
      <c r="O734" s="31">
        <v>0</v>
      </c>
      <c r="P734" s="27"/>
      <c r="Q734" s="29"/>
      <c r="R734" s="30"/>
    </row>
    <row r="735" spans="1:18" ht="46.5" x14ac:dyDescent="0.25">
      <c r="A735" s="25" t="s">
        <v>1866</v>
      </c>
      <c r="B735" s="26" t="s">
        <v>1867</v>
      </c>
      <c r="C735" s="27" t="s">
        <v>779</v>
      </c>
      <c r="D735" s="27" t="s">
        <v>780</v>
      </c>
      <c r="E735" s="27"/>
      <c r="F735" s="28">
        <f t="shared" ref="F735:O735" si="327">SUM(F736:F736)</f>
        <v>0</v>
      </c>
      <c r="G735" s="28">
        <f t="shared" si="327"/>
        <v>0</v>
      </c>
      <c r="H735" s="28">
        <f t="shared" si="327"/>
        <v>0</v>
      </c>
      <c r="I735" s="28">
        <f t="shared" si="327"/>
        <v>0</v>
      </c>
      <c r="J735" s="28">
        <f t="shared" si="327"/>
        <v>0</v>
      </c>
      <c r="K735" s="28">
        <f t="shared" si="327"/>
        <v>0</v>
      </c>
      <c r="L735" s="28">
        <f t="shared" si="327"/>
        <v>0</v>
      </c>
      <c r="M735" s="28">
        <f t="shared" si="327"/>
        <v>0</v>
      </c>
      <c r="N735" s="28">
        <f t="shared" si="327"/>
        <v>0</v>
      </c>
      <c r="O735" s="28">
        <f t="shared" si="327"/>
        <v>0</v>
      </c>
      <c r="P735" s="27" t="s">
        <v>1834</v>
      </c>
      <c r="Q735" s="29" t="s">
        <v>35</v>
      </c>
      <c r="R735" s="30" t="s">
        <v>181</v>
      </c>
    </row>
    <row r="736" spans="1:18" ht="69.75" x14ac:dyDescent="0.25">
      <c r="A736" s="25" t="s">
        <v>1868</v>
      </c>
      <c r="B736" s="26" t="s">
        <v>1840</v>
      </c>
      <c r="C736" s="27"/>
      <c r="D736" s="27"/>
      <c r="E736" s="27"/>
      <c r="F736" s="31">
        <v>0</v>
      </c>
      <c r="G736" s="31">
        <v>0</v>
      </c>
      <c r="H736" s="31">
        <v>0</v>
      </c>
      <c r="I736" s="31">
        <v>0</v>
      </c>
      <c r="J736" s="31">
        <v>0</v>
      </c>
      <c r="K736" s="31">
        <v>0</v>
      </c>
      <c r="L736" s="31">
        <v>0</v>
      </c>
      <c r="M736" s="31">
        <v>0</v>
      </c>
      <c r="N736" s="31">
        <v>0</v>
      </c>
      <c r="O736" s="31">
        <v>0</v>
      </c>
      <c r="P736" s="27"/>
      <c r="Q736" s="29"/>
      <c r="R736" s="30"/>
    </row>
    <row r="737" spans="1:18" ht="69.75" x14ac:dyDescent="0.25">
      <c r="A737" s="25" t="s">
        <v>1869</v>
      </c>
      <c r="B737" s="26" t="s">
        <v>1870</v>
      </c>
      <c r="C737" s="27" t="s">
        <v>842</v>
      </c>
      <c r="D737" s="27" t="s">
        <v>863</v>
      </c>
      <c r="E737" s="27"/>
      <c r="F737" s="28">
        <f>SUM(F738:F738)+5100</f>
        <v>5100</v>
      </c>
      <c r="G737" s="28">
        <f t="shared" ref="G737:L737" si="328">SUM(G738:G738)</f>
        <v>0</v>
      </c>
      <c r="H737" s="28">
        <f t="shared" si="328"/>
        <v>0</v>
      </c>
      <c r="I737" s="28">
        <f t="shared" si="328"/>
        <v>0</v>
      </c>
      <c r="J737" s="28">
        <f t="shared" si="328"/>
        <v>0</v>
      </c>
      <c r="K737" s="28">
        <f t="shared" si="328"/>
        <v>0</v>
      </c>
      <c r="L737" s="28">
        <f t="shared" si="328"/>
        <v>0</v>
      </c>
      <c r="M737" s="28">
        <f>SUM(M738:M738)+5100</f>
        <v>5100</v>
      </c>
      <c r="N737" s="28">
        <f>SUM(N738:N738)</f>
        <v>0</v>
      </c>
      <c r="O737" s="28">
        <f>SUM(O738:O738)</f>
        <v>0</v>
      </c>
      <c r="P737" s="27" t="s">
        <v>1871</v>
      </c>
      <c r="Q737" s="29" t="s">
        <v>35</v>
      </c>
      <c r="R737" s="30" t="s">
        <v>36</v>
      </c>
    </row>
    <row r="738" spans="1:18" ht="69.75" x14ac:dyDescent="0.25">
      <c r="A738" s="25" t="s">
        <v>1872</v>
      </c>
      <c r="B738" s="26" t="s">
        <v>1873</v>
      </c>
      <c r="C738" s="27"/>
      <c r="D738" s="27"/>
      <c r="E738" s="27"/>
      <c r="F738" s="31">
        <v>0</v>
      </c>
      <c r="G738" s="31">
        <v>0</v>
      </c>
      <c r="H738" s="31">
        <v>0</v>
      </c>
      <c r="I738" s="31">
        <v>0</v>
      </c>
      <c r="J738" s="31">
        <v>0</v>
      </c>
      <c r="K738" s="31">
        <v>0</v>
      </c>
      <c r="L738" s="31">
        <v>0</v>
      </c>
      <c r="M738" s="31">
        <v>0</v>
      </c>
      <c r="N738" s="31">
        <v>0</v>
      </c>
      <c r="O738" s="31">
        <v>0</v>
      </c>
      <c r="P738" s="27"/>
      <c r="Q738" s="29"/>
      <c r="R738" s="30"/>
    </row>
    <row r="739" spans="1:18" ht="45" x14ac:dyDescent="0.25">
      <c r="A739" s="13" t="s">
        <v>1874</v>
      </c>
      <c r="B739" s="14" t="s">
        <v>1875</v>
      </c>
      <c r="C739" s="15" t="s">
        <v>1876</v>
      </c>
      <c r="D739" s="15" t="s">
        <v>1877</v>
      </c>
      <c r="E739" s="15"/>
      <c r="F739" s="16">
        <f t="shared" ref="F739:O739" si="329">F740+F743+F746+F749</f>
        <v>1291400</v>
      </c>
      <c r="G739" s="16">
        <f t="shared" si="329"/>
        <v>6000</v>
      </c>
      <c r="H739" s="16">
        <f t="shared" si="329"/>
        <v>0</v>
      </c>
      <c r="I739" s="16">
        <f t="shared" si="329"/>
        <v>0</v>
      </c>
      <c r="J739" s="16">
        <f t="shared" si="329"/>
        <v>1285400</v>
      </c>
      <c r="K739" s="16">
        <f t="shared" si="329"/>
        <v>0</v>
      </c>
      <c r="L739" s="16">
        <f t="shared" si="329"/>
        <v>0</v>
      </c>
      <c r="M739" s="16">
        <f t="shared" si="329"/>
        <v>0</v>
      </c>
      <c r="N739" s="16">
        <f t="shared" si="329"/>
        <v>0</v>
      </c>
      <c r="O739" s="16">
        <f t="shared" si="329"/>
        <v>0</v>
      </c>
      <c r="P739" s="15" t="s">
        <v>1878</v>
      </c>
      <c r="Q739" s="17" t="s">
        <v>29</v>
      </c>
      <c r="R739" s="18" t="s">
        <v>1879</v>
      </c>
    </row>
    <row r="740" spans="1:18" ht="67.5" x14ac:dyDescent="0.25">
      <c r="A740" s="19" t="s">
        <v>1880</v>
      </c>
      <c r="B740" s="20" t="s">
        <v>1881</v>
      </c>
      <c r="C740" s="21" t="s">
        <v>1876</v>
      </c>
      <c r="D740" s="21" t="s">
        <v>1882</v>
      </c>
      <c r="E740" s="21" t="s">
        <v>33</v>
      </c>
      <c r="F740" s="22">
        <f t="shared" ref="F740:O741" si="330">SUM(F741:F741)</f>
        <v>0</v>
      </c>
      <c r="G740" s="22">
        <f t="shared" si="330"/>
        <v>0</v>
      </c>
      <c r="H740" s="22">
        <f t="shared" si="330"/>
        <v>0</v>
      </c>
      <c r="I740" s="22">
        <f t="shared" si="330"/>
        <v>0</v>
      </c>
      <c r="J740" s="22">
        <f t="shared" si="330"/>
        <v>0</v>
      </c>
      <c r="K740" s="22">
        <f t="shared" si="330"/>
        <v>0</v>
      </c>
      <c r="L740" s="22">
        <f t="shared" si="330"/>
        <v>0</v>
      </c>
      <c r="M740" s="22">
        <f t="shared" si="330"/>
        <v>0</v>
      </c>
      <c r="N740" s="22">
        <f t="shared" si="330"/>
        <v>0</v>
      </c>
      <c r="O740" s="22">
        <f t="shared" si="330"/>
        <v>0</v>
      </c>
      <c r="P740" s="21" t="s">
        <v>1883</v>
      </c>
      <c r="Q740" s="23" t="s">
        <v>35</v>
      </c>
      <c r="R740" s="24" t="s">
        <v>48</v>
      </c>
    </row>
    <row r="741" spans="1:18" ht="46.5" x14ac:dyDescent="0.25">
      <c r="A741" s="25" t="s">
        <v>1884</v>
      </c>
      <c r="B741" s="26" t="s">
        <v>1885</v>
      </c>
      <c r="C741" s="27" t="s">
        <v>1876</v>
      </c>
      <c r="D741" s="27" t="s">
        <v>1882</v>
      </c>
      <c r="E741" s="27" t="s">
        <v>40</v>
      </c>
      <c r="F741" s="28">
        <f t="shared" si="330"/>
        <v>0</v>
      </c>
      <c r="G741" s="28">
        <f t="shared" si="330"/>
        <v>0</v>
      </c>
      <c r="H741" s="28">
        <f t="shared" si="330"/>
        <v>0</v>
      </c>
      <c r="I741" s="28">
        <f t="shared" si="330"/>
        <v>0</v>
      </c>
      <c r="J741" s="28">
        <f t="shared" si="330"/>
        <v>0</v>
      </c>
      <c r="K741" s="28">
        <f t="shared" si="330"/>
        <v>0</v>
      </c>
      <c r="L741" s="28">
        <f t="shared" si="330"/>
        <v>0</v>
      </c>
      <c r="M741" s="28">
        <f t="shared" si="330"/>
        <v>0</v>
      </c>
      <c r="N741" s="28">
        <f t="shared" si="330"/>
        <v>0</v>
      </c>
      <c r="O741" s="28">
        <f t="shared" si="330"/>
        <v>0</v>
      </c>
      <c r="P741" s="27" t="s">
        <v>1883</v>
      </c>
      <c r="Q741" s="29" t="s">
        <v>35</v>
      </c>
      <c r="R741" s="30" t="s">
        <v>48</v>
      </c>
    </row>
    <row r="742" spans="1:18" ht="46.5" x14ac:dyDescent="0.25">
      <c r="A742" s="25" t="s">
        <v>1886</v>
      </c>
      <c r="B742" s="26" t="s">
        <v>1887</v>
      </c>
      <c r="C742" s="27"/>
      <c r="D742" s="27"/>
      <c r="E742" s="27"/>
      <c r="F742" s="31">
        <v>0</v>
      </c>
      <c r="G742" s="31">
        <v>0</v>
      </c>
      <c r="H742" s="31">
        <v>0</v>
      </c>
      <c r="I742" s="31">
        <v>0</v>
      </c>
      <c r="J742" s="31">
        <v>0</v>
      </c>
      <c r="K742" s="31">
        <v>0</v>
      </c>
      <c r="L742" s="31">
        <v>0</v>
      </c>
      <c r="M742" s="31">
        <v>0</v>
      </c>
      <c r="N742" s="31">
        <v>0</v>
      </c>
      <c r="O742" s="31">
        <v>0</v>
      </c>
      <c r="P742" s="27"/>
      <c r="Q742" s="29"/>
      <c r="R742" s="30"/>
    </row>
    <row r="743" spans="1:18" ht="112.5" x14ac:dyDescent="0.25">
      <c r="A743" s="19" t="s">
        <v>1888</v>
      </c>
      <c r="B743" s="20" t="s">
        <v>1889</v>
      </c>
      <c r="C743" s="21" t="s">
        <v>1876</v>
      </c>
      <c r="D743" s="21" t="s">
        <v>1882</v>
      </c>
      <c r="E743" s="21" t="s">
        <v>33</v>
      </c>
      <c r="F743" s="22">
        <f t="shared" ref="F743:O743" si="331">SUM(F744:F744)</f>
        <v>1234600</v>
      </c>
      <c r="G743" s="22">
        <f t="shared" si="331"/>
        <v>0</v>
      </c>
      <c r="H743" s="22">
        <f t="shared" si="331"/>
        <v>0</v>
      </c>
      <c r="I743" s="22">
        <f t="shared" si="331"/>
        <v>0</v>
      </c>
      <c r="J743" s="22">
        <f t="shared" si="331"/>
        <v>1234600</v>
      </c>
      <c r="K743" s="22">
        <f t="shared" si="331"/>
        <v>0</v>
      </c>
      <c r="L743" s="22">
        <f t="shared" si="331"/>
        <v>0</v>
      </c>
      <c r="M743" s="22">
        <f t="shared" si="331"/>
        <v>0</v>
      </c>
      <c r="N743" s="22">
        <f t="shared" si="331"/>
        <v>0</v>
      </c>
      <c r="O743" s="22">
        <f t="shared" si="331"/>
        <v>0</v>
      </c>
      <c r="P743" s="21" t="s">
        <v>1890</v>
      </c>
      <c r="Q743" s="23" t="s">
        <v>35</v>
      </c>
      <c r="R743" s="24" t="s">
        <v>189</v>
      </c>
    </row>
    <row r="744" spans="1:18" ht="69.75" x14ac:dyDescent="0.25">
      <c r="A744" s="25" t="s">
        <v>1891</v>
      </c>
      <c r="B744" s="26" t="s">
        <v>1892</v>
      </c>
      <c r="C744" s="27" t="s">
        <v>1876</v>
      </c>
      <c r="D744" s="27" t="s">
        <v>1882</v>
      </c>
      <c r="E744" s="27" t="s">
        <v>40</v>
      </c>
      <c r="F744" s="28">
        <f>SUM(F745:F745)+1234600</f>
        <v>1234600</v>
      </c>
      <c r="G744" s="28">
        <f>SUM(G745:G745)</f>
        <v>0</v>
      </c>
      <c r="H744" s="28">
        <f>SUM(H745:H745)</f>
        <v>0</v>
      </c>
      <c r="I744" s="28">
        <f>SUM(I745:I745)</f>
        <v>0</v>
      </c>
      <c r="J744" s="28">
        <f>SUM(J745:J745)+1234600</f>
        <v>1234600</v>
      </c>
      <c r="K744" s="28">
        <f>SUM(K745:K745)</f>
        <v>0</v>
      </c>
      <c r="L744" s="28">
        <f>SUM(L745:L745)</f>
        <v>0</v>
      </c>
      <c r="M744" s="28">
        <f>SUM(M745:M745)</f>
        <v>0</v>
      </c>
      <c r="N744" s="28">
        <f>SUM(N745:N745)</f>
        <v>0</v>
      </c>
      <c r="O744" s="28">
        <f>SUM(O745:O745)</f>
        <v>0</v>
      </c>
      <c r="P744" s="27" t="s">
        <v>1890</v>
      </c>
      <c r="Q744" s="29" t="s">
        <v>35</v>
      </c>
      <c r="R744" s="30" t="s">
        <v>189</v>
      </c>
    </row>
    <row r="745" spans="1:18" ht="46.5" x14ac:dyDescent="0.25">
      <c r="A745" s="25" t="s">
        <v>1893</v>
      </c>
      <c r="B745" s="26" t="s">
        <v>1894</v>
      </c>
      <c r="C745" s="27"/>
      <c r="D745" s="27"/>
      <c r="E745" s="27"/>
      <c r="F745" s="31">
        <v>0</v>
      </c>
      <c r="G745" s="31">
        <v>0</v>
      </c>
      <c r="H745" s="31">
        <v>0</v>
      </c>
      <c r="I745" s="31">
        <v>0</v>
      </c>
      <c r="J745" s="31">
        <v>0</v>
      </c>
      <c r="K745" s="31">
        <v>0</v>
      </c>
      <c r="L745" s="31">
        <v>0</v>
      </c>
      <c r="M745" s="31">
        <v>0</v>
      </c>
      <c r="N745" s="31">
        <v>0</v>
      </c>
      <c r="O745" s="31">
        <v>0</v>
      </c>
      <c r="P745" s="27"/>
      <c r="Q745" s="29"/>
      <c r="R745" s="30"/>
    </row>
    <row r="746" spans="1:18" ht="67.5" x14ac:dyDescent="0.25">
      <c r="A746" s="19" t="s">
        <v>1895</v>
      </c>
      <c r="B746" s="20" t="s">
        <v>1896</v>
      </c>
      <c r="C746" s="21" t="s">
        <v>1876</v>
      </c>
      <c r="D746" s="21" t="s">
        <v>1877</v>
      </c>
      <c r="E746" s="21" t="s">
        <v>33</v>
      </c>
      <c r="F746" s="22">
        <f t="shared" ref="F746:O746" si="332">SUM(F747:F747)</f>
        <v>1000</v>
      </c>
      <c r="G746" s="22">
        <f t="shared" si="332"/>
        <v>1000</v>
      </c>
      <c r="H746" s="22">
        <f t="shared" si="332"/>
        <v>0</v>
      </c>
      <c r="I746" s="22">
        <f t="shared" si="332"/>
        <v>0</v>
      </c>
      <c r="J746" s="22">
        <f t="shared" si="332"/>
        <v>0</v>
      </c>
      <c r="K746" s="22">
        <f t="shared" si="332"/>
        <v>0</v>
      </c>
      <c r="L746" s="22">
        <f t="shared" si="332"/>
        <v>0</v>
      </c>
      <c r="M746" s="22">
        <f t="shared" si="332"/>
        <v>0</v>
      </c>
      <c r="N746" s="22">
        <f t="shared" si="332"/>
        <v>0</v>
      </c>
      <c r="O746" s="22">
        <f t="shared" si="332"/>
        <v>0</v>
      </c>
      <c r="P746" s="21" t="s">
        <v>1897</v>
      </c>
      <c r="Q746" s="23" t="s">
        <v>35</v>
      </c>
      <c r="R746" s="24" t="s">
        <v>1898</v>
      </c>
    </row>
    <row r="747" spans="1:18" ht="69.75" x14ac:dyDescent="0.25">
      <c r="A747" s="25" t="s">
        <v>1899</v>
      </c>
      <c r="B747" s="26" t="s">
        <v>1900</v>
      </c>
      <c r="C747" s="27" t="s">
        <v>1876</v>
      </c>
      <c r="D747" s="27" t="s">
        <v>1877</v>
      </c>
      <c r="E747" s="27" t="s">
        <v>40</v>
      </c>
      <c r="F747" s="28">
        <f>SUM(F748:F748)+1000</f>
        <v>1000</v>
      </c>
      <c r="G747" s="28">
        <f>SUM(G748:G748)+1000</f>
        <v>1000</v>
      </c>
      <c r="H747" s="28">
        <f t="shared" ref="H747:O747" si="333">SUM(H748:H748)</f>
        <v>0</v>
      </c>
      <c r="I747" s="28">
        <f t="shared" si="333"/>
        <v>0</v>
      </c>
      <c r="J747" s="28">
        <f t="shared" si="333"/>
        <v>0</v>
      </c>
      <c r="K747" s="28">
        <f t="shared" si="333"/>
        <v>0</v>
      </c>
      <c r="L747" s="28">
        <f t="shared" si="333"/>
        <v>0</v>
      </c>
      <c r="M747" s="28">
        <f t="shared" si="333"/>
        <v>0</v>
      </c>
      <c r="N747" s="28">
        <f t="shared" si="333"/>
        <v>0</v>
      </c>
      <c r="O747" s="28">
        <f t="shared" si="333"/>
        <v>0</v>
      </c>
      <c r="P747" s="27" t="s">
        <v>1901</v>
      </c>
      <c r="Q747" s="29" t="s">
        <v>35</v>
      </c>
      <c r="R747" s="30" t="s">
        <v>1898</v>
      </c>
    </row>
    <row r="748" spans="1:18" ht="69.75" x14ac:dyDescent="0.25">
      <c r="A748" s="25" t="s">
        <v>1902</v>
      </c>
      <c r="B748" s="26" t="s">
        <v>1903</v>
      </c>
      <c r="C748" s="27"/>
      <c r="D748" s="27"/>
      <c r="E748" s="27"/>
      <c r="F748" s="31">
        <v>0</v>
      </c>
      <c r="G748" s="31">
        <v>0</v>
      </c>
      <c r="H748" s="31">
        <v>0</v>
      </c>
      <c r="I748" s="31">
        <v>0</v>
      </c>
      <c r="J748" s="31">
        <v>0</v>
      </c>
      <c r="K748" s="31">
        <v>0</v>
      </c>
      <c r="L748" s="31">
        <v>0</v>
      </c>
      <c r="M748" s="31">
        <v>0</v>
      </c>
      <c r="N748" s="31">
        <v>0</v>
      </c>
      <c r="O748" s="31">
        <v>0</v>
      </c>
      <c r="P748" s="27"/>
      <c r="Q748" s="29"/>
      <c r="R748" s="30"/>
    </row>
    <row r="749" spans="1:18" ht="45" x14ac:dyDescent="0.25">
      <c r="A749" s="19" t="s">
        <v>1904</v>
      </c>
      <c r="B749" s="20" t="s">
        <v>1905</v>
      </c>
      <c r="C749" s="21" t="s">
        <v>943</v>
      </c>
      <c r="D749" s="21" t="s">
        <v>944</v>
      </c>
      <c r="E749" s="21" t="s">
        <v>33</v>
      </c>
      <c r="F749" s="22">
        <f t="shared" ref="F749:O749" si="334">F750+F752+F754+F756</f>
        <v>55800</v>
      </c>
      <c r="G749" s="22">
        <f t="shared" si="334"/>
        <v>5000</v>
      </c>
      <c r="H749" s="22">
        <f t="shared" si="334"/>
        <v>0</v>
      </c>
      <c r="I749" s="22">
        <f t="shared" si="334"/>
        <v>0</v>
      </c>
      <c r="J749" s="22">
        <f t="shared" si="334"/>
        <v>50800</v>
      </c>
      <c r="K749" s="22">
        <f t="shared" si="334"/>
        <v>0</v>
      </c>
      <c r="L749" s="22">
        <f t="shared" si="334"/>
        <v>0</v>
      </c>
      <c r="M749" s="22">
        <f t="shared" si="334"/>
        <v>0</v>
      </c>
      <c r="N749" s="22">
        <f t="shared" si="334"/>
        <v>0</v>
      </c>
      <c r="O749" s="22">
        <f t="shared" si="334"/>
        <v>0</v>
      </c>
      <c r="P749" s="21" t="s">
        <v>1906</v>
      </c>
      <c r="Q749" s="23" t="s">
        <v>35</v>
      </c>
      <c r="R749" s="24" t="s">
        <v>144</v>
      </c>
    </row>
    <row r="750" spans="1:18" ht="116.25" x14ac:dyDescent="0.25">
      <c r="A750" s="25" t="s">
        <v>1907</v>
      </c>
      <c r="B750" s="26" t="s">
        <v>1908</v>
      </c>
      <c r="C750" s="27" t="s">
        <v>1909</v>
      </c>
      <c r="D750" s="27" t="s">
        <v>944</v>
      </c>
      <c r="E750" s="27"/>
      <c r="F750" s="28">
        <f>SUM(F751:F751)+50800</f>
        <v>50800</v>
      </c>
      <c r="G750" s="28">
        <f>SUM(G751:G751)</f>
        <v>0</v>
      </c>
      <c r="H750" s="28">
        <f>SUM(H751:H751)</f>
        <v>0</v>
      </c>
      <c r="I750" s="28">
        <f>SUM(I751:I751)</f>
        <v>0</v>
      </c>
      <c r="J750" s="28">
        <f>SUM(J751:J751)+50800</f>
        <v>50800</v>
      </c>
      <c r="K750" s="28">
        <f>SUM(K751:K751)</f>
        <v>0</v>
      </c>
      <c r="L750" s="28">
        <f>SUM(L751:L751)</f>
        <v>0</v>
      </c>
      <c r="M750" s="28">
        <f>SUM(M751:M751)</f>
        <v>0</v>
      </c>
      <c r="N750" s="28">
        <f>SUM(N751:N751)</f>
        <v>0</v>
      </c>
      <c r="O750" s="28">
        <f>SUM(O751:O751)</f>
        <v>0</v>
      </c>
      <c r="P750" s="27" t="s">
        <v>1910</v>
      </c>
      <c r="Q750" s="29" t="s">
        <v>35</v>
      </c>
      <c r="R750" s="30" t="s">
        <v>48</v>
      </c>
    </row>
    <row r="751" spans="1:18" ht="46.5" x14ac:dyDescent="0.25">
      <c r="A751" s="25" t="s">
        <v>1911</v>
      </c>
      <c r="B751" s="26" t="s">
        <v>1912</v>
      </c>
      <c r="C751" s="27"/>
      <c r="D751" s="27"/>
      <c r="E751" s="27"/>
      <c r="F751" s="31">
        <v>0</v>
      </c>
      <c r="G751" s="31">
        <v>0</v>
      </c>
      <c r="H751" s="31">
        <v>0</v>
      </c>
      <c r="I751" s="31">
        <v>0</v>
      </c>
      <c r="J751" s="31">
        <v>0</v>
      </c>
      <c r="K751" s="31">
        <v>0</v>
      </c>
      <c r="L751" s="31">
        <v>0</v>
      </c>
      <c r="M751" s="31">
        <v>0</v>
      </c>
      <c r="N751" s="31">
        <v>0</v>
      </c>
      <c r="O751" s="31">
        <v>0</v>
      </c>
      <c r="P751" s="27"/>
      <c r="Q751" s="29"/>
      <c r="R751" s="30"/>
    </row>
    <row r="752" spans="1:18" ht="46.5" x14ac:dyDescent="0.25">
      <c r="A752" s="25" t="s">
        <v>1913</v>
      </c>
      <c r="B752" s="26" t="s">
        <v>1914</v>
      </c>
      <c r="C752" s="27" t="s">
        <v>1423</v>
      </c>
      <c r="D752" s="27" t="s">
        <v>1426</v>
      </c>
      <c r="E752" s="27"/>
      <c r="F752" s="28">
        <f>SUM(F753:F753)+2000</f>
        <v>2000</v>
      </c>
      <c r="G752" s="28">
        <f>SUM(G753:G753)+2000</f>
        <v>2000</v>
      </c>
      <c r="H752" s="28">
        <f t="shared" ref="H752:O752" si="335">SUM(H753:H753)</f>
        <v>0</v>
      </c>
      <c r="I752" s="28">
        <f t="shared" si="335"/>
        <v>0</v>
      </c>
      <c r="J752" s="28">
        <f t="shared" si="335"/>
        <v>0</v>
      </c>
      <c r="K752" s="28">
        <f t="shared" si="335"/>
        <v>0</v>
      </c>
      <c r="L752" s="28">
        <f t="shared" si="335"/>
        <v>0</v>
      </c>
      <c r="M752" s="28">
        <f t="shared" si="335"/>
        <v>0</v>
      </c>
      <c r="N752" s="28">
        <f t="shared" si="335"/>
        <v>0</v>
      </c>
      <c r="O752" s="28">
        <f t="shared" si="335"/>
        <v>0</v>
      </c>
      <c r="P752" s="27" t="s">
        <v>1915</v>
      </c>
      <c r="Q752" s="29" t="s">
        <v>35</v>
      </c>
      <c r="R752" s="30" t="s">
        <v>48</v>
      </c>
    </row>
    <row r="753" spans="1:18" ht="46.5" x14ac:dyDescent="0.25">
      <c r="A753" s="25" t="s">
        <v>1916</v>
      </c>
      <c r="B753" s="26" t="s">
        <v>1917</v>
      </c>
      <c r="C753" s="27"/>
      <c r="D753" s="27"/>
      <c r="E753" s="27"/>
      <c r="F753" s="31">
        <v>0</v>
      </c>
      <c r="G753" s="31">
        <v>0</v>
      </c>
      <c r="H753" s="31">
        <v>0</v>
      </c>
      <c r="I753" s="31">
        <v>0</v>
      </c>
      <c r="J753" s="31">
        <v>0</v>
      </c>
      <c r="K753" s="31">
        <v>0</v>
      </c>
      <c r="L753" s="31">
        <v>0</v>
      </c>
      <c r="M753" s="31">
        <v>0</v>
      </c>
      <c r="N753" s="31">
        <v>0</v>
      </c>
      <c r="O753" s="31">
        <v>0</v>
      </c>
      <c r="P753" s="27"/>
      <c r="Q753" s="29"/>
      <c r="R753" s="30"/>
    </row>
    <row r="754" spans="1:18" ht="46.5" x14ac:dyDescent="0.25">
      <c r="A754" s="25" t="s">
        <v>1918</v>
      </c>
      <c r="B754" s="26" t="s">
        <v>1919</v>
      </c>
      <c r="C754" s="27" t="s">
        <v>1423</v>
      </c>
      <c r="D754" s="27" t="s">
        <v>1426</v>
      </c>
      <c r="E754" s="27" t="s">
        <v>40</v>
      </c>
      <c r="F754" s="28">
        <f>SUM(F755:F755)+3000</f>
        <v>3000</v>
      </c>
      <c r="G754" s="28">
        <f>SUM(G755:G755)+3000</f>
        <v>3000</v>
      </c>
      <c r="H754" s="28">
        <f t="shared" ref="H754:O754" si="336">SUM(H755:H755)</f>
        <v>0</v>
      </c>
      <c r="I754" s="28">
        <f t="shared" si="336"/>
        <v>0</v>
      </c>
      <c r="J754" s="28">
        <f t="shared" si="336"/>
        <v>0</v>
      </c>
      <c r="K754" s="28">
        <f t="shared" si="336"/>
        <v>0</v>
      </c>
      <c r="L754" s="28">
        <f t="shared" si="336"/>
        <v>0</v>
      </c>
      <c r="M754" s="28">
        <f t="shared" si="336"/>
        <v>0</v>
      </c>
      <c r="N754" s="28">
        <f t="shared" si="336"/>
        <v>0</v>
      </c>
      <c r="O754" s="28">
        <f t="shared" si="336"/>
        <v>0</v>
      </c>
      <c r="P754" s="27" t="s">
        <v>1920</v>
      </c>
      <c r="Q754" s="29" t="s">
        <v>35</v>
      </c>
      <c r="R754" s="30" t="s">
        <v>48</v>
      </c>
    </row>
    <row r="755" spans="1:18" ht="46.5" x14ac:dyDescent="0.25">
      <c r="A755" s="25" t="s">
        <v>1921</v>
      </c>
      <c r="B755" s="26" t="s">
        <v>1922</v>
      </c>
      <c r="C755" s="27"/>
      <c r="D755" s="27"/>
      <c r="E755" s="27"/>
      <c r="F755" s="31">
        <v>0</v>
      </c>
      <c r="G755" s="31">
        <v>0</v>
      </c>
      <c r="H755" s="31">
        <v>0</v>
      </c>
      <c r="I755" s="31">
        <v>0</v>
      </c>
      <c r="J755" s="31">
        <v>0</v>
      </c>
      <c r="K755" s="31">
        <v>0</v>
      </c>
      <c r="L755" s="31">
        <v>0</v>
      </c>
      <c r="M755" s="31">
        <v>0</v>
      </c>
      <c r="N755" s="31">
        <v>0</v>
      </c>
      <c r="O755" s="31">
        <v>0</v>
      </c>
      <c r="P755" s="27"/>
      <c r="Q755" s="29"/>
      <c r="R755" s="30"/>
    </row>
    <row r="756" spans="1:18" ht="69.75" x14ac:dyDescent="0.25">
      <c r="A756" s="25" t="s">
        <v>1923</v>
      </c>
      <c r="B756" s="26" t="s">
        <v>1924</v>
      </c>
      <c r="C756" s="27" t="s">
        <v>1423</v>
      </c>
      <c r="D756" s="27" t="s">
        <v>1426</v>
      </c>
      <c r="E756" s="27" t="s">
        <v>40</v>
      </c>
      <c r="F756" s="28">
        <f t="shared" ref="F756:O756" si="337">SUM(F757:F757)</f>
        <v>0</v>
      </c>
      <c r="G756" s="28">
        <f t="shared" si="337"/>
        <v>0</v>
      </c>
      <c r="H756" s="28">
        <f t="shared" si="337"/>
        <v>0</v>
      </c>
      <c r="I756" s="28">
        <f t="shared" si="337"/>
        <v>0</v>
      </c>
      <c r="J756" s="28">
        <f t="shared" si="337"/>
        <v>0</v>
      </c>
      <c r="K756" s="28">
        <f t="shared" si="337"/>
        <v>0</v>
      </c>
      <c r="L756" s="28">
        <f t="shared" si="337"/>
        <v>0</v>
      </c>
      <c r="M756" s="28">
        <f t="shared" si="337"/>
        <v>0</v>
      </c>
      <c r="N756" s="28">
        <f t="shared" si="337"/>
        <v>0</v>
      </c>
      <c r="O756" s="28">
        <f t="shared" si="337"/>
        <v>0</v>
      </c>
      <c r="P756" s="27" t="s">
        <v>1925</v>
      </c>
      <c r="Q756" s="29" t="s">
        <v>35</v>
      </c>
      <c r="R756" s="30" t="s">
        <v>48</v>
      </c>
    </row>
    <row r="757" spans="1:18" ht="46.5" x14ac:dyDescent="0.25">
      <c r="A757" s="25" t="s">
        <v>1926</v>
      </c>
      <c r="B757" s="26" t="s">
        <v>1927</v>
      </c>
      <c r="C757" s="27"/>
      <c r="D757" s="27"/>
      <c r="E757" s="27"/>
      <c r="F757" s="31">
        <v>0</v>
      </c>
      <c r="G757" s="31">
        <v>0</v>
      </c>
      <c r="H757" s="31">
        <v>0</v>
      </c>
      <c r="I757" s="31">
        <v>0</v>
      </c>
      <c r="J757" s="31">
        <v>0</v>
      </c>
      <c r="K757" s="31">
        <v>0</v>
      </c>
      <c r="L757" s="31">
        <v>0</v>
      </c>
      <c r="M757" s="31">
        <v>0</v>
      </c>
      <c r="N757" s="31">
        <v>0</v>
      </c>
      <c r="O757" s="31">
        <v>0</v>
      </c>
      <c r="P757" s="27"/>
      <c r="Q757" s="29"/>
      <c r="R757" s="30"/>
    </row>
    <row r="758" spans="1:18" ht="90" x14ac:dyDescent="0.25">
      <c r="A758" s="13" t="s">
        <v>1928</v>
      </c>
      <c r="B758" s="14" t="s">
        <v>459</v>
      </c>
      <c r="C758" s="15" t="s">
        <v>943</v>
      </c>
      <c r="D758" s="15" t="s">
        <v>944</v>
      </c>
      <c r="E758" s="15"/>
      <c r="F758" s="16">
        <f t="shared" ref="F758:O759" si="338">SUM(F759:F759)</f>
        <v>1500</v>
      </c>
      <c r="G758" s="16">
        <f t="shared" si="338"/>
        <v>1500</v>
      </c>
      <c r="H758" s="16">
        <f t="shared" si="338"/>
        <v>0</v>
      </c>
      <c r="I758" s="16">
        <f t="shared" si="338"/>
        <v>0</v>
      </c>
      <c r="J758" s="16">
        <f t="shared" si="338"/>
        <v>0</v>
      </c>
      <c r="K758" s="16">
        <f t="shared" si="338"/>
        <v>0</v>
      </c>
      <c r="L758" s="16">
        <f t="shared" si="338"/>
        <v>0</v>
      </c>
      <c r="M758" s="16">
        <f t="shared" si="338"/>
        <v>0</v>
      </c>
      <c r="N758" s="16">
        <f t="shared" si="338"/>
        <v>0</v>
      </c>
      <c r="O758" s="16">
        <f t="shared" si="338"/>
        <v>0</v>
      </c>
      <c r="P758" s="15" t="s">
        <v>460</v>
      </c>
      <c r="Q758" s="17" t="s">
        <v>29</v>
      </c>
      <c r="R758" s="18" t="s">
        <v>1879</v>
      </c>
    </row>
    <row r="759" spans="1:18" ht="67.5" x14ac:dyDescent="0.25">
      <c r="A759" s="19" t="s">
        <v>1929</v>
      </c>
      <c r="B759" s="20" t="s">
        <v>1930</v>
      </c>
      <c r="C759" s="21" t="s">
        <v>943</v>
      </c>
      <c r="D759" s="21" t="s">
        <v>944</v>
      </c>
      <c r="E759" s="21" t="s">
        <v>33</v>
      </c>
      <c r="F759" s="22">
        <f t="shared" si="338"/>
        <v>1500</v>
      </c>
      <c r="G759" s="22">
        <f t="shared" si="338"/>
        <v>1500</v>
      </c>
      <c r="H759" s="22">
        <f t="shared" si="338"/>
        <v>0</v>
      </c>
      <c r="I759" s="22">
        <f t="shared" si="338"/>
        <v>0</v>
      </c>
      <c r="J759" s="22">
        <f t="shared" si="338"/>
        <v>0</v>
      </c>
      <c r="K759" s="22">
        <f t="shared" si="338"/>
        <v>0</v>
      </c>
      <c r="L759" s="22">
        <f t="shared" si="338"/>
        <v>0</v>
      </c>
      <c r="M759" s="22">
        <f t="shared" si="338"/>
        <v>0</v>
      </c>
      <c r="N759" s="22">
        <f t="shared" si="338"/>
        <v>0</v>
      </c>
      <c r="O759" s="22">
        <f t="shared" si="338"/>
        <v>0</v>
      </c>
      <c r="P759" s="21" t="s">
        <v>1931</v>
      </c>
      <c r="Q759" s="23" t="s">
        <v>35</v>
      </c>
      <c r="R759" s="24" t="s">
        <v>135</v>
      </c>
    </row>
    <row r="760" spans="1:18" ht="69.75" x14ac:dyDescent="0.25">
      <c r="A760" s="25" t="s">
        <v>1932</v>
      </c>
      <c r="B760" s="26" t="s">
        <v>1933</v>
      </c>
      <c r="C760" s="27" t="s">
        <v>1909</v>
      </c>
      <c r="D760" s="27" t="s">
        <v>944</v>
      </c>
      <c r="E760" s="27" t="s">
        <v>40</v>
      </c>
      <c r="F760" s="28">
        <f>SUM(F761:F761)+1500</f>
        <v>1500</v>
      </c>
      <c r="G760" s="28">
        <f>SUM(G761:G761)+1500</f>
        <v>1500</v>
      </c>
      <c r="H760" s="28">
        <f t="shared" ref="H760:O760" si="339">SUM(H761:H761)</f>
        <v>0</v>
      </c>
      <c r="I760" s="28">
        <f t="shared" si="339"/>
        <v>0</v>
      </c>
      <c r="J760" s="28">
        <f t="shared" si="339"/>
        <v>0</v>
      </c>
      <c r="K760" s="28">
        <f t="shared" si="339"/>
        <v>0</v>
      </c>
      <c r="L760" s="28">
        <f t="shared" si="339"/>
        <v>0</v>
      </c>
      <c r="M760" s="28">
        <f t="shared" si="339"/>
        <v>0</v>
      </c>
      <c r="N760" s="28">
        <f t="shared" si="339"/>
        <v>0</v>
      </c>
      <c r="O760" s="28">
        <f t="shared" si="339"/>
        <v>0</v>
      </c>
      <c r="P760" s="27" t="s">
        <v>1934</v>
      </c>
      <c r="Q760" s="29" t="s">
        <v>35</v>
      </c>
      <c r="R760" s="30" t="s">
        <v>48</v>
      </c>
    </row>
    <row r="761" spans="1:18" ht="93" x14ac:dyDescent="0.25">
      <c r="A761" s="25" t="s">
        <v>1935</v>
      </c>
      <c r="B761" s="26" t="s">
        <v>1936</v>
      </c>
      <c r="C761" s="27"/>
      <c r="D761" s="27"/>
      <c r="E761" s="27"/>
      <c r="F761" s="31">
        <v>0</v>
      </c>
      <c r="G761" s="31">
        <v>0</v>
      </c>
      <c r="H761" s="31">
        <v>0</v>
      </c>
      <c r="I761" s="31">
        <v>0</v>
      </c>
      <c r="J761" s="31">
        <v>0</v>
      </c>
      <c r="K761" s="31">
        <v>0</v>
      </c>
      <c r="L761" s="31">
        <v>0</v>
      </c>
      <c r="M761" s="31">
        <v>0</v>
      </c>
      <c r="N761" s="31">
        <v>0</v>
      </c>
      <c r="O761" s="31">
        <v>0</v>
      </c>
      <c r="P761" s="27"/>
      <c r="Q761" s="29"/>
      <c r="R761" s="30"/>
    </row>
    <row r="762" spans="1:18" ht="67.5" x14ac:dyDescent="0.25">
      <c r="A762" s="13" t="s">
        <v>1937</v>
      </c>
      <c r="B762" s="14" t="s">
        <v>1938</v>
      </c>
      <c r="C762" s="15" t="s">
        <v>943</v>
      </c>
      <c r="D762" s="15" t="s">
        <v>944</v>
      </c>
      <c r="E762" s="15"/>
      <c r="F762" s="16">
        <f t="shared" ref="F762:O763" si="340">SUM(F763:F763)</f>
        <v>10000</v>
      </c>
      <c r="G762" s="16">
        <f t="shared" si="340"/>
        <v>10000</v>
      </c>
      <c r="H762" s="16">
        <f t="shared" si="340"/>
        <v>0</v>
      </c>
      <c r="I762" s="16">
        <f t="shared" si="340"/>
        <v>0</v>
      </c>
      <c r="J762" s="16">
        <f t="shared" si="340"/>
        <v>0</v>
      </c>
      <c r="K762" s="16">
        <f t="shared" si="340"/>
        <v>0</v>
      </c>
      <c r="L762" s="16">
        <f t="shared" si="340"/>
        <v>0</v>
      </c>
      <c r="M762" s="16">
        <f t="shared" si="340"/>
        <v>0</v>
      </c>
      <c r="N762" s="16">
        <f t="shared" si="340"/>
        <v>0</v>
      </c>
      <c r="O762" s="16">
        <f t="shared" si="340"/>
        <v>0</v>
      </c>
      <c r="P762" s="15" t="s">
        <v>1939</v>
      </c>
      <c r="Q762" s="17" t="s">
        <v>29</v>
      </c>
      <c r="R762" s="18" t="s">
        <v>376</v>
      </c>
    </row>
    <row r="763" spans="1:18" ht="90" x14ac:dyDescent="0.25">
      <c r="A763" s="19" t="s">
        <v>1940</v>
      </c>
      <c r="B763" s="20" t="s">
        <v>1941</v>
      </c>
      <c r="C763" s="21" t="s">
        <v>943</v>
      </c>
      <c r="D763" s="21" t="s">
        <v>944</v>
      </c>
      <c r="E763" s="21" t="s">
        <v>33</v>
      </c>
      <c r="F763" s="22">
        <f t="shared" si="340"/>
        <v>10000</v>
      </c>
      <c r="G763" s="22">
        <f t="shared" si="340"/>
        <v>10000</v>
      </c>
      <c r="H763" s="22">
        <f t="shared" si="340"/>
        <v>0</v>
      </c>
      <c r="I763" s="22">
        <f t="shared" si="340"/>
        <v>0</v>
      </c>
      <c r="J763" s="22">
        <f t="shared" si="340"/>
        <v>0</v>
      </c>
      <c r="K763" s="22">
        <f t="shared" si="340"/>
        <v>0</v>
      </c>
      <c r="L763" s="22">
        <f t="shared" si="340"/>
        <v>0</v>
      </c>
      <c r="M763" s="22">
        <f t="shared" si="340"/>
        <v>0</v>
      </c>
      <c r="N763" s="22">
        <f t="shared" si="340"/>
        <v>0</v>
      </c>
      <c r="O763" s="22">
        <f t="shared" si="340"/>
        <v>0</v>
      </c>
      <c r="P763" s="21" t="s">
        <v>1942</v>
      </c>
      <c r="Q763" s="23" t="s">
        <v>35</v>
      </c>
      <c r="R763" s="24" t="s">
        <v>1943</v>
      </c>
    </row>
    <row r="764" spans="1:18" ht="162.75" x14ac:dyDescent="0.25">
      <c r="A764" s="25" t="s">
        <v>1944</v>
      </c>
      <c r="B764" s="26" t="s">
        <v>1945</v>
      </c>
      <c r="C764" s="27" t="s">
        <v>1946</v>
      </c>
      <c r="D764" s="27" t="s">
        <v>944</v>
      </c>
      <c r="E764" s="27" t="s">
        <v>40</v>
      </c>
      <c r="F764" s="28">
        <f>SUM(F765:F770)+10000</f>
        <v>10000</v>
      </c>
      <c r="G764" s="28">
        <f>SUM(G765:G770)+10000</f>
        <v>10000</v>
      </c>
      <c r="H764" s="28">
        <f t="shared" ref="H764:O764" si="341">SUM(H765:H770)</f>
        <v>0</v>
      </c>
      <c r="I764" s="28">
        <f t="shared" si="341"/>
        <v>0</v>
      </c>
      <c r="J764" s="28">
        <f t="shared" si="341"/>
        <v>0</v>
      </c>
      <c r="K764" s="28">
        <f t="shared" si="341"/>
        <v>0</v>
      </c>
      <c r="L764" s="28">
        <f t="shared" si="341"/>
        <v>0</v>
      </c>
      <c r="M764" s="28">
        <f t="shared" si="341"/>
        <v>0</v>
      </c>
      <c r="N764" s="28">
        <f t="shared" si="341"/>
        <v>0</v>
      </c>
      <c r="O764" s="28">
        <f t="shared" si="341"/>
        <v>0</v>
      </c>
      <c r="P764" s="27" t="s">
        <v>1947</v>
      </c>
      <c r="Q764" s="29" t="s">
        <v>1948</v>
      </c>
      <c r="R764" s="30" t="s">
        <v>250</v>
      </c>
    </row>
    <row r="765" spans="1:18" ht="46.5" x14ac:dyDescent="0.25">
      <c r="A765" s="32"/>
      <c r="B765" s="33"/>
      <c r="C765" s="34"/>
      <c r="D765" s="34"/>
      <c r="E765" s="34"/>
      <c r="F765" s="35">
        <v>0</v>
      </c>
      <c r="G765" s="35">
        <v>0</v>
      </c>
      <c r="H765" s="35">
        <v>0</v>
      </c>
      <c r="I765" s="35">
        <v>0</v>
      </c>
      <c r="J765" s="35">
        <v>0</v>
      </c>
      <c r="K765" s="35">
        <v>0</v>
      </c>
      <c r="L765" s="35">
        <v>0</v>
      </c>
      <c r="M765" s="35">
        <v>0</v>
      </c>
      <c r="N765" s="35">
        <v>0</v>
      </c>
      <c r="O765" s="35">
        <v>0</v>
      </c>
      <c r="P765" s="34" t="s">
        <v>1949</v>
      </c>
      <c r="Q765" s="36" t="s">
        <v>1948</v>
      </c>
      <c r="R765" s="37" t="s">
        <v>1677</v>
      </c>
    </row>
    <row r="766" spans="1:18" ht="46.5" x14ac:dyDescent="0.25">
      <c r="A766" s="32"/>
      <c r="B766" s="33"/>
      <c r="C766" s="34"/>
      <c r="D766" s="34"/>
      <c r="E766" s="34"/>
      <c r="F766" s="35">
        <v>0</v>
      </c>
      <c r="G766" s="35">
        <v>0</v>
      </c>
      <c r="H766" s="35">
        <v>0</v>
      </c>
      <c r="I766" s="35">
        <v>0</v>
      </c>
      <c r="J766" s="35">
        <v>0</v>
      </c>
      <c r="K766" s="35">
        <v>0</v>
      </c>
      <c r="L766" s="35">
        <v>0</v>
      </c>
      <c r="M766" s="35">
        <v>0</v>
      </c>
      <c r="N766" s="35">
        <v>0</v>
      </c>
      <c r="O766" s="35">
        <v>0</v>
      </c>
      <c r="P766" s="34" t="s">
        <v>1950</v>
      </c>
      <c r="Q766" s="36" t="s">
        <v>29</v>
      </c>
      <c r="R766" s="37" t="s">
        <v>169</v>
      </c>
    </row>
    <row r="767" spans="1:18" ht="69.75" x14ac:dyDescent="0.25">
      <c r="A767" s="32"/>
      <c r="B767" s="33"/>
      <c r="C767" s="34"/>
      <c r="D767" s="34"/>
      <c r="E767" s="34"/>
      <c r="F767" s="35">
        <v>0</v>
      </c>
      <c r="G767" s="35">
        <v>0</v>
      </c>
      <c r="H767" s="35">
        <v>0</v>
      </c>
      <c r="I767" s="35">
        <v>0</v>
      </c>
      <c r="J767" s="35">
        <v>0</v>
      </c>
      <c r="K767" s="35">
        <v>0</v>
      </c>
      <c r="L767" s="35">
        <v>0</v>
      </c>
      <c r="M767" s="35">
        <v>0</v>
      </c>
      <c r="N767" s="35">
        <v>0</v>
      </c>
      <c r="O767" s="35">
        <v>0</v>
      </c>
      <c r="P767" s="34" t="s">
        <v>1951</v>
      </c>
      <c r="Q767" s="36" t="s">
        <v>35</v>
      </c>
      <c r="R767" s="37" t="s">
        <v>88</v>
      </c>
    </row>
    <row r="768" spans="1:18" ht="46.5" x14ac:dyDescent="0.25">
      <c r="A768" s="32"/>
      <c r="B768" s="33"/>
      <c r="C768" s="34"/>
      <c r="D768" s="34"/>
      <c r="E768" s="34"/>
      <c r="F768" s="35">
        <v>0</v>
      </c>
      <c r="G768" s="35">
        <v>0</v>
      </c>
      <c r="H768" s="35">
        <v>0</v>
      </c>
      <c r="I768" s="35">
        <v>0</v>
      </c>
      <c r="J768" s="35">
        <v>0</v>
      </c>
      <c r="K768" s="35">
        <v>0</v>
      </c>
      <c r="L768" s="35">
        <v>0</v>
      </c>
      <c r="M768" s="35">
        <v>0</v>
      </c>
      <c r="N768" s="35">
        <v>0</v>
      </c>
      <c r="O768" s="35">
        <v>0</v>
      </c>
      <c r="P768" s="34" t="s">
        <v>1952</v>
      </c>
      <c r="Q768" s="36" t="s">
        <v>35</v>
      </c>
      <c r="R768" s="37" t="s">
        <v>103</v>
      </c>
    </row>
    <row r="769" spans="1:18" ht="46.5" x14ac:dyDescent="0.25">
      <c r="A769" s="32"/>
      <c r="B769" s="33"/>
      <c r="C769" s="34"/>
      <c r="D769" s="34"/>
      <c r="E769" s="34"/>
      <c r="F769" s="35">
        <v>0</v>
      </c>
      <c r="G769" s="35">
        <v>0</v>
      </c>
      <c r="H769" s="35">
        <v>0</v>
      </c>
      <c r="I769" s="35">
        <v>0</v>
      </c>
      <c r="J769" s="35">
        <v>0</v>
      </c>
      <c r="K769" s="35">
        <v>0</v>
      </c>
      <c r="L769" s="35">
        <v>0</v>
      </c>
      <c r="M769" s="35">
        <v>0</v>
      </c>
      <c r="N769" s="35">
        <v>0</v>
      </c>
      <c r="O769" s="35">
        <v>0</v>
      </c>
      <c r="P769" s="34" t="s">
        <v>1953</v>
      </c>
      <c r="Q769" s="36" t="s">
        <v>35</v>
      </c>
      <c r="R769" s="37" t="s">
        <v>48</v>
      </c>
    </row>
    <row r="770" spans="1:18" ht="46.5" x14ac:dyDescent="0.25">
      <c r="A770" s="25" t="s">
        <v>1954</v>
      </c>
      <c r="B770" s="26" t="s">
        <v>1955</v>
      </c>
      <c r="C770" s="27"/>
      <c r="D770" s="27"/>
      <c r="E770" s="27"/>
      <c r="F770" s="31">
        <v>0</v>
      </c>
      <c r="G770" s="31">
        <v>0</v>
      </c>
      <c r="H770" s="31">
        <v>0</v>
      </c>
      <c r="I770" s="31">
        <v>0</v>
      </c>
      <c r="J770" s="31">
        <v>0</v>
      </c>
      <c r="K770" s="31">
        <v>0</v>
      </c>
      <c r="L770" s="31">
        <v>0</v>
      </c>
      <c r="M770" s="31">
        <v>0</v>
      </c>
      <c r="N770" s="31">
        <v>0</v>
      </c>
      <c r="O770" s="31">
        <v>0</v>
      </c>
      <c r="P770" s="27"/>
      <c r="Q770" s="29"/>
      <c r="R770" s="30"/>
    </row>
    <row r="771" spans="1:18" ht="45" x14ac:dyDescent="0.25">
      <c r="A771" s="13" t="s">
        <v>1956</v>
      </c>
      <c r="B771" s="14" t="s">
        <v>1957</v>
      </c>
      <c r="C771" s="15" t="s">
        <v>1423</v>
      </c>
      <c r="D771" s="15" t="s">
        <v>1426</v>
      </c>
      <c r="E771" s="15"/>
      <c r="F771" s="16">
        <f t="shared" ref="F771:O771" si="342">SUM(F772:F772)</f>
        <v>197847</v>
      </c>
      <c r="G771" s="16">
        <f t="shared" si="342"/>
        <v>122447</v>
      </c>
      <c r="H771" s="16">
        <f t="shared" si="342"/>
        <v>0</v>
      </c>
      <c r="I771" s="16">
        <f t="shared" si="342"/>
        <v>0</v>
      </c>
      <c r="J771" s="16">
        <f t="shared" si="342"/>
        <v>75400</v>
      </c>
      <c r="K771" s="16">
        <f t="shared" si="342"/>
        <v>0</v>
      </c>
      <c r="L771" s="16">
        <f t="shared" si="342"/>
        <v>0</v>
      </c>
      <c r="M771" s="16">
        <f t="shared" si="342"/>
        <v>0</v>
      </c>
      <c r="N771" s="16">
        <f t="shared" si="342"/>
        <v>0</v>
      </c>
      <c r="O771" s="16">
        <f t="shared" si="342"/>
        <v>0</v>
      </c>
      <c r="P771" s="15" t="s">
        <v>1958</v>
      </c>
      <c r="Q771" s="17" t="s">
        <v>35</v>
      </c>
      <c r="R771" s="18" t="s">
        <v>86</v>
      </c>
    </row>
    <row r="772" spans="1:18" ht="45" x14ac:dyDescent="0.25">
      <c r="A772" s="19" t="s">
        <v>1959</v>
      </c>
      <c r="B772" s="20" t="s">
        <v>1960</v>
      </c>
      <c r="C772" s="21" t="s">
        <v>1423</v>
      </c>
      <c r="D772" s="21" t="s">
        <v>1426</v>
      </c>
      <c r="E772" s="21" t="s">
        <v>33</v>
      </c>
      <c r="F772" s="22">
        <f t="shared" ref="F772:O772" si="343">F773+F775+F777+F779+F781+F783+F785+F787+F789+F791+F793+F795+F797+F799+F801+F803</f>
        <v>197847</v>
      </c>
      <c r="G772" s="22">
        <f t="shared" si="343"/>
        <v>122447</v>
      </c>
      <c r="H772" s="22">
        <f t="shared" si="343"/>
        <v>0</v>
      </c>
      <c r="I772" s="22">
        <f t="shared" si="343"/>
        <v>0</v>
      </c>
      <c r="J772" s="22">
        <f t="shared" si="343"/>
        <v>75400</v>
      </c>
      <c r="K772" s="22">
        <f t="shared" si="343"/>
        <v>0</v>
      </c>
      <c r="L772" s="22">
        <f t="shared" si="343"/>
        <v>0</v>
      </c>
      <c r="M772" s="22">
        <f t="shared" si="343"/>
        <v>0</v>
      </c>
      <c r="N772" s="22">
        <f t="shared" si="343"/>
        <v>0</v>
      </c>
      <c r="O772" s="22">
        <f t="shared" si="343"/>
        <v>0</v>
      </c>
      <c r="P772" s="21" t="s">
        <v>1961</v>
      </c>
      <c r="Q772" s="23" t="s">
        <v>35</v>
      </c>
      <c r="R772" s="24" t="s">
        <v>86</v>
      </c>
    </row>
    <row r="773" spans="1:18" ht="46.5" x14ac:dyDescent="0.25">
      <c r="A773" s="25" t="s">
        <v>1962</v>
      </c>
      <c r="B773" s="26" t="s">
        <v>1963</v>
      </c>
      <c r="C773" s="27" t="s">
        <v>1423</v>
      </c>
      <c r="D773" s="27" t="s">
        <v>1490</v>
      </c>
      <c r="E773" s="27" t="s">
        <v>40</v>
      </c>
      <c r="F773" s="28">
        <f t="shared" ref="F773:O773" si="344">SUM(F774:F774)</f>
        <v>0</v>
      </c>
      <c r="G773" s="28">
        <f t="shared" si="344"/>
        <v>0</v>
      </c>
      <c r="H773" s="28">
        <f t="shared" si="344"/>
        <v>0</v>
      </c>
      <c r="I773" s="28">
        <f t="shared" si="344"/>
        <v>0</v>
      </c>
      <c r="J773" s="28">
        <f t="shared" si="344"/>
        <v>0</v>
      </c>
      <c r="K773" s="28">
        <f t="shared" si="344"/>
        <v>0</v>
      </c>
      <c r="L773" s="28">
        <f t="shared" si="344"/>
        <v>0</v>
      </c>
      <c r="M773" s="28">
        <f t="shared" si="344"/>
        <v>0</v>
      </c>
      <c r="N773" s="28">
        <f t="shared" si="344"/>
        <v>0</v>
      </c>
      <c r="O773" s="28">
        <f t="shared" si="344"/>
        <v>0</v>
      </c>
      <c r="P773" s="27" t="s">
        <v>1961</v>
      </c>
      <c r="Q773" s="29" t="s">
        <v>35</v>
      </c>
      <c r="R773" s="30" t="s">
        <v>86</v>
      </c>
    </row>
    <row r="774" spans="1:18" ht="46.5" x14ac:dyDescent="0.25">
      <c r="A774" s="25" t="s">
        <v>1964</v>
      </c>
      <c r="B774" s="26" t="s">
        <v>1965</v>
      </c>
      <c r="C774" s="27"/>
      <c r="D774" s="27"/>
      <c r="E774" s="27"/>
      <c r="F774" s="31">
        <v>0</v>
      </c>
      <c r="G774" s="31">
        <v>0</v>
      </c>
      <c r="H774" s="31">
        <v>0</v>
      </c>
      <c r="I774" s="31">
        <v>0</v>
      </c>
      <c r="J774" s="31">
        <v>0</v>
      </c>
      <c r="K774" s="31">
        <v>0</v>
      </c>
      <c r="L774" s="31">
        <v>0</v>
      </c>
      <c r="M774" s="31">
        <v>0</v>
      </c>
      <c r="N774" s="31">
        <v>0</v>
      </c>
      <c r="O774" s="31">
        <v>0</v>
      </c>
      <c r="P774" s="27"/>
      <c r="Q774" s="29"/>
      <c r="R774" s="30"/>
    </row>
    <row r="775" spans="1:18" ht="93" x14ac:dyDescent="0.25">
      <c r="A775" s="25" t="s">
        <v>1966</v>
      </c>
      <c r="B775" s="26" t="s">
        <v>1967</v>
      </c>
      <c r="C775" s="27" t="s">
        <v>1423</v>
      </c>
      <c r="D775" s="27" t="s">
        <v>1490</v>
      </c>
      <c r="E775" s="27" t="s">
        <v>40</v>
      </c>
      <c r="F775" s="28">
        <f>SUM(F776:F776)+40000</f>
        <v>40000</v>
      </c>
      <c r="G775" s="28">
        <f>SUM(G776:G776)+40000</f>
        <v>40000</v>
      </c>
      <c r="H775" s="28">
        <f t="shared" ref="H775:O775" si="345">SUM(H776:H776)</f>
        <v>0</v>
      </c>
      <c r="I775" s="28">
        <f t="shared" si="345"/>
        <v>0</v>
      </c>
      <c r="J775" s="28">
        <f t="shared" si="345"/>
        <v>0</v>
      </c>
      <c r="K775" s="28">
        <f t="shared" si="345"/>
        <v>0</v>
      </c>
      <c r="L775" s="28">
        <f t="shared" si="345"/>
        <v>0</v>
      </c>
      <c r="M775" s="28">
        <f t="shared" si="345"/>
        <v>0</v>
      </c>
      <c r="N775" s="28">
        <f t="shared" si="345"/>
        <v>0</v>
      </c>
      <c r="O775" s="28">
        <f t="shared" si="345"/>
        <v>0</v>
      </c>
      <c r="P775" s="27" t="s">
        <v>1968</v>
      </c>
      <c r="Q775" s="29" t="s">
        <v>35</v>
      </c>
      <c r="R775" s="30" t="s">
        <v>830</v>
      </c>
    </row>
    <row r="776" spans="1:18" ht="116.25" x14ac:dyDescent="0.25">
      <c r="A776" s="25" t="s">
        <v>1969</v>
      </c>
      <c r="B776" s="26" t="s">
        <v>1970</v>
      </c>
      <c r="C776" s="27"/>
      <c r="D776" s="27"/>
      <c r="E776" s="27"/>
      <c r="F776" s="31">
        <v>0</v>
      </c>
      <c r="G776" s="31">
        <v>0</v>
      </c>
      <c r="H776" s="31">
        <v>0</v>
      </c>
      <c r="I776" s="31">
        <v>0</v>
      </c>
      <c r="J776" s="31">
        <v>0</v>
      </c>
      <c r="K776" s="31">
        <v>0</v>
      </c>
      <c r="L776" s="31">
        <v>0</v>
      </c>
      <c r="M776" s="31">
        <v>0</v>
      </c>
      <c r="N776" s="31">
        <v>0</v>
      </c>
      <c r="O776" s="31">
        <v>0</v>
      </c>
      <c r="P776" s="27"/>
      <c r="Q776" s="29"/>
      <c r="R776" s="30"/>
    </row>
    <row r="777" spans="1:18" ht="69.75" x14ac:dyDescent="0.25">
      <c r="A777" s="25" t="s">
        <v>1971</v>
      </c>
      <c r="B777" s="26" t="s">
        <v>1972</v>
      </c>
      <c r="C777" s="27" t="s">
        <v>1423</v>
      </c>
      <c r="D777" s="27" t="s">
        <v>1490</v>
      </c>
      <c r="E777" s="27" t="s">
        <v>40</v>
      </c>
      <c r="F777" s="28">
        <f>SUM(F778:F778)+10886</f>
        <v>10886</v>
      </c>
      <c r="G777" s="28">
        <f>SUM(G778:G778)+5686</f>
        <v>5686</v>
      </c>
      <c r="H777" s="28">
        <f>SUM(H778:H778)</f>
        <v>0</v>
      </c>
      <c r="I777" s="28">
        <f>SUM(I778:I778)</f>
        <v>0</v>
      </c>
      <c r="J777" s="28">
        <f>SUM(J778:J778)+5200</f>
        <v>5200</v>
      </c>
      <c r="K777" s="28">
        <f>SUM(K778:K778)</f>
        <v>0</v>
      </c>
      <c r="L777" s="28">
        <f>SUM(L778:L778)</f>
        <v>0</v>
      </c>
      <c r="M777" s="28">
        <f>SUM(M778:M778)</f>
        <v>0</v>
      </c>
      <c r="N777" s="28">
        <f>SUM(N778:N778)</f>
        <v>0</v>
      </c>
      <c r="O777" s="28">
        <f>SUM(O778:O778)</f>
        <v>0</v>
      </c>
      <c r="P777" s="27" t="s">
        <v>1961</v>
      </c>
      <c r="Q777" s="29" t="s">
        <v>35</v>
      </c>
      <c r="R777" s="30" t="s">
        <v>36</v>
      </c>
    </row>
    <row r="778" spans="1:18" ht="69.75" x14ac:dyDescent="0.25">
      <c r="A778" s="25" t="s">
        <v>1973</v>
      </c>
      <c r="B778" s="26" t="s">
        <v>1974</v>
      </c>
      <c r="C778" s="27"/>
      <c r="D778" s="27"/>
      <c r="E778" s="27"/>
      <c r="F778" s="31">
        <v>0</v>
      </c>
      <c r="G778" s="31">
        <v>0</v>
      </c>
      <c r="H778" s="31">
        <v>0</v>
      </c>
      <c r="I778" s="31">
        <v>0</v>
      </c>
      <c r="J778" s="31">
        <v>0</v>
      </c>
      <c r="K778" s="31">
        <v>0</v>
      </c>
      <c r="L778" s="31">
        <v>0</v>
      </c>
      <c r="M778" s="31">
        <v>0</v>
      </c>
      <c r="N778" s="31">
        <v>0</v>
      </c>
      <c r="O778" s="31">
        <v>0</v>
      </c>
      <c r="P778" s="27"/>
      <c r="Q778" s="29"/>
      <c r="R778" s="30"/>
    </row>
    <row r="779" spans="1:18" ht="69.75" x14ac:dyDescent="0.25">
      <c r="A779" s="25" t="s">
        <v>1975</v>
      </c>
      <c r="B779" s="26" t="s">
        <v>1976</v>
      </c>
      <c r="C779" s="27" t="s">
        <v>1423</v>
      </c>
      <c r="D779" s="27" t="s">
        <v>1490</v>
      </c>
      <c r="E779" s="27" t="s">
        <v>40</v>
      </c>
      <c r="F779" s="28">
        <f>SUM(F780:F780)+21772</f>
        <v>21772</v>
      </c>
      <c r="G779" s="28">
        <f>SUM(G780:G780)+11372</f>
        <v>11372</v>
      </c>
      <c r="H779" s="28">
        <f>SUM(H780:H780)</f>
        <v>0</v>
      </c>
      <c r="I779" s="28">
        <f>SUM(I780:I780)</f>
        <v>0</v>
      </c>
      <c r="J779" s="28">
        <f>SUM(J780:J780)+10400</f>
        <v>10400</v>
      </c>
      <c r="K779" s="28">
        <f>SUM(K780:K780)</f>
        <v>0</v>
      </c>
      <c r="L779" s="28">
        <f>SUM(L780:L780)</f>
        <v>0</v>
      </c>
      <c r="M779" s="28">
        <f>SUM(M780:M780)</f>
        <v>0</v>
      </c>
      <c r="N779" s="28">
        <f>SUM(N780:N780)</f>
        <v>0</v>
      </c>
      <c r="O779" s="28">
        <f>SUM(O780:O780)</f>
        <v>0</v>
      </c>
      <c r="P779" s="27" t="s">
        <v>1961</v>
      </c>
      <c r="Q779" s="29" t="s">
        <v>35</v>
      </c>
      <c r="R779" s="30" t="s">
        <v>68</v>
      </c>
    </row>
    <row r="780" spans="1:18" ht="69.75" x14ac:dyDescent="0.25">
      <c r="A780" s="25" t="s">
        <v>1977</v>
      </c>
      <c r="B780" s="26" t="s">
        <v>1974</v>
      </c>
      <c r="C780" s="27"/>
      <c r="D780" s="27"/>
      <c r="E780" s="27"/>
      <c r="F780" s="31">
        <v>0</v>
      </c>
      <c r="G780" s="31">
        <v>0</v>
      </c>
      <c r="H780" s="31">
        <v>0</v>
      </c>
      <c r="I780" s="31">
        <v>0</v>
      </c>
      <c r="J780" s="31">
        <v>0</v>
      </c>
      <c r="K780" s="31">
        <v>0</v>
      </c>
      <c r="L780" s="31">
        <v>0</v>
      </c>
      <c r="M780" s="31">
        <v>0</v>
      </c>
      <c r="N780" s="31">
        <v>0</v>
      </c>
      <c r="O780" s="31">
        <v>0</v>
      </c>
      <c r="P780" s="27"/>
      <c r="Q780" s="29"/>
      <c r="R780" s="30"/>
    </row>
    <row r="781" spans="1:18" ht="69.75" x14ac:dyDescent="0.25">
      <c r="A781" s="25" t="s">
        <v>1978</v>
      </c>
      <c r="B781" s="26" t="s">
        <v>1979</v>
      </c>
      <c r="C781" s="27" t="s">
        <v>1423</v>
      </c>
      <c r="D781" s="27" t="s">
        <v>1490</v>
      </c>
      <c r="E781" s="27" t="s">
        <v>40</v>
      </c>
      <c r="F781" s="28">
        <f>SUM(F782:F782)+10886</f>
        <v>10886</v>
      </c>
      <c r="G781" s="28">
        <f>SUM(G782:G782)+5686</f>
        <v>5686</v>
      </c>
      <c r="H781" s="28">
        <f>SUM(H782:H782)</f>
        <v>0</v>
      </c>
      <c r="I781" s="28">
        <f>SUM(I782:I782)</f>
        <v>0</v>
      </c>
      <c r="J781" s="28">
        <f>SUM(J782:J782)+5200</f>
        <v>5200</v>
      </c>
      <c r="K781" s="28">
        <f>SUM(K782:K782)</f>
        <v>0</v>
      </c>
      <c r="L781" s="28">
        <f>SUM(L782:L782)</f>
        <v>0</v>
      </c>
      <c r="M781" s="28">
        <f>SUM(M782:M782)</f>
        <v>0</v>
      </c>
      <c r="N781" s="28">
        <f>SUM(N782:N782)</f>
        <v>0</v>
      </c>
      <c r="O781" s="28">
        <f>SUM(O782:O782)</f>
        <v>0</v>
      </c>
      <c r="P781" s="27" t="s">
        <v>1961</v>
      </c>
      <c r="Q781" s="29" t="s">
        <v>35</v>
      </c>
      <c r="R781" s="30" t="s">
        <v>36</v>
      </c>
    </row>
    <row r="782" spans="1:18" ht="69.75" x14ac:dyDescent="0.25">
      <c r="A782" s="25" t="s">
        <v>1980</v>
      </c>
      <c r="B782" s="26" t="s">
        <v>1974</v>
      </c>
      <c r="C782" s="27"/>
      <c r="D782" s="27"/>
      <c r="E782" s="27"/>
      <c r="F782" s="31">
        <v>0</v>
      </c>
      <c r="G782" s="31">
        <v>0</v>
      </c>
      <c r="H782" s="31">
        <v>0</v>
      </c>
      <c r="I782" s="31">
        <v>0</v>
      </c>
      <c r="J782" s="31">
        <v>0</v>
      </c>
      <c r="K782" s="31">
        <v>0</v>
      </c>
      <c r="L782" s="31">
        <v>0</v>
      </c>
      <c r="M782" s="31">
        <v>0</v>
      </c>
      <c r="N782" s="31">
        <v>0</v>
      </c>
      <c r="O782" s="31">
        <v>0</v>
      </c>
      <c r="P782" s="27"/>
      <c r="Q782" s="29"/>
      <c r="R782" s="30"/>
    </row>
    <row r="783" spans="1:18" ht="69.75" x14ac:dyDescent="0.25">
      <c r="A783" s="25" t="s">
        <v>1981</v>
      </c>
      <c r="B783" s="26" t="s">
        <v>1982</v>
      </c>
      <c r="C783" s="27" t="s">
        <v>1423</v>
      </c>
      <c r="D783" s="27" t="s">
        <v>1490</v>
      </c>
      <c r="E783" s="27" t="s">
        <v>40</v>
      </c>
      <c r="F783" s="28">
        <f>SUM(F784:F784)+10886</f>
        <v>10886</v>
      </c>
      <c r="G783" s="28">
        <f>SUM(G784:G784)+5686</f>
        <v>5686</v>
      </c>
      <c r="H783" s="28">
        <f>SUM(H784:H784)</f>
        <v>0</v>
      </c>
      <c r="I783" s="28">
        <f>SUM(I784:I784)</f>
        <v>0</v>
      </c>
      <c r="J783" s="28">
        <f>SUM(J784:J784)+5200</f>
        <v>5200</v>
      </c>
      <c r="K783" s="28">
        <f>SUM(K784:K784)</f>
        <v>0</v>
      </c>
      <c r="L783" s="28">
        <f>SUM(L784:L784)</f>
        <v>0</v>
      </c>
      <c r="M783" s="28">
        <f>SUM(M784:M784)</f>
        <v>0</v>
      </c>
      <c r="N783" s="28">
        <f>SUM(N784:N784)</f>
        <v>0</v>
      </c>
      <c r="O783" s="28">
        <f>SUM(O784:O784)</f>
        <v>0</v>
      </c>
      <c r="P783" s="27" t="s">
        <v>1961</v>
      </c>
      <c r="Q783" s="29" t="s">
        <v>35</v>
      </c>
      <c r="R783" s="30" t="s">
        <v>36</v>
      </c>
    </row>
    <row r="784" spans="1:18" ht="69.75" x14ac:dyDescent="0.25">
      <c r="A784" s="25" t="s">
        <v>1983</v>
      </c>
      <c r="B784" s="26" t="s">
        <v>1974</v>
      </c>
      <c r="C784" s="27"/>
      <c r="D784" s="27"/>
      <c r="E784" s="27"/>
      <c r="F784" s="31">
        <v>0</v>
      </c>
      <c r="G784" s="31">
        <v>0</v>
      </c>
      <c r="H784" s="31">
        <v>0</v>
      </c>
      <c r="I784" s="31">
        <v>0</v>
      </c>
      <c r="J784" s="31">
        <v>0</v>
      </c>
      <c r="K784" s="31">
        <v>0</v>
      </c>
      <c r="L784" s="31">
        <v>0</v>
      </c>
      <c r="M784" s="31">
        <v>0</v>
      </c>
      <c r="N784" s="31">
        <v>0</v>
      </c>
      <c r="O784" s="31">
        <v>0</v>
      </c>
      <c r="P784" s="27"/>
      <c r="Q784" s="29"/>
      <c r="R784" s="30"/>
    </row>
    <row r="785" spans="1:18" ht="69.75" x14ac:dyDescent="0.25">
      <c r="A785" s="25" t="s">
        <v>1984</v>
      </c>
      <c r="B785" s="26" t="s">
        <v>1985</v>
      </c>
      <c r="C785" s="27" t="s">
        <v>1423</v>
      </c>
      <c r="D785" s="27" t="s">
        <v>1490</v>
      </c>
      <c r="E785" s="27" t="s">
        <v>40</v>
      </c>
      <c r="F785" s="28">
        <f>SUM(F786:F786)+10886</f>
        <v>10886</v>
      </c>
      <c r="G785" s="28">
        <f>SUM(G786:G786)+5686</f>
        <v>5686</v>
      </c>
      <c r="H785" s="28">
        <f>SUM(H786:H786)</f>
        <v>0</v>
      </c>
      <c r="I785" s="28">
        <f>SUM(I786:I786)</f>
        <v>0</v>
      </c>
      <c r="J785" s="28">
        <f>SUM(J786:J786)+5200</f>
        <v>5200</v>
      </c>
      <c r="K785" s="28">
        <f>SUM(K786:K786)</f>
        <v>0</v>
      </c>
      <c r="L785" s="28">
        <f>SUM(L786:L786)</f>
        <v>0</v>
      </c>
      <c r="M785" s="28">
        <f>SUM(M786:M786)</f>
        <v>0</v>
      </c>
      <c r="N785" s="28">
        <f>SUM(N786:N786)</f>
        <v>0</v>
      </c>
      <c r="O785" s="28">
        <f>SUM(O786:O786)</f>
        <v>0</v>
      </c>
      <c r="P785" s="27" t="s">
        <v>1961</v>
      </c>
      <c r="Q785" s="29" t="s">
        <v>35</v>
      </c>
      <c r="R785" s="30" t="s">
        <v>36</v>
      </c>
    </row>
    <row r="786" spans="1:18" ht="69.75" x14ac:dyDescent="0.25">
      <c r="A786" s="25" t="s">
        <v>1986</v>
      </c>
      <c r="B786" s="26" t="s">
        <v>1974</v>
      </c>
      <c r="C786" s="27"/>
      <c r="D786" s="27"/>
      <c r="E786" s="27"/>
      <c r="F786" s="31">
        <v>0</v>
      </c>
      <c r="G786" s="31">
        <v>0</v>
      </c>
      <c r="H786" s="31">
        <v>0</v>
      </c>
      <c r="I786" s="31">
        <v>0</v>
      </c>
      <c r="J786" s="31">
        <v>0</v>
      </c>
      <c r="K786" s="31">
        <v>0</v>
      </c>
      <c r="L786" s="31">
        <v>0</v>
      </c>
      <c r="M786" s="31">
        <v>0</v>
      </c>
      <c r="N786" s="31">
        <v>0</v>
      </c>
      <c r="O786" s="31">
        <v>0</v>
      </c>
      <c r="P786" s="27"/>
      <c r="Q786" s="29"/>
      <c r="R786" s="30"/>
    </row>
    <row r="787" spans="1:18" ht="69.75" x14ac:dyDescent="0.25">
      <c r="A787" s="25" t="s">
        <v>1987</v>
      </c>
      <c r="B787" s="26" t="s">
        <v>1988</v>
      </c>
      <c r="C787" s="27" t="s">
        <v>1423</v>
      </c>
      <c r="D787" s="27" t="s">
        <v>1490</v>
      </c>
      <c r="E787" s="27" t="s">
        <v>40</v>
      </c>
      <c r="F787" s="28">
        <f>SUM(F788:F788)+10886</f>
        <v>10886</v>
      </c>
      <c r="G787" s="28">
        <f>SUM(G788:G788)+5686</f>
        <v>5686</v>
      </c>
      <c r="H787" s="28">
        <f>SUM(H788:H788)</f>
        <v>0</v>
      </c>
      <c r="I787" s="28">
        <f>SUM(I788:I788)</f>
        <v>0</v>
      </c>
      <c r="J787" s="28">
        <f>SUM(J788:J788)+5200</f>
        <v>5200</v>
      </c>
      <c r="K787" s="28">
        <f>SUM(K788:K788)</f>
        <v>0</v>
      </c>
      <c r="L787" s="28">
        <f>SUM(L788:L788)</f>
        <v>0</v>
      </c>
      <c r="M787" s="28">
        <f>SUM(M788:M788)</f>
        <v>0</v>
      </c>
      <c r="N787" s="28">
        <f>SUM(N788:N788)</f>
        <v>0</v>
      </c>
      <c r="O787" s="28">
        <f>SUM(O788:O788)</f>
        <v>0</v>
      </c>
      <c r="P787" s="27" t="s">
        <v>1961</v>
      </c>
      <c r="Q787" s="29" t="s">
        <v>35</v>
      </c>
      <c r="R787" s="30" t="s">
        <v>36</v>
      </c>
    </row>
    <row r="788" spans="1:18" ht="69.75" x14ac:dyDescent="0.25">
      <c r="A788" s="25" t="s">
        <v>1989</v>
      </c>
      <c r="B788" s="26" t="s">
        <v>1974</v>
      </c>
      <c r="C788" s="27"/>
      <c r="D788" s="27"/>
      <c r="E788" s="27"/>
      <c r="F788" s="31">
        <v>0</v>
      </c>
      <c r="G788" s="31">
        <v>0</v>
      </c>
      <c r="H788" s="31">
        <v>0</v>
      </c>
      <c r="I788" s="31">
        <v>0</v>
      </c>
      <c r="J788" s="31">
        <v>0</v>
      </c>
      <c r="K788" s="31">
        <v>0</v>
      </c>
      <c r="L788" s="31">
        <v>0</v>
      </c>
      <c r="M788" s="31">
        <v>0</v>
      </c>
      <c r="N788" s="31">
        <v>0</v>
      </c>
      <c r="O788" s="31">
        <v>0</v>
      </c>
      <c r="P788" s="27"/>
      <c r="Q788" s="29"/>
      <c r="R788" s="30"/>
    </row>
    <row r="789" spans="1:18" ht="69.75" x14ac:dyDescent="0.25">
      <c r="A789" s="25" t="s">
        <v>1990</v>
      </c>
      <c r="B789" s="26" t="s">
        <v>1991</v>
      </c>
      <c r="C789" s="27" t="s">
        <v>1423</v>
      </c>
      <c r="D789" s="27" t="s">
        <v>1490</v>
      </c>
      <c r="E789" s="27" t="s">
        <v>40</v>
      </c>
      <c r="F789" s="28">
        <f>SUM(F790:F790)+10886</f>
        <v>10886</v>
      </c>
      <c r="G789" s="28">
        <f>SUM(G790:G790)+5686</f>
        <v>5686</v>
      </c>
      <c r="H789" s="28">
        <f>SUM(H790:H790)</f>
        <v>0</v>
      </c>
      <c r="I789" s="28">
        <f>SUM(I790:I790)</f>
        <v>0</v>
      </c>
      <c r="J789" s="28">
        <f>SUM(J790:J790)+5200</f>
        <v>5200</v>
      </c>
      <c r="K789" s="28">
        <f>SUM(K790:K790)</f>
        <v>0</v>
      </c>
      <c r="L789" s="28">
        <f>SUM(L790:L790)</f>
        <v>0</v>
      </c>
      <c r="M789" s="28">
        <f>SUM(M790:M790)</f>
        <v>0</v>
      </c>
      <c r="N789" s="28">
        <f>SUM(N790:N790)</f>
        <v>0</v>
      </c>
      <c r="O789" s="28">
        <f>SUM(O790:O790)</f>
        <v>0</v>
      </c>
      <c r="P789" s="27" t="s">
        <v>1961</v>
      </c>
      <c r="Q789" s="29" t="s">
        <v>35</v>
      </c>
      <c r="R789" s="30" t="s">
        <v>36</v>
      </c>
    </row>
    <row r="790" spans="1:18" ht="69.75" x14ac:dyDescent="0.25">
      <c r="A790" s="25" t="s">
        <v>1992</v>
      </c>
      <c r="B790" s="26" t="s">
        <v>1974</v>
      </c>
      <c r="C790" s="27"/>
      <c r="D790" s="27"/>
      <c r="E790" s="27"/>
      <c r="F790" s="31">
        <v>0</v>
      </c>
      <c r="G790" s="31">
        <v>0</v>
      </c>
      <c r="H790" s="31">
        <v>0</v>
      </c>
      <c r="I790" s="31">
        <v>0</v>
      </c>
      <c r="J790" s="31">
        <v>0</v>
      </c>
      <c r="K790" s="31">
        <v>0</v>
      </c>
      <c r="L790" s="31">
        <v>0</v>
      </c>
      <c r="M790" s="31">
        <v>0</v>
      </c>
      <c r="N790" s="31">
        <v>0</v>
      </c>
      <c r="O790" s="31">
        <v>0</v>
      </c>
      <c r="P790" s="27"/>
      <c r="Q790" s="29"/>
      <c r="R790" s="30"/>
    </row>
    <row r="791" spans="1:18" ht="69.75" x14ac:dyDescent="0.25">
      <c r="A791" s="25" t="s">
        <v>1993</v>
      </c>
      <c r="B791" s="26" t="s">
        <v>1994</v>
      </c>
      <c r="C791" s="27" t="s">
        <v>1423</v>
      </c>
      <c r="D791" s="27" t="s">
        <v>1490</v>
      </c>
      <c r="E791" s="27" t="s">
        <v>40</v>
      </c>
      <c r="F791" s="28">
        <f>SUM(F792:F792)+10886</f>
        <v>10886</v>
      </c>
      <c r="G791" s="28">
        <f>SUM(G792:G792)+5686</f>
        <v>5686</v>
      </c>
      <c r="H791" s="28">
        <f>SUM(H792:H792)</f>
        <v>0</v>
      </c>
      <c r="I791" s="28">
        <f>SUM(I792:I792)</f>
        <v>0</v>
      </c>
      <c r="J791" s="28">
        <f>SUM(J792:J792)+5200</f>
        <v>5200</v>
      </c>
      <c r="K791" s="28">
        <f>SUM(K792:K792)</f>
        <v>0</v>
      </c>
      <c r="L791" s="28">
        <f>SUM(L792:L792)</f>
        <v>0</v>
      </c>
      <c r="M791" s="28">
        <f>SUM(M792:M792)</f>
        <v>0</v>
      </c>
      <c r="N791" s="28">
        <f>SUM(N792:N792)</f>
        <v>0</v>
      </c>
      <c r="O791" s="28">
        <f>SUM(O792:O792)</f>
        <v>0</v>
      </c>
      <c r="P791" s="27" t="s">
        <v>1961</v>
      </c>
      <c r="Q791" s="29" t="s">
        <v>35</v>
      </c>
      <c r="R791" s="30" t="s">
        <v>36</v>
      </c>
    </row>
    <row r="792" spans="1:18" ht="69.75" x14ac:dyDescent="0.25">
      <c r="A792" s="25" t="s">
        <v>1995</v>
      </c>
      <c r="B792" s="26" t="s">
        <v>1974</v>
      </c>
      <c r="C792" s="27"/>
      <c r="D792" s="27"/>
      <c r="E792" s="27"/>
      <c r="F792" s="31">
        <v>0</v>
      </c>
      <c r="G792" s="31">
        <v>0</v>
      </c>
      <c r="H792" s="31">
        <v>0</v>
      </c>
      <c r="I792" s="31">
        <v>0</v>
      </c>
      <c r="J792" s="31">
        <v>0</v>
      </c>
      <c r="K792" s="31">
        <v>0</v>
      </c>
      <c r="L792" s="31">
        <v>0</v>
      </c>
      <c r="M792" s="31">
        <v>0</v>
      </c>
      <c r="N792" s="31">
        <v>0</v>
      </c>
      <c r="O792" s="31">
        <v>0</v>
      </c>
      <c r="P792" s="27"/>
      <c r="Q792" s="29"/>
      <c r="R792" s="30"/>
    </row>
    <row r="793" spans="1:18" ht="69.75" x14ac:dyDescent="0.25">
      <c r="A793" s="25" t="s">
        <v>1996</v>
      </c>
      <c r="B793" s="26" t="s">
        <v>1997</v>
      </c>
      <c r="C793" s="27" t="s">
        <v>1423</v>
      </c>
      <c r="D793" s="27" t="s">
        <v>1490</v>
      </c>
      <c r="E793" s="27" t="s">
        <v>40</v>
      </c>
      <c r="F793" s="28">
        <f>SUM(F794:F794)+5443</f>
        <v>5443</v>
      </c>
      <c r="G793" s="28">
        <f>SUM(G794:G794)+2843</f>
        <v>2843</v>
      </c>
      <c r="H793" s="28">
        <f>SUM(H794:H794)</f>
        <v>0</v>
      </c>
      <c r="I793" s="28">
        <f>SUM(I794:I794)</f>
        <v>0</v>
      </c>
      <c r="J793" s="28">
        <f>SUM(J794:J794)+2600</f>
        <v>2600</v>
      </c>
      <c r="K793" s="28">
        <f>SUM(K794:K794)</f>
        <v>0</v>
      </c>
      <c r="L793" s="28">
        <f>SUM(L794:L794)</f>
        <v>0</v>
      </c>
      <c r="M793" s="28">
        <f>SUM(M794:M794)</f>
        <v>0</v>
      </c>
      <c r="N793" s="28">
        <f>SUM(N794:N794)</f>
        <v>0</v>
      </c>
      <c r="O793" s="28">
        <f>SUM(O794:O794)</f>
        <v>0</v>
      </c>
      <c r="P793" s="27" t="s">
        <v>1961</v>
      </c>
      <c r="Q793" s="29" t="s">
        <v>35</v>
      </c>
      <c r="R793" s="30" t="s">
        <v>48</v>
      </c>
    </row>
    <row r="794" spans="1:18" ht="69.75" x14ac:dyDescent="0.25">
      <c r="A794" s="25" t="s">
        <v>1998</v>
      </c>
      <c r="B794" s="26" t="s">
        <v>1974</v>
      </c>
      <c r="C794" s="27"/>
      <c r="D794" s="27"/>
      <c r="E794" s="27"/>
      <c r="F794" s="31">
        <v>0</v>
      </c>
      <c r="G794" s="31">
        <v>0</v>
      </c>
      <c r="H794" s="31">
        <v>0</v>
      </c>
      <c r="I794" s="31">
        <v>0</v>
      </c>
      <c r="J794" s="31">
        <v>0</v>
      </c>
      <c r="K794" s="31">
        <v>0</v>
      </c>
      <c r="L794" s="31">
        <v>0</v>
      </c>
      <c r="M794" s="31">
        <v>0</v>
      </c>
      <c r="N794" s="31">
        <v>0</v>
      </c>
      <c r="O794" s="31">
        <v>0</v>
      </c>
      <c r="P794" s="27"/>
      <c r="Q794" s="29"/>
      <c r="R794" s="30"/>
    </row>
    <row r="795" spans="1:18" ht="69.75" x14ac:dyDescent="0.25">
      <c r="A795" s="25" t="s">
        <v>1999</v>
      </c>
      <c r="B795" s="26" t="s">
        <v>2000</v>
      </c>
      <c r="C795" s="27" t="s">
        <v>1423</v>
      </c>
      <c r="D795" s="27" t="s">
        <v>1490</v>
      </c>
      <c r="E795" s="27" t="s">
        <v>40</v>
      </c>
      <c r="F795" s="28">
        <f>SUM(F796:F796)+5443</f>
        <v>5443</v>
      </c>
      <c r="G795" s="28">
        <f>SUM(G796:G796)+2843</f>
        <v>2843</v>
      </c>
      <c r="H795" s="28">
        <f>SUM(H796:H796)</f>
        <v>0</v>
      </c>
      <c r="I795" s="28">
        <f>SUM(I796:I796)</f>
        <v>0</v>
      </c>
      <c r="J795" s="28">
        <f>SUM(J796:J796)+2600</f>
        <v>2600</v>
      </c>
      <c r="K795" s="28">
        <f>SUM(K796:K796)</f>
        <v>0</v>
      </c>
      <c r="L795" s="28">
        <f>SUM(L796:L796)</f>
        <v>0</v>
      </c>
      <c r="M795" s="28">
        <f>SUM(M796:M796)</f>
        <v>0</v>
      </c>
      <c r="N795" s="28">
        <f>SUM(N796:N796)</f>
        <v>0</v>
      </c>
      <c r="O795" s="28">
        <f>SUM(O796:O796)</f>
        <v>0</v>
      </c>
      <c r="P795" s="27" t="s">
        <v>1961</v>
      </c>
      <c r="Q795" s="29" t="s">
        <v>35</v>
      </c>
      <c r="R795" s="30" t="s">
        <v>48</v>
      </c>
    </row>
    <row r="796" spans="1:18" ht="69.75" x14ac:dyDescent="0.25">
      <c r="A796" s="25" t="s">
        <v>2001</v>
      </c>
      <c r="B796" s="26" t="s">
        <v>1974</v>
      </c>
      <c r="C796" s="27"/>
      <c r="D796" s="27"/>
      <c r="E796" s="27"/>
      <c r="F796" s="31">
        <v>0</v>
      </c>
      <c r="G796" s="31">
        <v>0</v>
      </c>
      <c r="H796" s="31">
        <v>0</v>
      </c>
      <c r="I796" s="31">
        <v>0</v>
      </c>
      <c r="J796" s="31">
        <v>0</v>
      </c>
      <c r="K796" s="31">
        <v>0</v>
      </c>
      <c r="L796" s="31">
        <v>0</v>
      </c>
      <c r="M796" s="31">
        <v>0</v>
      </c>
      <c r="N796" s="31">
        <v>0</v>
      </c>
      <c r="O796" s="31">
        <v>0</v>
      </c>
      <c r="P796" s="27"/>
      <c r="Q796" s="29"/>
      <c r="R796" s="30"/>
    </row>
    <row r="797" spans="1:18" ht="69.75" x14ac:dyDescent="0.25">
      <c r="A797" s="25" t="s">
        <v>2002</v>
      </c>
      <c r="B797" s="26" t="s">
        <v>2003</v>
      </c>
      <c r="C797" s="27" t="s">
        <v>1423</v>
      </c>
      <c r="D797" s="27" t="s">
        <v>1490</v>
      </c>
      <c r="E797" s="27" t="s">
        <v>40</v>
      </c>
      <c r="F797" s="28">
        <f>SUM(F798:F798)+5443</f>
        <v>5443</v>
      </c>
      <c r="G797" s="28">
        <f>SUM(G798:G798)+2843</f>
        <v>2843</v>
      </c>
      <c r="H797" s="28">
        <f>SUM(H798:H798)</f>
        <v>0</v>
      </c>
      <c r="I797" s="28">
        <f>SUM(I798:I798)</f>
        <v>0</v>
      </c>
      <c r="J797" s="28">
        <f>SUM(J798:J798)+2600</f>
        <v>2600</v>
      </c>
      <c r="K797" s="28">
        <f>SUM(K798:K798)</f>
        <v>0</v>
      </c>
      <c r="L797" s="28">
        <f>SUM(L798:L798)</f>
        <v>0</v>
      </c>
      <c r="M797" s="28">
        <f>SUM(M798:M798)</f>
        <v>0</v>
      </c>
      <c r="N797" s="28">
        <f>SUM(N798:N798)</f>
        <v>0</v>
      </c>
      <c r="O797" s="28">
        <f>SUM(O798:O798)</f>
        <v>0</v>
      </c>
      <c r="P797" s="27" t="s">
        <v>1961</v>
      </c>
      <c r="Q797" s="29" t="s">
        <v>35</v>
      </c>
      <c r="R797" s="30" t="s">
        <v>48</v>
      </c>
    </row>
    <row r="798" spans="1:18" ht="69.75" x14ac:dyDescent="0.25">
      <c r="A798" s="25" t="s">
        <v>2004</v>
      </c>
      <c r="B798" s="26" t="s">
        <v>1974</v>
      </c>
      <c r="C798" s="27"/>
      <c r="D798" s="27"/>
      <c r="E798" s="27"/>
      <c r="F798" s="31">
        <v>0</v>
      </c>
      <c r="G798" s="31">
        <v>0</v>
      </c>
      <c r="H798" s="31">
        <v>0</v>
      </c>
      <c r="I798" s="31">
        <v>0</v>
      </c>
      <c r="J798" s="31">
        <v>0</v>
      </c>
      <c r="K798" s="31">
        <v>0</v>
      </c>
      <c r="L798" s="31">
        <v>0</v>
      </c>
      <c r="M798" s="31">
        <v>0</v>
      </c>
      <c r="N798" s="31">
        <v>0</v>
      </c>
      <c r="O798" s="31">
        <v>0</v>
      </c>
      <c r="P798" s="27"/>
      <c r="Q798" s="29"/>
      <c r="R798" s="30"/>
    </row>
    <row r="799" spans="1:18" ht="69.75" x14ac:dyDescent="0.25">
      <c r="A799" s="25" t="s">
        <v>2005</v>
      </c>
      <c r="B799" s="26" t="s">
        <v>2006</v>
      </c>
      <c r="C799" s="27" t="s">
        <v>1423</v>
      </c>
      <c r="D799" s="27" t="s">
        <v>1490</v>
      </c>
      <c r="E799" s="27" t="s">
        <v>40</v>
      </c>
      <c r="F799" s="28">
        <f>SUM(F800:F800)+10886</f>
        <v>10886</v>
      </c>
      <c r="G799" s="28">
        <f>SUM(G800:G800)+5686</f>
        <v>5686</v>
      </c>
      <c r="H799" s="28">
        <f>SUM(H800:H800)</f>
        <v>0</v>
      </c>
      <c r="I799" s="28">
        <f>SUM(I800:I800)</f>
        <v>0</v>
      </c>
      <c r="J799" s="28">
        <f>SUM(J800:J800)+5200</f>
        <v>5200</v>
      </c>
      <c r="K799" s="28">
        <f>SUM(K800:K800)</f>
        <v>0</v>
      </c>
      <c r="L799" s="28">
        <f>SUM(L800:L800)</f>
        <v>0</v>
      </c>
      <c r="M799" s="28">
        <f>SUM(M800:M800)</f>
        <v>0</v>
      </c>
      <c r="N799" s="28">
        <f>SUM(N800:N800)</f>
        <v>0</v>
      </c>
      <c r="O799" s="28">
        <f>SUM(O800:O800)</f>
        <v>0</v>
      </c>
      <c r="P799" s="27" t="s">
        <v>1961</v>
      </c>
      <c r="Q799" s="29" t="s">
        <v>35</v>
      </c>
      <c r="R799" s="30" t="s">
        <v>36</v>
      </c>
    </row>
    <row r="800" spans="1:18" ht="69.75" x14ac:dyDescent="0.25">
      <c r="A800" s="25" t="s">
        <v>2007</v>
      </c>
      <c r="B800" s="26" t="s">
        <v>1974</v>
      </c>
      <c r="C800" s="27"/>
      <c r="D800" s="27"/>
      <c r="E800" s="27"/>
      <c r="F800" s="31">
        <v>0</v>
      </c>
      <c r="G800" s="31">
        <v>0</v>
      </c>
      <c r="H800" s="31">
        <v>0</v>
      </c>
      <c r="I800" s="31">
        <v>0</v>
      </c>
      <c r="J800" s="31">
        <v>0</v>
      </c>
      <c r="K800" s="31">
        <v>0</v>
      </c>
      <c r="L800" s="31">
        <v>0</v>
      </c>
      <c r="M800" s="31">
        <v>0</v>
      </c>
      <c r="N800" s="31">
        <v>0</v>
      </c>
      <c r="O800" s="31">
        <v>0</v>
      </c>
      <c r="P800" s="27"/>
      <c r="Q800" s="29"/>
      <c r="R800" s="30"/>
    </row>
    <row r="801" spans="1:18" ht="69.75" x14ac:dyDescent="0.25">
      <c r="A801" s="25" t="s">
        <v>2008</v>
      </c>
      <c r="B801" s="26" t="s">
        <v>2009</v>
      </c>
      <c r="C801" s="27" t="s">
        <v>1423</v>
      </c>
      <c r="D801" s="27" t="s">
        <v>1490</v>
      </c>
      <c r="E801" s="27" t="s">
        <v>40</v>
      </c>
      <c r="F801" s="28">
        <f>SUM(F802:F802)+27215</f>
        <v>27215</v>
      </c>
      <c r="G801" s="28">
        <f>SUM(G802:G802)+14215</f>
        <v>14215</v>
      </c>
      <c r="H801" s="28">
        <f>SUM(H802:H802)</f>
        <v>0</v>
      </c>
      <c r="I801" s="28">
        <f>SUM(I802:I802)</f>
        <v>0</v>
      </c>
      <c r="J801" s="28">
        <f>SUM(J802:J802)+13000</f>
        <v>13000</v>
      </c>
      <c r="K801" s="28">
        <f>SUM(K802:K802)</f>
        <v>0</v>
      </c>
      <c r="L801" s="28">
        <f>SUM(L802:L802)</f>
        <v>0</v>
      </c>
      <c r="M801" s="28">
        <f>SUM(M802:M802)</f>
        <v>0</v>
      </c>
      <c r="N801" s="28">
        <f>SUM(N802:N802)</f>
        <v>0</v>
      </c>
      <c r="O801" s="28">
        <f>SUM(O802:O802)</f>
        <v>0</v>
      </c>
      <c r="P801" s="27" t="s">
        <v>1961</v>
      </c>
      <c r="Q801" s="29" t="s">
        <v>35</v>
      </c>
      <c r="R801" s="30" t="s">
        <v>150</v>
      </c>
    </row>
    <row r="802" spans="1:18" ht="69.75" x14ac:dyDescent="0.25">
      <c r="A802" s="25" t="s">
        <v>2010</v>
      </c>
      <c r="B802" s="26" t="s">
        <v>1974</v>
      </c>
      <c r="C802" s="27"/>
      <c r="D802" s="27"/>
      <c r="E802" s="27"/>
      <c r="F802" s="31">
        <v>0</v>
      </c>
      <c r="G802" s="31">
        <v>0</v>
      </c>
      <c r="H802" s="31">
        <v>0</v>
      </c>
      <c r="I802" s="31">
        <v>0</v>
      </c>
      <c r="J802" s="31">
        <v>0</v>
      </c>
      <c r="K802" s="31">
        <v>0</v>
      </c>
      <c r="L802" s="31">
        <v>0</v>
      </c>
      <c r="M802" s="31">
        <v>0</v>
      </c>
      <c r="N802" s="31">
        <v>0</v>
      </c>
      <c r="O802" s="31">
        <v>0</v>
      </c>
      <c r="P802" s="27"/>
      <c r="Q802" s="29"/>
      <c r="R802" s="30"/>
    </row>
    <row r="803" spans="1:18" ht="69.75" x14ac:dyDescent="0.25">
      <c r="A803" s="25" t="s">
        <v>2011</v>
      </c>
      <c r="B803" s="26" t="s">
        <v>2012</v>
      </c>
      <c r="C803" s="27" t="s">
        <v>1423</v>
      </c>
      <c r="D803" s="27" t="s">
        <v>1490</v>
      </c>
      <c r="E803" s="27" t="s">
        <v>40</v>
      </c>
      <c r="F803" s="28">
        <f>SUM(F804:F804)+5443</f>
        <v>5443</v>
      </c>
      <c r="G803" s="28">
        <f>SUM(G804:G804)+2843</f>
        <v>2843</v>
      </c>
      <c r="H803" s="28">
        <f>SUM(H804:H804)</f>
        <v>0</v>
      </c>
      <c r="I803" s="28">
        <f>SUM(I804:I804)</f>
        <v>0</v>
      </c>
      <c r="J803" s="28">
        <f>SUM(J804:J804)+2600</f>
        <v>2600</v>
      </c>
      <c r="K803" s="28">
        <f>SUM(K804:K804)</f>
        <v>0</v>
      </c>
      <c r="L803" s="28">
        <f>SUM(L804:L804)</f>
        <v>0</v>
      </c>
      <c r="M803" s="28">
        <f>SUM(M804:M804)</f>
        <v>0</v>
      </c>
      <c r="N803" s="28">
        <f>SUM(N804:N804)</f>
        <v>0</v>
      </c>
      <c r="O803" s="28">
        <f>SUM(O804:O804)</f>
        <v>0</v>
      </c>
      <c r="P803" s="27" t="s">
        <v>1961</v>
      </c>
      <c r="Q803" s="29" t="s">
        <v>35</v>
      </c>
      <c r="R803" s="30" t="s">
        <v>48</v>
      </c>
    </row>
    <row r="804" spans="1:18" ht="69.75" x14ac:dyDescent="0.25">
      <c r="A804" s="25" t="s">
        <v>2013</v>
      </c>
      <c r="B804" s="26" t="s">
        <v>1974</v>
      </c>
      <c r="C804" s="27"/>
      <c r="D804" s="27"/>
      <c r="E804" s="27"/>
      <c r="F804" s="31">
        <v>0</v>
      </c>
      <c r="G804" s="31">
        <v>0</v>
      </c>
      <c r="H804" s="31">
        <v>0</v>
      </c>
      <c r="I804" s="31">
        <v>0</v>
      </c>
      <c r="J804" s="31">
        <v>0</v>
      </c>
      <c r="K804" s="31">
        <v>0</v>
      </c>
      <c r="L804" s="31">
        <v>0</v>
      </c>
      <c r="M804" s="31">
        <v>0</v>
      </c>
      <c r="N804" s="31">
        <v>0</v>
      </c>
      <c r="O804" s="31">
        <v>0</v>
      </c>
      <c r="P804" s="27"/>
      <c r="Q804" s="29"/>
      <c r="R804" s="30"/>
    </row>
    <row r="805" spans="1:18" ht="90" x14ac:dyDescent="0.25">
      <c r="A805" s="13" t="s">
        <v>2014</v>
      </c>
      <c r="B805" s="14" t="s">
        <v>2015</v>
      </c>
      <c r="C805" s="15" t="s">
        <v>1423</v>
      </c>
      <c r="D805" s="15" t="s">
        <v>1426</v>
      </c>
      <c r="E805" s="15"/>
      <c r="F805" s="16">
        <f t="shared" ref="F805:O805" si="346">F806+F809</f>
        <v>58130.909999999996</v>
      </c>
      <c r="G805" s="16">
        <f t="shared" si="346"/>
        <v>0</v>
      </c>
      <c r="H805" s="16">
        <f t="shared" si="346"/>
        <v>0</v>
      </c>
      <c r="I805" s="16">
        <f t="shared" si="346"/>
        <v>0</v>
      </c>
      <c r="J805" s="16">
        <f t="shared" si="346"/>
        <v>0</v>
      </c>
      <c r="K805" s="16">
        <f t="shared" si="346"/>
        <v>0</v>
      </c>
      <c r="L805" s="16">
        <f t="shared" si="346"/>
        <v>0</v>
      </c>
      <c r="M805" s="16">
        <f t="shared" si="346"/>
        <v>58130.909999999996</v>
      </c>
      <c r="N805" s="16">
        <f t="shared" si="346"/>
        <v>0</v>
      </c>
      <c r="O805" s="16">
        <f t="shared" si="346"/>
        <v>0</v>
      </c>
      <c r="P805" s="15" t="s">
        <v>2016</v>
      </c>
      <c r="Q805" s="17" t="s">
        <v>29</v>
      </c>
      <c r="R805" s="18" t="s">
        <v>2017</v>
      </c>
    </row>
    <row r="806" spans="1:18" ht="135" x14ac:dyDescent="0.25">
      <c r="A806" s="19" t="s">
        <v>2018</v>
      </c>
      <c r="B806" s="20" t="s">
        <v>2019</v>
      </c>
      <c r="C806" s="21" t="s">
        <v>1423</v>
      </c>
      <c r="D806" s="21" t="s">
        <v>1426</v>
      </c>
      <c r="E806" s="21" t="s">
        <v>248</v>
      </c>
      <c r="F806" s="22">
        <f t="shared" ref="F806:O807" si="347">SUM(F807:F807)</f>
        <v>0</v>
      </c>
      <c r="G806" s="22">
        <f t="shared" si="347"/>
        <v>0</v>
      </c>
      <c r="H806" s="22">
        <f t="shared" si="347"/>
        <v>0</v>
      </c>
      <c r="I806" s="22">
        <f t="shared" si="347"/>
        <v>0</v>
      </c>
      <c r="J806" s="22">
        <f t="shared" si="347"/>
        <v>0</v>
      </c>
      <c r="K806" s="22">
        <f t="shared" si="347"/>
        <v>0</v>
      </c>
      <c r="L806" s="22">
        <f t="shared" si="347"/>
        <v>0</v>
      </c>
      <c r="M806" s="22">
        <f t="shared" si="347"/>
        <v>0</v>
      </c>
      <c r="N806" s="22">
        <f t="shared" si="347"/>
        <v>0</v>
      </c>
      <c r="O806" s="22">
        <f t="shared" si="347"/>
        <v>0</v>
      </c>
      <c r="P806" s="21" t="s">
        <v>2020</v>
      </c>
      <c r="Q806" s="23" t="s">
        <v>29</v>
      </c>
      <c r="R806" s="24" t="s">
        <v>492</v>
      </c>
    </row>
    <row r="807" spans="1:18" ht="116.25" x14ac:dyDescent="0.25">
      <c r="A807" s="25" t="s">
        <v>2021</v>
      </c>
      <c r="B807" s="26" t="s">
        <v>2022</v>
      </c>
      <c r="C807" s="27" t="s">
        <v>1423</v>
      </c>
      <c r="D807" s="27" t="s">
        <v>1605</v>
      </c>
      <c r="E807" s="27" t="s">
        <v>253</v>
      </c>
      <c r="F807" s="28">
        <f t="shared" si="347"/>
        <v>0</v>
      </c>
      <c r="G807" s="28">
        <f t="shared" si="347"/>
        <v>0</v>
      </c>
      <c r="H807" s="28">
        <f t="shared" si="347"/>
        <v>0</v>
      </c>
      <c r="I807" s="28">
        <f t="shared" si="347"/>
        <v>0</v>
      </c>
      <c r="J807" s="28">
        <f t="shared" si="347"/>
        <v>0</v>
      </c>
      <c r="K807" s="28">
        <f t="shared" si="347"/>
        <v>0</v>
      </c>
      <c r="L807" s="28">
        <f t="shared" si="347"/>
        <v>0</v>
      </c>
      <c r="M807" s="28">
        <f t="shared" si="347"/>
        <v>0</v>
      </c>
      <c r="N807" s="28">
        <f t="shared" si="347"/>
        <v>0</v>
      </c>
      <c r="O807" s="28">
        <f t="shared" si="347"/>
        <v>0</v>
      </c>
      <c r="P807" s="27" t="s">
        <v>2023</v>
      </c>
      <c r="Q807" s="29" t="s">
        <v>29</v>
      </c>
      <c r="R807" s="30" t="s">
        <v>103</v>
      </c>
    </row>
    <row r="808" spans="1:18" ht="116.25" x14ac:dyDescent="0.25">
      <c r="A808" s="25" t="s">
        <v>2024</v>
      </c>
      <c r="B808" s="26" t="s">
        <v>2025</v>
      </c>
      <c r="C808" s="27"/>
      <c r="D808" s="27"/>
      <c r="E808" s="27"/>
      <c r="F808" s="31">
        <v>0</v>
      </c>
      <c r="G808" s="31">
        <v>0</v>
      </c>
      <c r="H808" s="31">
        <v>0</v>
      </c>
      <c r="I808" s="31">
        <v>0</v>
      </c>
      <c r="J808" s="31">
        <v>0</v>
      </c>
      <c r="K808" s="31">
        <v>0</v>
      </c>
      <c r="L808" s="31">
        <v>0</v>
      </c>
      <c r="M808" s="31">
        <v>0</v>
      </c>
      <c r="N808" s="31">
        <v>0</v>
      </c>
      <c r="O808" s="31">
        <v>0</v>
      </c>
      <c r="P808" s="27"/>
      <c r="Q808" s="29"/>
      <c r="R808" s="30"/>
    </row>
    <row r="809" spans="1:18" ht="135" x14ac:dyDescent="0.25">
      <c r="A809" s="19" t="s">
        <v>2026</v>
      </c>
      <c r="B809" s="20" t="s">
        <v>2027</v>
      </c>
      <c r="C809" s="21" t="s">
        <v>1423</v>
      </c>
      <c r="D809" s="21" t="s">
        <v>1426</v>
      </c>
      <c r="E809" s="21"/>
      <c r="F809" s="22">
        <f t="shared" ref="F809:O809" si="348">F810+F812</f>
        <v>58130.909999999996</v>
      </c>
      <c r="G809" s="22">
        <f t="shared" si="348"/>
        <v>0</v>
      </c>
      <c r="H809" s="22">
        <f t="shared" si="348"/>
        <v>0</v>
      </c>
      <c r="I809" s="22">
        <f t="shared" si="348"/>
        <v>0</v>
      </c>
      <c r="J809" s="22">
        <f t="shared" si="348"/>
        <v>0</v>
      </c>
      <c r="K809" s="22">
        <f t="shared" si="348"/>
        <v>0</v>
      </c>
      <c r="L809" s="22">
        <f t="shared" si="348"/>
        <v>0</v>
      </c>
      <c r="M809" s="22">
        <f t="shared" si="348"/>
        <v>58130.909999999996</v>
      </c>
      <c r="N809" s="22">
        <f t="shared" si="348"/>
        <v>0</v>
      </c>
      <c r="O809" s="22">
        <f t="shared" si="348"/>
        <v>0</v>
      </c>
      <c r="P809" s="21" t="s">
        <v>2028</v>
      </c>
      <c r="Q809" s="23" t="s">
        <v>1092</v>
      </c>
      <c r="R809" s="24" t="s">
        <v>2029</v>
      </c>
    </row>
    <row r="810" spans="1:18" ht="209.25" x14ac:dyDescent="0.25">
      <c r="A810" s="25" t="s">
        <v>2030</v>
      </c>
      <c r="B810" s="26" t="s">
        <v>2031</v>
      </c>
      <c r="C810" s="27" t="s">
        <v>1423</v>
      </c>
      <c r="D810" s="27" t="s">
        <v>1490</v>
      </c>
      <c r="E810" s="27" t="s">
        <v>40</v>
      </c>
      <c r="F810" s="28">
        <f>SUM(F811:F811)+57791.67</f>
        <v>57791.67</v>
      </c>
      <c r="G810" s="28">
        <f t="shared" ref="G810:L810" si="349">SUM(G811:G811)</f>
        <v>0</v>
      </c>
      <c r="H810" s="28">
        <f t="shared" si="349"/>
        <v>0</v>
      </c>
      <c r="I810" s="28">
        <f t="shared" si="349"/>
        <v>0</v>
      </c>
      <c r="J810" s="28">
        <f t="shared" si="349"/>
        <v>0</v>
      </c>
      <c r="K810" s="28">
        <f t="shared" si="349"/>
        <v>0</v>
      </c>
      <c r="L810" s="28">
        <f t="shared" si="349"/>
        <v>0</v>
      </c>
      <c r="M810" s="28">
        <f>SUM(M811:M811)+57791.67</f>
        <v>57791.67</v>
      </c>
      <c r="N810" s="28">
        <f>SUM(N811:N811)</f>
        <v>0</v>
      </c>
      <c r="O810" s="28">
        <f>SUM(O811:O811)</f>
        <v>0</v>
      </c>
      <c r="P810" s="27" t="s">
        <v>2032</v>
      </c>
      <c r="Q810" s="29" t="s">
        <v>35</v>
      </c>
      <c r="R810" s="30" t="s">
        <v>264</v>
      </c>
    </row>
    <row r="811" spans="1:18" ht="46.5" x14ac:dyDescent="0.25">
      <c r="A811" s="25" t="s">
        <v>2033</v>
      </c>
      <c r="B811" s="26" t="s">
        <v>2034</v>
      </c>
      <c r="C811" s="27"/>
      <c r="D811" s="27"/>
      <c r="E811" s="27"/>
      <c r="F811" s="31">
        <v>0</v>
      </c>
      <c r="G811" s="31">
        <v>0</v>
      </c>
      <c r="H811" s="31">
        <v>0</v>
      </c>
      <c r="I811" s="31">
        <v>0</v>
      </c>
      <c r="J811" s="31">
        <v>0</v>
      </c>
      <c r="K811" s="31">
        <v>0</v>
      </c>
      <c r="L811" s="31">
        <v>0</v>
      </c>
      <c r="M811" s="31">
        <v>0</v>
      </c>
      <c r="N811" s="31">
        <v>0</v>
      </c>
      <c r="O811" s="31">
        <v>0</v>
      </c>
      <c r="P811" s="27"/>
      <c r="Q811" s="29"/>
      <c r="R811" s="30"/>
    </row>
    <row r="812" spans="1:18" ht="69.75" x14ac:dyDescent="0.25">
      <c r="A812" s="25" t="s">
        <v>2035</v>
      </c>
      <c r="B812" s="26" t="s">
        <v>2036</v>
      </c>
      <c r="C812" s="27" t="s">
        <v>1423</v>
      </c>
      <c r="D812" s="27" t="s">
        <v>1559</v>
      </c>
      <c r="E812" s="27" t="s">
        <v>40</v>
      </c>
      <c r="F812" s="28">
        <f>SUM(F813:F813)+339.24</f>
        <v>339.24</v>
      </c>
      <c r="G812" s="28">
        <f t="shared" ref="G812:L812" si="350">SUM(G813:G813)</f>
        <v>0</v>
      </c>
      <c r="H812" s="28">
        <f t="shared" si="350"/>
        <v>0</v>
      </c>
      <c r="I812" s="28">
        <f t="shared" si="350"/>
        <v>0</v>
      </c>
      <c r="J812" s="28">
        <f t="shared" si="350"/>
        <v>0</v>
      </c>
      <c r="K812" s="28">
        <f t="shared" si="350"/>
        <v>0</v>
      </c>
      <c r="L812" s="28">
        <f t="shared" si="350"/>
        <v>0</v>
      </c>
      <c r="M812" s="28">
        <f>SUM(M813:M813)+339.24</f>
        <v>339.24</v>
      </c>
      <c r="N812" s="28">
        <f>SUM(N813:N813)</f>
        <v>0</v>
      </c>
      <c r="O812" s="28">
        <f>SUM(O813:O813)</f>
        <v>0</v>
      </c>
      <c r="P812" s="27" t="s">
        <v>2037</v>
      </c>
      <c r="Q812" s="29" t="s">
        <v>35</v>
      </c>
      <c r="R812" s="30" t="s">
        <v>36</v>
      </c>
    </row>
    <row r="813" spans="1:18" ht="69.75" x14ac:dyDescent="0.25">
      <c r="A813" s="25" t="s">
        <v>2038</v>
      </c>
      <c r="B813" s="26" t="s">
        <v>2039</v>
      </c>
      <c r="C813" s="27"/>
      <c r="D813" s="27"/>
      <c r="E813" s="27"/>
      <c r="F813" s="31">
        <v>0</v>
      </c>
      <c r="G813" s="31">
        <v>0</v>
      </c>
      <c r="H813" s="31">
        <v>0</v>
      </c>
      <c r="I813" s="31">
        <v>0</v>
      </c>
      <c r="J813" s="31">
        <v>0</v>
      </c>
      <c r="K813" s="31">
        <v>0</v>
      </c>
      <c r="L813" s="31">
        <v>0</v>
      </c>
      <c r="M813" s="31">
        <v>0</v>
      </c>
      <c r="N813" s="31">
        <v>0</v>
      </c>
      <c r="O813" s="31">
        <v>0</v>
      </c>
      <c r="P813" s="27"/>
      <c r="Q813" s="29"/>
      <c r="R813" s="30"/>
    </row>
    <row r="814" spans="1:18" ht="112.5" x14ac:dyDescent="0.25">
      <c r="A814" s="13" t="s">
        <v>2040</v>
      </c>
      <c r="B814" s="14" t="s">
        <v>259</v>
      </c>
      <c r="C814" s="15" t="s">
        <v>1423</v>
      </c>
      <c r="D814" s="15" t="s">
        <v>1426</v>
      </c>
      <c r="E814" s="15"/>
      <c r="F814" s="16">
        <f t="shared" ref="F814:O814" si="351">SUM(F815:F815)</f>
        <v>0</v>
      </c>
      <c r="G814" s="16">
        <f t="shared" si="351"/>
        <v>0</v>
      </c>
      <c r="H814" s="16">
        <f t="shared" si="351"/>
        <v>0</v>
      </c>
      <c r="I814" s="16">
        <f t="shared" si="351"/>
        <v>0</v>
      </c>
      <c r="J814" s="16">
        <f t="shared" si="351"/>
        <v>0</v>
      </c>
      <c r="K814" s="16">
        <f t="shared" si="351"/>
        <v>0</v>
      </c>
      <c r="L814" s="16">
        <f t="shared" si="351"/>
        <v>0</v>
      </c>
      <c r="M814" s="16">
        <f t="shared" si="351"/>
        <v>0</v>
      </c>
      <c r="N814" s="16">
        <f t="shared" si="351"/>
        <v>0</v>
      </c>
      <c r="O814" s="16">
        <f t="shared" si="351"/>
        <v>0</v>
      </c>
      <c r="P814" s="15" t="s">
        <v>260</v>
      </c>
      <c r="Q814" s="17" t="s">
        <v>29</v>
      </c>
      <c r="R814" s="18" t="s">
        <v>233</v>
      </c>
    </row>
    <row r="815" spans="1:18" ht="67.5" x14ac:dyDescent="0.25">
      <c r="A815" s="19" t="s">
        <v>2041</v>
      </c>
      <c r="B815" s="20" t="s">
        <v>262</v>
      </c>
      <c r="C815" s="21" t="s">
        <v>1423</v>
      </c>
      <c r="D815" s="21" t="s">
        <v>1426</v>
      </c>
      <c r="E815" s="21" t="s">
        <v>248</v>
      </c>
      <c r="F815" s="22">
        <f t="shared" ref="F815:O815" si="352">F816+F818</f>
        <v>0</v>
      </c>
      <c r="G815" s="22">
        <f t="shared" si="352"/>
        <v>0</v>
      </c>
      <c r="H815" s="22">
        <f t="shared" si="352"/>
        <v>0</v>
      </c>
      <c r="I815" s="22">
        <f t="shared" si="352"/>
        <v>0</v>
      </c>
      <c r="J815" s="22">
        <f t="shared" si="352"/>
        <v>0</v>
      </c>
      <c r="K815" s="22">
        <f t="shared" si="352"/>
        <v>0</v>
      </c>
      <c r="L815" s="22">
        <f t="shared" si="352"/>
        <v>0</v>
      </c>
      <c r="M815" s="22">
        <f t="shared" si="352"/>
        <v>0</v>
      </c>
      <c r="N815" s="22">
        <f t="shared" si="352"/>
        <v>0</v>
      </c>
      <c r="O815" s="22">
        <f t="shared" si="352"/>
        <v>0</v>
      </c>
      <c r="P815" s="21" t="s">
        <v>263</v>
      </c>
      <c r="Q815" s="23" t="s">
        <v>29</v>
      </c>
      <c r="R815" s="24" t="s">
        <v>264</v>
      </c>
    </row>
    <row r="816" spans="1:18" ht="69.75" x14ac:dyDescent="0.25">
      <c r="A816" s="25" t="s">
        <v>2042</v>
      </c>
      <c r="B816" s="26" t="s">
        <v>2043</v>
      </c>
      <c r="C816" s="27" t="s">
        <v>1423</v>
      </c>
      <c r="D816" s="27" t="s">
        <v>1426</v>
      </c>
      <c r="E816" s="27" t="s">
        <v>253</v>
      </c>
      <c r="F816" s="28">
        <f t="shared" ref="F816:O816" si="353">SUM(F817:F817)</f>
        <v>0</v>
      </c>
      <c r="G816" s="28">
        <f t="shared" si="353"/>
        <v>0</v>
      </c>
      <c r="H816" s="28">
        <f t="shared" si="353"/>
        <v>0</v>
      </c>
      <c r="I816" s="28">
        <f t="shared" si="353"/>
        <v>0</v>
      </c>
      <c r="J816" s="28">
        <f t="shared" si="353"/>
        <v>0</v>
      </c>
      <c r="K816" s="28">
        <f t="shared" si="353"/>
        <v>0</v>
      </c>
      <c r="L816" s="28">
        <f t="shared" si="353"/>
        <v>0</v>
      </c>
      <c r="M816" s="28">
        <f t="shared" si="353"/>
        <v>0</v>
      </c>
      <c r="N816" s="28">
        <f t="shared" si="353"/>
        <v>0</v>
      </c>
      <c r="O816" s="28">
        <f t="shared" si="353"/>
        <v>0</v>
      </c>
      <c r="P816" s="27" t="s">
        <v>2044</v>
      </c>
      <c r="Q816" s="29" t="s">
        <v>35</v>
      </c>
      <c r="R816" s="30" t="s">
        <v>181</v>
      </c>
    </row>
    <row r="817" spans="1:18" ht="69.75" x14ac:dyDescent="0.25">
      <c r="A817" s="25" t="s">
        <v>2045</v>
      </c>
      <c r="B817" s="26" t="s">
        <v>2046</v>
      </c>
      <c r="C817" s="27"/>
      <c r="D817" s="27"/>
      <c r="E817" s="27"/>
      <c r="F817" s="31">
        <v>0</v>
      </c>
      <c r="G817" s="31">
        <v>0</v>
      </c>
      <c r="H817" s="31">
        <v>0</v>
      </c>
      <c r="I817" s="31">
        <v>0</v>
      </c>
      <c r="J817" s="31">
        <v>0</v>
      </c>
      <c r="K817" s="31">
        <v>0</v>
      </c>
      <c r="L817" s="31">
        <v>0</v>
      </c>
      <c r="M817" s="31">
        <v>0</v>
      </c>
      <c r="N817" s="31">
        <v>0</v>
      </c>
      <c r="O817" s="31">
        <v>0</v>
      </c>
      <c r="P817" s="27"/>
      <c r="Q817" s="29"/>
      <c r="R817" s="30"/>
    </row>
    <row r="818" spans="1:18" ht="93" x14ac:dyDescent="0.25">
      <c r="A818" s="25" t="s">
        <v>2047</v>
      </c>
      <c r="B818" s="26" t="s">
        <v>2048</v>
      </c>
      <c r="C818" s="27" t="s">
        <v>1423</v>
      </c>
      <c r="D818" s="27" t="s">
        <v>1426</v>
      </c>
      <c r="E818" s="27" t="s">
        <v>253</v>
      </c>
      <c r="F818" s="28">
        <f t="shared" ref="F818:O818" si="354">SUM(F819:F819)</f>
        <v>0</v>
      </c>
      <c r="G818" s="28">
        <f t="shared" si="354"/>
        <v>0</v>
      </c>
      <c r="H818" s="28">
        <f t="shared" si="354"/>
        <v>0</v>
      </c>
      <c r="I818" s="28">
        <f t="shared" si="354"/>
        <v>0</v>
      </c>
      <c r="J818" s="28">
        <f t="shared" si="354"/>
        <v>0</v>
      </c>
      <c r="K818" s="28">
        <f t="shared" si="354"/>
        <v>0</v>
      </c>
      <c r="L818" s="28">
        <f t="shared" si="354"/>
        <v>0</v>
      </c>
      <c r="M818" s="28">
        <f t="shared" si="354"/>
        <v>0</v>
      </c>
      <c r="N818" s="28">
        <f t="shared" si="354"/>
        <v>0</v>
      </c>
      <c r="O818" s="28">
        <f t="shared" si="354"/>
        <v>0</v>
      </c>
      <c r="P818" s="27" t="s">
        <v>2049</v>
      </c>
      <c r="Q818" s="29" t="s">
        <v>35</v>
      </c>
      <c r="R818" s="30" t="s">
        <v>2050</v>
      </c>
    </row>
    <row r="819" spans="1:18" ht="69.75" x14ac:dyDescent="0.25">
      <c r="A819" s="38" t="s">
        <v>2051</v>
      </c>
      <c r="B819" s="39" t="s">
        <v>2052</v>
      </c>
      <c r="C819" s="40"/>
      <c r="D819" s="40"/>
      <c r="E819" s="40"/>
      <c r="F819" s="41">
        <v>0</v>
      </c>
      <c r="G819" s="41">
        <v>0</v>
      </c>
      <c r="H819" s="41">
        <v>0</v>
      </c>
      <c r="I819" s="41">
        <v>0</v>
      </c>
      <c r="J819" s="41">
        <v>0</v>
      </c>
      <c r="K819" s="41">
        <v>0</v>
      </c>
      <c r="L819" s="41">
        <v>0</v>
      </c>
      <c r="M819" s="41">
        <v>0</v>
      </c>
      <c r="N819" s="41">
        <v>0</v>
      </c>
      <c r="O819" s="41">
        <v>0</v>
      </c>
      <c r="P819" s="40"/>
      <c r="Q819" s="42"/>
      <c r="R819" s="43"/>
    </row>
    <row r="820" spans="1:18" s="49" customFormat="1" x14ac:dyDescent="0.25">
      <c r="A820" s="44"/>
      <c r="B820" s="44"/>
      <c r="C820" s="45"/>
      <c r="D820" s="45"/>
      <c r="E820" s="45"/>
      <c r="F820" s="46"/>
      <c r="G820" s="46"/>
      <c r="H820" s="46"/>
      <c r="I820" s="46"/>
      <c r="J820" s="46"/>
      <c r="K820" s="46"/>
      <c r="L820" s="46"/>
      <c r="M820" s="46"/>
      <c r="N820" s="46"/>
      <c r="O820" s="46"/>
      <c r="P820" s="45"/>
      <c r="Q820" s="47"/>
      <c r="R820" s="48"/>
    </row>
    <row r="821" spans="1:18" s="49" customFormat="1" x14ac:dyDescent="0.25">
      <c r="A821" s="44"/>
      <c r="B821" s="44"/>
      <c r="C821" s="45"/>
      <c r="D821" s="45"/>
      <c r="E821" s="45"/>
      <c r="F821" s="46"/>
      <c r="G821" s="46"/>
      <c r="H821" s="46"/>
      <c r="I821" s="46"/>
      <c r="J821" s="46"/>
      <c r="K821" s="46"/>
      <c r="L821" s="46"/>
      <c r="M821" s="46"/>
      <c r="N821" s="46"/>
      <c r="O821" s="46"/>
      <c r="P821" s="45"/>
      <c r="Q821" s="47"/>
      <c r="R821" s="48"/>
    </row>
    <row r="822" spans="1:18" s="49" customFormat="1" x14ac:dyDescent="0.25">
      <c r="A822" s="44"/>
      <c r="B822" s="44"/>
      <c r="C822" s="45"/>
      <c r="D822" s="45"/>
      <c r="E822" s="45"/>
      <c r="F822" s="46"/>
      <c r="G822" s="46"/>
      <c r="H822" s="46"/>
      <c r="I822" s="46"/>
      <c r="J822" s="46"/>
      <c r="K822" s="46"/>
      <c r="L822" s="46"/>
      <c r="M822" s="46"/>
      <c r="N822" s="46"/>
      <c r="O822" s="46"/>
      <c r="P822" s="45"/>
      <c r="Q822" s="47"/>
      <c r="R822" s="48"/>
    </row>
    <row r="823" spans="1:18" s="49" customFormat="1" x14ac:dyDescent="0.25">
      <c r="A823" s="44"/>
      <c r="B823" s="44"/>
      <c r="C823" s="45"/>
      <c r="D823" s="45"/>
      <c r="E823" s="45"/>
      <c r="F823" s="46"/>
      <c r="G823" s="46"/>
      <c r="H823" s="46"/>
      <c r="I823" s="46"/>
      <c r="J823" s="46"/>
      <c r="K823" s="46"/>
      <c r="L823" s="46"/>
      <c r="M823" s="46"/>
      <c r="N823" s="46"/>
      <c r="O823" s="46"/>
      <c r="P823" s="45"/>
      <c r="Q823" s="47"/>
      <c r="R823" s="48"/>
    </row>
    <row r="824" spans="1:18" s="49" customFormat="1" x14ac:dyDescent="0.25">
      <c r="A824" s="44"/>
      <c r="B824" s="44"/>
      <c r="C824" s="45"/>
      <c r="D824" s="45"/>
      <c r="E824" s="45"/>
      <c r="F824" s="46"/>
      <c r="G824" s="46"/>
      <c r="H824" s="46"/>
      <c r="I824" s="46"/>
      <c r="J824" s="46"/>
      <c r="K824" s="46"/>
      <c r="L824" s="46"/>
      <c r="M824" s="46"/>
      <c r="N824" s="46"/>
      <c r="O824" s="46"/>
      <c r="P824" s="45"/>
      <c r="Q824" s="47"/>
      <c r="R824" s="48"/>
    </row>
    <row r="825" spans="1:18" x14ac:dyDescent="0.25">
      <c r="A825" s="59" t="s">
        <v>0</v>
      </c>
      <c r="B825" s="59" t="s">
        <v>1</v>
      </c>
      <c r="C825" s="59" t="s">
        <v>5</v>
      </c>
      <c r="D825" s="59" t="s">
        <v>6</v>
      </c>
      <c r="E825" s="64"/>
      <c r="F825" s="64"/>
      <c r="G825" s="64"/>
      <c r="H825" s="64"/>
      <c r="I825" s="64"/>
      <c r="J825" s="64"/>
      <c r="K825" s="64"/>
      <c r="L825" s="64"/>
    </row>
    <row r="826" spans="1:18" x14ac:dyDescent="0.25">
      <c r="A826" s="59"/>
      <c r="B826" s="59"/>
      <c r="C826" s="59"/>
      <c r="D826" s="4" t="s">
        <v>8</v>
      </c>
      <c r="E826" s="4" t="s">
        <v>9</v>
      </c>
      <c r="F826" s="4" t="s">
        <v>10</v>
      </c>
      <c r="G826" s="4" t="s">
        <v>11</v>
      </c>
      <c r="H826" s="4" t="s">
        <v>12</v>
      </c>
      <c r="I826" s="4" t="s">
        <v>13</v>
      </c>
      <c r="J826" s="4" t="s">
        <v>14</v>
      </c>
      <c r="K826" s="4" t="s">
        <v>15</v>
      </c>
      <c r="L826" s="4" t="s">
        <v>16</v>
      </c>
    </row>
    <row r="827" spans="1:18" ht="46.5" x14ac:dyDescent="0.25">
      <c r="A827" s="33" t="s">
        <v>2053</v>
      </c>
      <c r="B827" s="33" t="s">
        <v>2053</v>
      </c>
      <c r="C827" s="50">
        <f t="shared" ref="C827:L827" si="355">SUM(C828:C837)</f>
        <v>27816771.949999999</v>
      </c>
      <c r="D827" s="50">
        <f t="shared" si="355"/>
        <v>16081348.359999999</v>
      </c>
      <c r="E827" s="50">
        <f t="shared" si="355"/>
        <v>180504.32000000001</v>
      </c>
      <c r="F827" s="50">
        <f t="shared" si="355"/>
        <v>191074</v>
      </c>
      <c r="G827" s="50">
        <f t="shared" si="355"/>
        <v>3645965</v>
      </c>
      <c r="H827" s="50">
        <f t="shared" si="355"/>
        <v>1680135.78</v>
      </c>
      <c r="I827" s="50">
        <f t="shared" si="355"/>
        <v>2000323.9300000002</v>
      </c>
      <c r="J827" s="50">
        <f t="shared" si="355"/>
        <v>3117738.5599999996</v>
      </c>
      <c r="K827" s="50">
        <f t="shared" si="355"/>
        <v>0</v>
      </c>
      <c r="L827" s="50">
        <f t="shared" si="355"/>
        <v>0</v>
      </c>
    </row>
    <row r="828" spans="1:18" x14ac:dyDescent="0.25">
      <c r="A828" s="33" t="s">
        <v>2054</v>
      </c>
      <c r="B828" s="33" t="s">
        <v>2055</v>
      </c>
      <c r="C828" s="35">
        <v>16081348.359999999</v>
      </c>
      <c r="D828" s="35">
        <v>16081348.359999999</v>
      </c>
      <c r="E828" s="35">
        <v>0</v>
      </c>
      <c r="F828" s="35">
        <v>0</v>
      </c>
      <c r="G828" s="35">
        <v>0</v>
      </c>
      <c r="H828" s="35">
        <v>0</v>
      </c>
      <c r="I828" s="35">
        <v>0</v>
      </c>
      <c r="J828" s="35">
        <v>0</v>
      </c>
      <c r="K828" s="35">
        <v>0</v>
      </c>
      <c r="L828" s="35">
        <v>0</v>
      </c>
    </row>
    <row r="829" spans="1:18" ht="139.5" x14ac:dyDescent="0.25">
      <c r="A829" s="33" t="s">
        <v>2056</v>
      </c>
      <c r="B829" s="33" t="s">
        <v>2057</v>
      </c>
      <c r="C829" s="35">
        <v>113742.14</v>
      </c>
      <c r="D829" s="35">
        <v>0</v>
      </c>
      <c r="E829" s="35">
        <v>0</v>
      </c>
      <c r="F829" s="35">
        <v>0</v>
      </c>
      <c r="G829" s="35">
        <v>0</v>
      </c>
      <c r="H829" s="35">
        <v>0</v>
      </c>
      <c r="I829" s="35">
        <v>0</v>
      </c>
      <c r="J829" s="35">
        <v>113742.14</v>
      </c>
      <c r="K829" s="35">
        <v>0</v>
      </c>
      <c r="L829" s="35">
        <v>0</v>
      </c>
    </row>
    <row r="830" spans="1:18" ht="46.5" x14ac:dyDescent="0.25">
      <c r="A830" s="33" t="s">
        <v>2058</v>
      </c>
      <c r="B830" s="33" t="s">
        <v>2059</v>
      </c>
      <c r="C830" s="35">
        <v>180504.32000000001</v>
      </c>
      <c r="D830" s="35">
        <v>0</v>
      </c>
      <c r="E830" s="35">
        <v>180504.32000000001</v>
      </c>
      <c r="F830" s="35">
        <v>0</v>
      </c>
      <c r="G830" s="35">
        <v>0</v>
      </c>
      <c r="H830" s="35">
        <v>0</v>
      </c>
      <c r="I830" s="35">
        <v>0</v>
      </c>
      <c r="J830" s="35">
        <v>0</v>
      </c>
      <c r="K830" s="35">
        <v>0</v>
      </c>
      <c r="L830" s="35">
        <v>0</v>
      </c>
    </row>
    <row r="831" spans="1:18" x14ac:dyDescent="0.25">
      <c r="A831" s="33" t="s">
        <v>2060</v>
      </c>
      <c r="B831" s="33" t="s">
        <v>2061</v>
      </c>
      <c r="C831" s="35">
        <v>3645965</v>
      </c>
      <c r="D831" s="35">
        <v>0</v>
      </c>
      <c r="E831" s="35">
        <v>0</v>
      </c>
      <c r="F831" s="35">
        <v>0</v>
      </c>
      <c r="G831" s="35">
        <v>3645965</v>
      </c>
      <c r="H831" s="35">
        <v>0</v>
      </c>
      <c r="I831" s="35">
        <v>0</v>
      </c>
      <c r="J831" s="35">
        <v>0</v>
      </c>
      <c r="K831" s="35">
        <v>0</v>
      </c>
      <c r="L831" s="35">
        <v>0</v>
      </c>
    </row>
    <row r="832" spans="1:18" x14ac:dyDescent="0.25">
      <c r="A832" s="33" t="s">
        <v>2062</v>
      </c>
      <c r="B832" s="33" t="s">
        <v>2063</v>
      </c>
      <c r="C832" s="35">
        <v>1834900</v>
      </c>
      <c r="D832" s="35">
        <v>0</v>
      </c>
      <c r="E832" s="35">
        <v>0</v>
      </c>
      <c r="F832" s="35">
        <v>0</v>
      </c>
      <c r="G832" s="35">
        <v>0</v>
      </c>
      <c r="H832" s="35">
        <v>0</v>
      </c>
      <c r="I832" s="35">
        <v>0</v>
      </c>
      <c r="J832" s="35">
        <v>1834900</v>
      </c>
      <c r="K832" s="35">
        <v>0</v>
      </c>
      <c r="L832" s="35">
        <v>0</v>
      </c>
    </row>
    <row r="833" spans="1:12" x14ac:dyDescent="0.25">
      <c r="A833" s="33" t="s">
        <v>2064</v>
      </c>
      <c r="B833" s="33" t="s">
        <v>2065</v>
      </c>
      <c r="C833" s="35">
        <v>1680135.78</v>
      </c>
      <c r="D833" s="35">
        <v>0</v>
      </c>
      <c r="E833" s="35">
        <v>0</v>
      </c>
      <c r="F833" s="35">
        <v>0</v>
      </c>
      <c r="G833" s="35">
        <v>0</v>
      </c>
      <c r="H833" s="35">
        <v>1680135.78</v>
      </c>
      <c r="I833" s="35">
        <v>0</v>
      </c>
      <c r="J833" s="35">
        <v>0</v>
      </c>
      <c r="K833" s="35">
        <v>0</v>
      </c>
      <c r="L833" s="35">
        <v>0</v>
      </c>
    </row>
    <row r="834" spans="1:12" ht="46.5" x14ac:dyDescent="0.25">
      <c r="A834" s="33" t="s">
        <v>2066</v>
      </c>
      <c r="B834" s="33" t="s">
        <v>2067</v>
      </c>
      <c r="C834" s="35">
        <v>191074</v>
      </c>
      <c r="D834" s="35">
        <v>0</v>
      </c>
      <c r="E834" s="35">
        <v>0</v>
      </c>
      <c r="F834" s="35">
        <v>191074</v>
      </c>
      <c r="G834" s="35">
        <v>0</v>
      </c>
      <c r="H834" s="35">
        <v>0</v>
      </c>
      <c r="I834" s="35">
        <v>0</v>
      </c>
      <c r="J834" s="35">
        <v>0</v>
      </c>
      <c r="K834" s="35">
        <v>0</v>
      </c>
      <c r="L834" s="35">
        <v>0</v>
      </c>
    </row>
    <row r="835" spans="1:12" ht="46.5" x14ac:dyDescent="0.25">
      <c r="A835" s="33" t="s">
        <v>2068</v>
      </c>
      <c r="B835" s="33" t="s">
        <v>2069</v>
      </c>
      <c r="C835" s="35">
        <v>123871.38</v>
      </c>
      <c r="D835" s="35">
        <v>0</v>
      </c>
      <c r="E835" s="35">
        <v>0</v>
      </c>
      <c r="F835" s="35">
        <v>0</v>
      </c>
      <c r="G835" s="35">
        <v>0</v>
      </c>
      <c r="H835" s="35">
        <v>0</v>
      </c>
      <c r="I835" s="35">
        <v>123871.38</v>
      </c>
      <c r="J835" s="35">
        <v>0</v>
      </c>
      <c r="K835" s="35">
        <v>0</v>
      </c>
      <c r="L835" s="35">
        <v>0</v>
      </c>
    </row>
    <row r="836" spans="1:12" ht="116.25" x14ac:dyDescent="0.25">
      <c r="A836" s="33" t="s">
        <v>2070</v>
      </c>
      <c r="B836" s="33" t="s">
        <v>2071</v>
      </c>
      <c r="C836" s="35">
        <v>2088778.42</v>
      </c>
      <c r="D836" s="35">
        <v>0</v>
      </c>
      <c r="E836" s="35">
        <v>0</v>
      </c>
      <c r="F836" s="35">
        <v>0</v>
      </c>
      <c r="G836" s="35">
        <v>0</v>
      </c>
      <c r="H836" s="35">
        <v>0</v>
      </c>
      <c r="I836" s="35">
        <v>0</v>
      </c>
      <c r="J836" s="35">
        <v>1169096.42</v>
      </c>
      <c r="K836" s="35">
        <v>0</v>
      </c>
      <c r="L836" s="35">
        <v>0</v>
      </c>
    </row>
    <row r="837" spans="1:12" ht="139.5" x14ac:dyDescent="0.25">
      <c r="A837" s="33" t="s">
        <v>2072</v>
      </c>
      <c r="B837" s="33" t="s">
        <v>2073</v>
      </c>
      <c r="C837" s="35">
        <v>1876452.55</v>
      </c>
      <c r="D837" s="35">
        <v>0</v>
      </c>
      <c r="E837" s="35">
        <v>0</v>
      </c>
      <c r="F837" s="35">
        <v>0</v>
      </c>
      <c r="G837" s="35">
        <v>0</v>
      </c>
      <c r="H837" s="35">
        <v>0</v>
      </c>
      <c r="I837" s="35">
        <v>1876452.55</v>
      </c>
      <c r="J837" s="35">
        <v>0</v>
      </c>
      <c r="K837" s="35">
        <v>0</v>
      </c>
      <c r="L837" s="35">
        <v>0</v>
      </c>
    </row>
    <row r="838" spans="1:12" ht="46.5" x14ac:dyDescent="0.25">
      <c r="A838" s="33" t="s">
        <v>13</v>
      </c>
      <c r="B838" s="33" t="s">
        <v>2074</v>
      </c>
      <c r="C838" s="35">
        <v>2852078.45</v>
      </c>
      <c r="D838" s="35">
        <v>0</v>
      </c>
      <c r="E838" s="35">
        <v>0</v>
      </c>
      <c r="F838" s="35">
        <v>0</v>
      </c>
      <c r="G838" s="35">
        <v>0</v>
      </c>
      <c r="H838" s="35">
        <v>0</v>
      </c>
      <c r="I838" s="35">
        <v>2852078.45</v>
      </c>
      <c r="J838" s="35">
        <v>0</v>
      </c>
      <c r="K838" s="35">
        <v>0</v>
      </c>
      <c r="L838" s="35">
        <v>0</v>
      </c>
    </row>
    <row r="839" spans="1:12" ht="69.75" x14ac:dyDescent="0.25">
      <c r="A839" s="33" t="s">
        <v>14</v>
      </c>
      <c r="B839" s="33" t="s">
        <v>2075</v>
      </c>
      <c r="C839" s="35">
        <v>11842275.630000001</v>
      </c>
      <c r="D839" s="35">
        <v>0</v>
      </c>
      <c r="E839" s="35">
        <v>0</v>
      </c>
      <c r="F839" s="35">
        <v>0</v>
      </c>
      <c r="G839" s="35">
        <v>0</v>
      </c>
      <c r="H839" s="35">
        <v>0</v>
      </c>
      <c r="I839" s="35">
        <v>0</v>
      </c>
      <c r="J839" s="35">
        <v>11842275.630000001</v>
      </c>
      <c r="K839" s="35">
        <v>0</v>
      </c>
      <c r="L839" s="35">
        <v>0</v>
      </c>
    </row>
    <row r="840" spans="1:12" x14ac:dyDescent="0.25">
      <c r="A840" s="33" t="s">
        <v>16</v>
      </c>
      <c r="B840" s="33" t="s">
        <v>2076</v>
      </c>
      <c r="C840" s="50">
        <f t="shared" ref="C840:L840" si="356">SUM(C841:C841)</f>
        <v>10500</v>
      </c>
      <c r="D840" s="50">
        <f t="shared" si="356"/>
        <v>0</v>
      </c>
      <c r="E840" s="50">
        <f t="shared" si="356"/>
        <v>0</v>
      </c>
      <c r="F840" s="50">
        <f t="shared" si="356"/>
        <v>0</v>
      </c>
      <c r="G840" s="50">
        <f t="shared" si="356"/>
        <v>0</v>
      </c>
      <c r="H840" s="50">
        <f t="shared" si="356"/>
        <v>0</v>
      </c>
      <c r="I840" s="50">
        <f t="shared" si="356"/>
        <v>0</v>
      </c>
      <c r="J840" s="50">
        <f t="shared" si="356"/>
        <v>0</v>
      </c>
      <c r="K840" s="50">
        <f t="shared" si="356"/>
        <v>0</v>
      </c>
      <c r="L840" s="50">
        <f t="shared" si="356"/>
        <v>10500</v>
      </c>
    </row>
    <row r="841" spans="1:12" x14ac:dyDescent="0.25">
      <c r="A841" s="33" t="s">
        <v>16</v>
      </c>
      <c r="B841" s="33" t="s">
        <v>2077</v>
      </c>
      <c r="C841" s="35">
        <v>10500</v>
      </c>
      <c r="D841" s="35">
        <v>0</v>
      </c>
      <c r="E841" s="35">
        <v>0</v>
      </c>
      <c r="F841" s="35">
        <v>0</v>
      </c>
      <c r="G841" s="35">
        <v>0</v>
      </c>
      <c r="H841" s="35">
        <v>0</v>
      </c>
      <c r="I841" s="35">
        <v>0</v>
      </c>
      <c r="J841" s="35">
        <v>0</v>
      </c>
      <c r="K841" s="35">
        <v>0</v>
      </c>
      <c r="L841" s="35">
        <v>10500</v>
      </c>
    </row>
    <row r="842" spans="1:12" x14ac:dyDescent="0.25">
      <c r="A842" s="51"/>
      <c r="B842" s="52" t="s">
        <v>2078</v>
      </c>
      <c r="C842" s="53">
        <f t="shared" ref="C842:L842" si="357">C827+C838+C839+C840</f>
        <v>42521626.030000001</v>
      </c>
      <c r="D842" s="53">
        <f t="shared" si="357"/>
        <v>16081348.359999999</v>
      </c>
      <c r="E842" s="53">
        <f t="shared" si="357"/>
        <v>180504.32000000001</v>
      </c>
      <c r="F842" s="53">
        <f t="shared" si="357"/>
        <v>191074</v>
      </c>
      <c r="G842" s="53">
        <f t="shared" si="357"/>
        <v>3645965</v>
      </c>
      <c r="H842" s="53">
        <f t="shared" si="357"/>
        <v>1680135.78</v>
      </c>
      <c r="I842" s="53">
        <f t="shared" si="357"/>
        <v>4852402.3800000008</v>
      </c>
      <c r="J842" s="53">
        <f t="shared" si="357"/>
        <v>14960014.190000001</v>
      </c>
      <c r="K842" s="53">
        <f t="shared" si="357"/>
        <v>0</v>
      </c>
      <c r="L842" s="53">
        <f t="shared" si="357"/>
        <v>10500</v>
      </c>
    </row>
  </sheetData>
  <mergeCells count="25">
    <mergeCell ref="A825:A826"/>
    <mergeCell ref="B825:B826"/>
    <mergeCell ref="C825:C826"/>
    <mergeCell ref="D825:L825"/>
    <mergeCell ref="A6:A8"/>
    <mergeCell ref="B6:B8"/>
    <mergeCell ref="C6:C8"/>
    <mergeCell ref="D6:D8"/>
    <mergeCell ref="E6:E8"/>
    <mergeCell ref="F6:F8"/>
    <mergeCell ref="G7:G8"/>
    <mergeCell ref="H7:H8"/>
    <mergeCell ref="I7:I8"/>
    <mergeCell ref="J7:J8"/>
    <mergeCell ref="K7:K8"/>
    <mergeCell ref="L7:L8"/>
    <mergeCell ref="O1:R5"/>
    <mergeCell ref="D3:L3"/>
    <mergeCell ref="P7:P8"/>
    <mergeCell ref="Q7:Q8"/>
    <mergeCell ref="G6:O6"/>
    <mergeCell ref="P6:R6"/>
    <mergeCell ref="M7:M8"/>
    <mergeCell ref="N7:N8"/>
    <mergeCell ref="O7:O8"/>
  </mergeCells>
  <pageMargins left="0.39370078740157483" right="0.39370078740157483" top="0.39370078740157483" bottom="0.39370078740157483" header="0.39370078740157483" footer="0.39370078740157483"/>
  <pageSetup paperSize="8" scale="39"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1</vt:i4>
      </vt:variant>
      <vt:variant>
        <vt:lpstr>Įvardytieji diapazonai</vt:lpstr>
      </vt:variant>
      <vt:variant>
        <vt:i4>1</vt:i4>
      </vt:variant>
    </vt:vector>
  </HeadingPairs>
  <TitlesOfParts>
    <vt:vector size="2" baseType="lpstr">
      <vt:lpstr>Planas</vt:lpstr>
      <vt:lpstr>Planas!Print_Titles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Ingrida Maksvytienė</dc:creator>
  <cp:lastModifiedBy>Ingrida Maksvytienė</cp:lastModifiedBy>
  <cp:lastPrinted>2023-09-27T10:18:08Z</cp:lastPrinted>
  <dcterms:created xsi:type="dcterms:W3CDTF">2023-09-27T08:15:51Z</dcterms:created>
  <dcterms:modified xsi:type="dcterms:W3CDTF">2023-09-27T10:35:41Z</dcterms:modified>
</cp:coreProperties>
</file>