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C:\Users\imaksvytiene\Desktop\2024_MVP_Rengimas\"/>
    </mc:Choice>
  </mc:AlternateContent>
  <xr:revisionPtr revIDLastSave="0" documentId="13_ncr:1_{9895B81B-E059-4AF3-ADB7-196BC28155DA}" xr6:coauthVersionLast="47" xr6:coauthVersionMax="47" xr10:uidLastSave="{00000000-0000-0000-0000-000000000000}"/>
  <bookViews>
    <workbookView xWindow="0" yWindow="330" windowWidth="29010" windowHeight="1695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59" i="2" l="1"/>
  <c r="M459" i="2"/>
  <c r="L459" i="2"/>
  <c r="K459" i="2"/>
  <c r="J459" i="2"/>
  <c r="I459" i="2"/>
  <c r="H459" i="2"/>
  <c r="G459" i="2"/>
  <c r="F459" i="2"/>
  <c r="E459" i="2"/>
  <c r="E12" i="2"/>
  <c r="F12" i="2"/>
  <c r="G12" i="2"/>
  <c r="H12" i="2"/>
  <c r="I12" i="2"/>
  <c r="J12" i="2"/>
  <c r="K12" i="2"/>
  <c r="L12" i="2"/>
  <c r="M12" i="2"/>
  <c r="N12" i="2"/>
  <c r="E14" i="2"/>
  <c r="F14" i="2"/>
  <c r="G14" i="2"/>
  <c r="H14" i="2"/>
  <c r="I14" i="2"/>
  <c r="J14" i="2"/>
  <c r="K14" i="2"/>
  <c r="L14" i="2"/>
  <c r="M14" i="2"/>
  <c r="N14" i="2"/>
  <c r="E16" i="2"/>
  <c r="F16" i="2"/>
  <c r="G16" i="2"/>
  <c r="H16" i="2"/>
  <c r="I16" i="2"/>
  <c r="J16" i="2"/>
  <c r="K16" i="2"/>
  <c r="L16" i="2"/>
  <c r="M16" i="2"/>
  <c r="N16" i="2"/>
  <c r="E18" i="2"/>
  <c r="F18" i="2"/>
  <c r="G18" i="2"/>
  <c r="H18" i="2"/>
  <c r="I18" i="2"/>
  <c r="J18" i="2"/>
  <c r="K18" i="2"/>
  <c r="L18" i="2"/>
  <c r="M18" i="2"/>
  <c r="N18" i="2"/>
  <c r="E22" i="2"/>
  <c r="F22" i="2"/>
  <c r="G22" i="2"/>
  <c r="H22" i="2"/>
  <c r="I22" i="2"/>
  <c r="J22" i="2"/>
  <c r="K22" i="2"/>
  <c r="L22" i="2"/>
  <c r="M22" i="2"/>
  <c r="N22" i="2"/>
  <c r="E24" i="2"/>
  <c r="F24" i="2"/>
  <c r="G24" i="2"/>
  <c r="H24" i="2"/>
  <c r="I24" i="2"/>
  <c r="J24" i="2"/>
  <c r="K24" i="2"/>
  <c r="L24" i="2"/>
  <c r="M24" i="2"/>
  <c r="N24" i="2"/>
  <c r="E26" i="2"/>
  <c r="F26" i="2"/>
  <c r="G26" i="2"/>
  <c r="H26" i="2"/>
  <c r="I26" i="2"/>
  <c r="J26" i="2"/>
  <c r="K26" i="2"/>
  <c r="L26" i="2"/>
  <c r="M26" i="2"/>
  <c r="N26" i="2"/>
  <c r="E28" i="2"/>
  <c r="F28" i="2"/>
  <c r="G28" i="2"/>
  <c r="H28" i="2"/>
  <c r="I28" i="2"/>
  <c r="J28" i="2"/>
  <c r="K28" i="2"/>
  <c r="L28" i="2"/>
  <c r="M28" i="2"/>
  <c r="N28" i="2"/>
  <c r="E30" i="2"/>
  <c r="F30" i="2"/>
  <c r="G30" i="2"/>
  <c r="H30" i="2"/>
  <c r="I30" i="2"/>
  <c r="J30" i="2"/>
  <c r="K30" i="2"/>
  <c r="L30" i="2"/>
  <c r="M30" i="2"/>
  <c r="N30" i="2"/>
  <c r="E32" i="2"/>
  <c r="F32" i="2"/>
  <c r="G32" i="2"/>
  <c r="H32" i="2"/>
  <c r="I32" i="2"/>
  <c r="J32" i="2"/>
  <c r="K32" i="2"/>
  <c r="L32" i="2"/>
  <c r="M32" i="2"/>
  <c r="N32" i="2"/>
  <c r="E34" i="2"/>
  <c r="F34" i="2"/>
  <c r="G34" i="2"/>
  <c r="H34" i="2"/>
  <c r="I34" i="2"/>
  <c r="J34" i="2"/>
  <c r="K34" i="2"/>
  <c r="L34" i="2"/>
  <c r="M34" i="2"/>
  <c r="N34" i="2"/>
  <c r="E36" i="2"/>
  <c r="F36" i="2"/>
  <c r="G36" i="2"/>
  <c r="H36" i="2"/>
  <c r="I36" i="2"/>
  <c r="J36" i="2"/>
  <c r="K36" i="2"/>
  <c r="L36" i="2"/>
  <c r="M36" i="2"/>
  <c r="N36" i="2"/>
  <c r="E38" i="2"/>
  <c r="F38" i="2"/>
  <c r="G38" i="2"/>
  <c r="H38" i="2"/>
  <c r="I38" i="2"/>
  <c r="J38" i="2"/>
  <c r="K38" i="2"/>
  <c r="L38" i="2"/>
  <c r="M38" i="2"/>
  <c r="N38" i="2"/>
  <c r="E41" i="2"/>
  <c r="E40" i="2" s="1"/>
  <c r="F41" i="2"/>
  <c r="F40" i="2" s="1"/>
  <c r="G41" i="2"/>
  <c r="H41" i="2"/>
  <c r="I41" i="2"/>
  <c r="J41" i="2"/>
  <c r="K41" i="2"/>
  <c r="K40" i="2" s="1"/>
  <c r="L41" i="2"/>
  <c r="L40" i="2" s="1"/>
  <c r="M41" i="2"/>
  <c r="M40" i="2" s="1"/>
  <c r="N41" i="2"/>
  <c r="E43" i="2"/>
  <c r="F43" i="2"/>
  <c r="G43" i="2"/>
  <c r="H43" i="2"/>
  <c r="I43" i="2"/>
  <c r="J43" i="2"/>
  <c r="K43" i="2"/>
  <c r="L43" i="2"/>
  <c r="M43" i="2"/>
  <c r="N43" i="2"/>
  <c r="H46" i="2"/>
  <c r="H45" i="2" s="1"/>
  <c r="E47" i="2"/>
  <c r="E46" i="2" s="1"/>
  <c r="E45" i="2" s="1"/>
  <c r="F47" i="2"/>
  <c r="F46" i="2" s="1"/>
  <c r="F45" i="2" s="1"/>
  <c r="G47" i="2"/>
  <c r="G46" i="2" s="1"/>
  <c r="G45" i="2" s="1"/>
  <c r="H47" i="2"/>
  <c r="I47" i="2"/>
  <c r="I46" i="2" s="1"/>
  <c r="I45" i="2" s="1"/>
  <c r="J47" i="2"/>
  <c r="J46" i="2" s="1"/>
  <c r="J45" i="2" s="1"/>
  <c r="K47" i="2"/>
  <c r="K46" i="2" s="1"/>
  <c r="K45" i="2" s="1"/>
  <c r="L47" i="2"/>
  <c r="L46" i="2" s="1"/>
  <c r="L45" i="2" s="1"/>
  <c r="M47" i="2"/>
  <c r="M46" i="2" s="1"/>
  <c r="M45" i="2" s="1"/>
  <c r="N47" i="2"/>
  <c r="N46" i="2" s="1"/>
  <c r="N45" i="2" s="1"/>
  <c r="E51" i="2"/>
  <c r="E50" i="2" s="1"/>
  <c r="E49" i="2" s="1"/>
  <c r="F51" i="2"/>
  <c r="F50" i="2" s="1"/>
  <c r="F49" i="2" s="1"/>
  <c r="G51" i="2"/>
  <c r="G50" i="2" s="1"/>
  <c r="G49" i="2" s="1"/>
  <c r="H51" i="2"/>
  <c r="H50" i="2" s="1"/>
  <c r="H49" i="2" s="1"/>
  <c r="I51" i="2"/>
  <c r="I50" i="2" s="1"/>
  <c r="I49" i="2" s="1"/>
  <c r="J51" i="2"/>
  <c r="J50" i="2" s="1"/>
  <c r="J49" i="2" s="1"/>
  <c r="K51" i="2"/>
  <c r="K50" i="2" s="1"/>
  <c r="K49" i="2" s="1"/>
  <c r="L51" i="2"/>
  <c r="L50" i="2" s="1"/>
  <c r="L49" i="2" s="1"/>
  <c r="M51" i="2"/>
  <c r="M50" i="2" s="1"/>
  <c r="M49" i="2" s="1"/>
  <c r="N51" i="2"/>
  <c r="N50" i="2" s="1"/>
  <c r="N49" i="2" s="1"/>
  <c r="E55" i="2"/>
  <c r="E54" i="2" s="1"/>
  <c r="F55" i="2"/>
  <c r="G55" i="2"/>
  <c r="G54" i="2" s="1"/>
  <c r="H55" i="2"/>
  <c r="I55" i="2"/>
  <c r="J55" i="2"/>
  <c r="J54" i="2" s="1"/>
  <c r="K55" i="2"/>
  <c r="L55" i="2"/>
  <c r="M55" i="2"/>
  <c r="M54" i="2" s="1"/>
  <c r="N55" i="2"/>
  <c r="E58" i="2"/>
  <c r="F58" i="2"/>
  <c r="G58" i="2"/>
  <c r="H58" i="2"/>
  <c r="I58" i="2"/>
  <c r="J58" i="2"/>
  <c r="K58" i="2"/>
  <c r="L58" i="2"/>
  <c r="L54" i="2" s="1"/>
  <c r="L53" i="2" s="1"/>
  <c r="M58" i="2"/>
  <c r="N58" i="2"/>
  <c r="E61" i="2"/>
  <c r="E60" i="2" s="1"/>
  <c r="F61" i="2"/>
  <c r="F60" i="2" s="1"/>
  <c r="G61" i="2"/>
  <c r="G60" i="2" s="1"/>
  <c r="H61" i="2"/>
  <c r="H60" i="2" s="1"/>
  <c r="I61" i="2"/>
  <c r="I60" i="2" s="1"/>
  <c r="J61" i="2"/>
  <c r="J60" i="2" s="1"/>
  <c r="K61" i="2"/>
  <c r="K60" i="2" s="1"/>
  <c r="L61" i="2"/>
  <c r="L60" i="2" s="1"/>
  <c r="M61" i="2"/>
  <c r="M60" i="2" s="1"/>
  <c r="N61" i="2"/>
  <c r="N60" i="2" s="1"/>
  <c r="M66" i="2"/>
  <c r="E68" i="2"/>
  <c r="E67" i="2" s="1"/>
  <c r="E66" i="2" s="1"/>
  <c r="F68" i="2"/>
  <c r="F67" i="2" s="1"/>
  <c r="F66" i="2" s="1"/>
  <c r="G68" i="2"/>
  <c r="G67" i="2" s="1"/>
  <c r="G66" i="2" s="1"/>
  <c r="H68" i="2"/>
  <c r="H67" i="2" s="1"/>
  <c r="H66" i="2" s="1"/>
  <c r="I68" i="2"/>
  <c r="I67" i="2" s="1"/>
  <c r="I66" i="2" s="1"/>
  <c r="J68" i="2"/>
  <c r="J67" i="2" s="1"/>
  <c r="J66" i="2" s="1"/>
  <c r="K68" i="2"/>
  <c r="K67" i="2" s="1"/>
  <c r="K66" i="2" s="1"/>
  <c r="L68" i="2"/>
  <c r="L67" i="2" s="1"/>
  <c r="L66" i="2" s="1"/>
  <c r="M68" i="2"/>
  <c r="M67" i="2" s="1"/>
  <c r="N68" i="2"/>
  <c r="N67" i="2" s="1"/>
  <c r="N66" i="2" s="1"/>
  <c r="E74" i="2"/>
  <c r="E73" i="2" s="1"/>
  <c r="E72" i="2" s="1"/>
  <c r="F74" i="2"/>
  <c r="G74" i="2"/>
  <c r="H74" i="2"/>
  <c r="I74" i="2"/>
  <c r="J74" i="2"/>
  <c r="J73" i="2" s="1"/>
  <c r="J72" i="2" s="1"/>
  <c r="K74" i="2"/>
  <c r="K73" i="2" s="1"/>
  <c r="K72" i="2" s="1"/>
  <c r="L74" i="2"/>
  <c r="M74" i="2"/>
  <c r="M73" i="2" s="1"/>
  <c r="M72" i="2" s="1"/>
  <c r="N74" i="2"/>
  <c r="E76" i="2"/>
  <c r="F76" i="2"/>
  <c r="F73" i="2" s="1"/>
  <c r="F72" i="2" s="1"/>
  <c r="G76" i="2"/>
  <c r="H76" i="2"/>
  <c r="I76" i="2"/>
  <c r="J76" i="2"/>
  <c r="K76" i="2"/>
  <c r="L76" i="2"/>
  <c r="M76" i="2"/>
  <c r="N76" i="2"/>
  <c r="M79" i="2"/>
  <c r="M78" i="2" s="1"/>
  <c r="E80" i="2"/>
  <c r="E79" i="2" s="1"/>
  <c r="E78" i="2" s="1"/>
  <c r="F80" i="2"/>
  <c r="F79" i="2" s="1"/>
  <c r="F78" i="2" s="1"/>
  <c r="G80" i="2"/>
  <c r="G79" i="2" s="1"/>
  <c r="G78" i="2" s="1"/>
  <c r="H80" i="2"/>
  <c r="H79" i="2" s="1"/>
  <c r="H78" i="2" s="1"/>
  <c r="I80" i="2"/>
  <c r="I79" i="2" s="1"/>
  <c r="I78" i="2" s="1"/>
  <c r="J80" i="2"/>
  <c r="J79" i="2" s="1"/>
  <c r="J78" i="2" s="1"/>
  <c r="K80" i="2"/>
  <c r="K79" i="2" s="1"/>
  <c r="K78" i="2" s="1"/>
  <c r="L80" i="2"/>
  <c r="L79" i="2" s="1"/>
  <c r="L78" i="2" s="1"/>
  <c r="M80" i="2"/>
  <c r="N80" i="2"/>
  <c r="N79" i="2" s="1"/>
  <c r="N78" i="2" s="1"/>
  <c r="E84" i="2"/>
  <c r="F84" i="2"/>
  <c r="G84" i="2"/>
  <c r="G83" i="2" s="1"/>
  <c r="G82" i="2" s="1"/>
  <c r="H84" i="2"/>
  <c r="H83" i="2" s="1"/>
  <c r="H82" i="2" s="1"/>
  <c r="I84" i="2"/>
  <c r="I83" i="2" s="1"/>
  <c r="I82" i="2" s="1"/>
  <c r="J84" i="2"/>
  <c r="J83" i="2" s="1"/>
  <c r="J82" i="2" s="1"/>
  <c r="K84" i="2"/>
  <c r="L84" i="2"/>
  <c r="M84" i="2"/>
  <c r="N84" i="2"/>
  <c r="N83" i="2" s="1"/>
  <c r="N82" i="2" s="1"/>
  <c r="E86" i="2"/>
  <c r="F86" i="2"/>
  <c r="G86" i="2"/>
  <c r="H86" i="2"/>
  <c r="I86" i="2"/>
  <c r="J86" i="2"/>
  <c r="K86" i="2"/>
  <c r="L86" i="2"/>
  <c r="M86" i="2"/>
  <c r="N86" i="2"/>
  <c r="E90" i="2"/>
  <c r="M90" i="2"/>
  <c r="E91" i="2"/>
  <c r="F91" i="2"/>
  <c r="F90" i="2" s="1"/>
  <c r="G91" i="2"/>
  <c r="G90" i="2" s="1"/>
  <c r="H91" i="2"/>
  <c r="H90" i="2" s="1"/>
  <c r="I91" i="2"/>
  <c r="I90" i="2" s="1"/>
  <c r="J91" i="2"/>
  <c r="J90" i="2" s="1"/>
  <c r="K91" i="2"/>
  <c r="K90" i="2" s="1"/>
  <c r="L91" i="2"/>
  <c r="L90" i="2" s="1"/>
  <c r="M91" i="2"/>
  <c r="N91" i="2"/>
  <c r="N90" i="2" s="1"/>
  <c r="E96" i="2"/>
  <c r="F96" i="2"/>
  <c r="G96" i="2"/>
  <c r="H96" i="2"/>
  <c r="I96" i="2"/>
  <c r="J96" i="2"/>
  <c r="K96" i="2"/>
  <c r="L96" i="2"/>
  <c r="M96" i="2"/>
  <c r="N96" i="2"/>
  <c r="E98" i="2"/>
  <c r="F98" i="2"/>
  <c r="G98" i="2"/>
  <c r="H98" i="2"/>
  <c r="I98" i="2"/>
  <c r="J98" i="2"/>
  <c r="K98" i="2"/>
  <c r="L98" i="2"/>
  <c r="M98" i="2"/>
  <c r="N98" i="2"/>
  <c r="E100" i="2"/>
  <c r="F100" i="2"/>
  <c r="G100" i="2"/>
  <c r="H100" i="2"/>
  <c r="I100" i="2"/>
  <c r="J100" i="2"/>
  <c r="K100" i="2"/>
  <c r="L100" i="2"/>
  <c r="M100" i="2"/>
  <c r="N100" i="2"/>
  <c r="E102" i="2"/>
  <c r="F102" i="2"/>
  <c r="G102" i="2"/>
  <c r="H102" i="2"/>
  <c r="I102" i="2"/>
  <c r="J102" i="2"/>
  <c r="K102" i="2"/>
  <c r="L102" i="2"/>
  <c r="M102" i="2"/>
  <c r="N102" i="2"/>
  <c r="E104" i="2"/>
  <c r="F104" i="2"/>
  <c r="G104" i="2"/>
  <c r="H104" i="2"/>
  <c r="I104" i="2"/>
  <c r="J104" i="2"/>
  <c r="K104" i="2"/>
  <c r="L104" i="2"/>
  <c r="M104" i="2"/>
  <c r="N104" i="2"/>
  <c r="E106" i="2"/>
  <c r="F106" i="2"/>
  <c r="G106" i="2"/>
  <c r="H106" i="2"/>
  <c r="I106" i="2"/>
  <c r="J106" i="2"/>
  <c r="K106" i="2"/>
  <c r="L106" i="2"/>
  <c r="M106" i="2"/>
  <c r="N106" i="2"/>
  <c r="E108" i="2"/>
  <c r="F108" i="2"/>
  <c r="G108" i="2"/>
  <c r="H108" i="2"/>
  <c r="I108" i="2"/>
  <c r="J108" i="2"/>
  <c r="K108" i="2"/>
  <c r="L108" i="2"/>
  <c r="M108" i="2"/>
  <c r="N108" i="2"/>
  <c r="E111" i="2"/>
  <c r="E110" i="2" s="1"/>
  <c r="F111" i="2"/>
  <c r="G111" i="2"/>
  <c r="H111" i="2"/>
  <c r="I111" i="2"/>
  <c r="J111" i="2"/>
  <c r="K111" i="2"/>
  <c r="L111" i="2"/>
  <c r="M111" i="2"/>
  <c r="M110" i="2" s="1"/>
  <c r="N111" i="2"/>
  <c r="N110" i="2" s="1"/>
  <c r="E113" i="2"/>
  <c r="F113" i="2"/>
  <c r="G113" i="2"/>
  <c r="H113" i="2"/>
  <c r="I113" i="2"/>
  <c r="J113" i="2"/>
  <c r="K113" i="2"/>
  <c r="L113" i="2"/>
  <c r="M113" i="2"/>
  <c r="N113" i="2"/>
  <c r="E115" i="2"/>
  <c r="F115" i="2"/>
  <c r="G115" i="2"/>
  <c r="H115" i="2"/>
  <c r="I115" i="2"/>
  <c r="J115" i="2"/>
  <c r="K115" i="2"/>
  <c r="L115" i="2"/>
  <c r="M115" i="2"/>
  <c r="N115" i="2"/>
  <c r="G118" i="2"/>
  <c r="G117" i="2" s="1"/>
  <c r="E119" i="2"/>
  <c r="E118" i="2" s="1"/>
  <c r="E117" i="2" s="1"/>
  <c r="F119" i="2"/>
  <c r="F118" i="2" s="1"/>
  <c r="F117" i="2" s="1"/>
  <c r="G119" i="2"/>
  <c r="H119" i="2"/>
  <c r="H118" i="2" s="1"/>
  <c r="H117" i="2" s="1"/>
  <c r="I119" i="2"/>
  <c r="I118" i="2" s="1"/>
  <c r="I117" i="2" s="1"/>
  <c r="J119" i="2"/>
  <c r="J118" i="2" s="1"/>
  <c r="J117" i="2" s="1"/>
  <c r="K119" i="2"/>
  <c r="K118" i="2" s="1"/>
  <c r="K117" i="2" s="1"/>
  <c r="L119" i="2"/>
  <c r="L118" i="2" s="1"/>
  <c r="L117" i="2" s="1"/>
  <c r="M119" i="2"/>
  <c r="M118" i="2" s="1"/>
  <c r="M117" i="2" s="1"/>
  <c r="N119" i="2"/>
  <c r="N118" i="2" s="1"/>
  <c r="N117" i="2" s="1"/>
  <c r="I122" i="2"/>
  <c r="I121" i="2" s="1"/>
  <c r="E123" i="2"/>
  <c r="E122" i="2" s="1"/>
  <c r="E121" i="2" s="1"/>
  <c r="F123" i="2"/>
  <c r="F122" i="2" s="1"/>
  <c r="F121" i="2" s="1"/>
  <c r="G123" i="2"/>
  <c r="G122" i="2" s="1"/>
  <c r="G121" i="2" s="1"/>
  <c r="H123" i="2"/>
  <c r="H122" i="2" s="1"/>
  <c r="H121" i="2" s="1"/>
  <c r="I123" i="2"/>
  <c r="J123" i="2"/>
  <c r="J122" i="2" s="1"/>
  <c r="J121" i="2" s="1"/>
  <c r="K123" i="2"/>
  <c r="K122" i="2" s="1"/>
  <c r="K121" i="2" s="1"/>
  <c r="L123" i="2"/>
  <c r="L122" i="2" s="1"/>
  <c r="L121" i="2" s="1"/>
  <c r="M123" i="2"/>
  <c r="M122" i="2" s="1"/>
  <c r="M121" i="2" s="1"/>
  <c r="N123" i="2"/>
  <c r="N122" i="2" s="1"/>
  <c r="N121" i="2" s="1"/>
  <c r="E128" i="2"/>
  <c r="F128" i="2"/>
  <c r="G128" i="2"/>
  <c r="H128" i="2"/>
  <c r="I128" i="2"/>
  <c r="J128" i="2"/>
  <c r="K128" i="2"/>
  <c r="L128" i="2"/>
  <c r="M128" i="2"/>
  <c r="N128" i="2"/>
  <c r="E130" i="2"/>
  <c r="F130" i="2"/>
  <c r="G130" i="2"/>
  <c r="H130" i="2"/>
  <c r="I130" i="2"/>
  <c r="J130" i="2"/>
  <c r="K130" i="2"/>
  <c r="L130" i="2"/>
  <c r="M130" i="2"/>
  <c r="N130" i="2"/>
  <c r="E132" i="2"/>
  <c r="F132" i="2"/>
  <c r="G132" i="2"/>
  <c r="H132" i="2"/>
  <c r="I132" i="2"/>
  <c r="J132" i="2"/>
  <c r="K132" i="2"/>
  <c r="L132" i="2"/>
  <c r="M132" i="2"/>
  <c r="N132" i="2"/>
  <c r="E134" i="2"/>
  <c r="F134" i="2"/>
  <c r="G134" i="2"/>
  <c r="H134" i="2"/>
  <c r="I134" i="2"/>
  <c r="J134" i="2"/>
  <c r="K134" i="2"/>
  <c r="L134" i="2"/>
  <c r="M134" i="2"/>
  <c r="N134" i="2"/>
  <c r="E136" i="2"/>
  <c r="F136" i="2"/>
  <c r="G136" i="2"/>
  <c r="H136" i="2"/>
  <c r="I136" i="2"/>
  <c r="J136" i="2"/>
  <c r="K136" i="2"/>
  <c r="L136" i="2"/>
  <c r="M136" i="2"/>
  <c r="N136" i="2"/>
  <c r="M141" i="2"/>
  <c r="E142" i="2"/>
  <c r="E141" i="2" s="1"/>
  <c r="F142" i="2"/>
  <c r="G142" i="2"/>
  <c r="H142" i="2"/>
  <c r="I142" i="2"/>
  <c r="J142" i="2"/>
  <c r="J141" i="2" s="1"/>
  <c r="K142" i="2"/>
  <c r="L142" i="2"/>
  <c r="L141" i="2" s="1"/>
  <c r="M142" i="2"/>
  <c r="N142" i="2"/>
  <c r="E144" i="2"/>
  <c r="F144" i="2"/>
  <c r="F141" i="2" s="1"/>
  <c r="G144" i="2"/>
  <c r="H144" i="2"/>
  <c r="I144" i="2"/>
  <c r="J144" i="2"/>
  <c r="K144" i="2"/>
  <c r="L144" i="2"/>
  <c r="M144" i="2"/>
  <c r="N144" i="2"/>
  <c r="N141" i="2" s="1"/>
  <c r="E147" i="2"/>
  <c r="F147" i="2"/>
  <c r="G147" i="2"/>
  <c r="H147" i="2"/>
  <c r="I147" i="2"/>
  <c r="J147" i="2"/>
  <c r="K147" i="2"/>
  <c r="L147" i="2"/>
  <c r="M147" i="2"/>
  <c r="N147" i="2"/>
  <c r="E149" i="2"/>
  <c r="F149" i="2"/>
  <c r="G149" i="2"/>
  <c r="H149" i="2"/>
  <c r="I149" i="2"/>
  <c r="J149" i="2"/>
  <c r="K149" i="2"/>
  <c r="L149" i="2"/>
  <c r="M149" i="2"/>
  <c r="N149" i="2"/>
  <c r="E151" i="2"/>
  <c r="F151" i="2"/>
  <c r="G151" i="2"/>
  <c r="H151" i="2"/>
  <c r="I151" i="2"/>
  <c r="J151" i="2"/>
  <c r="K151" i="2"/>
  <c r="L151" i="2"/>
  <c r="M151" i="2"/>
  <c r="N151" i="2"/>
  <c r="E153" i="2"/>
  <c r="F153" i="2"/>
  <c r="G153" i="2"/>
  <c r="H153" i="2"/>
  <c r="I153" i="2"/>
  <c r="J153" i="2"/>
  <c r="K153" i="2"/>
  <c r="L153" i="2"/>
  <c r="M153" i="2"/>
  <c r="N153" i="2"/>
  <c r="E155" i="2"/>
  <c r="F155" i="2"/>
  <c r="G155" i="2"/>
  <c r="H155" i="2"/>
  <c r="I155" i="2"/>
  <c r="J155" i="2"/>
  <c r="K155" i="2"/>
  <c r="L155" i="2"/>
  <c r="M155" i="2"/>
  <c r="N155" i="2"/>
  <c r="E159" i="2"/>
  <c r="E158" i="2" s="1"/>
  <c r="E157" i="2" s="1"/>
  <c r="F159" i="2"/>
  <c r="F158" i="2" s="1"/>
  <c r="F157" i="2" s="1"/>
  <c r="G159" i="2"/>
  <c r="G158" i="2" s="1"/>
  <c r="G157" i="2" s="1"/>
  <c r="H159" i="2"/>
  <c r="H158" i="2" s="1"/>
  <c r="H157" i="2" s="1"/>
  <c r="I159" i="2"/>
  <c r="I158" i="2" s="1"/>
  <c r="I157" i="2" s="1"/>
  <c r="J159" i="2"/>
  <c r="J158" i="2" s="1"/>
  <c r="J157" i="2" s="1"/>
  <c r="K159" i="2"/>
  <c r="K158" i="2" s="1"/>
  <c r="K157" i="2" s="1"/>
  <c r="L159" i="2"/>
  <c r="L158" i="2" s="1"/>
  <c r="L157" i="2" s="1"/>
  <c r="M159" i="2"/>
  <c r="M158" i="2" s="1"/>
  <c r="M157" i="2" s="1"/>
  <c r="N159" i="2"/>
  <c r="N158" i="2" s="1"/>
  <c r="N157" i="2" s="1"/>
  <c r="M162" i="2"/>
  <c r="M161" i="2" s="1"/>
  <c r="E163" i="2"/>
  <c r="E162" i="2" s="1"/>
  <c r="F163" i="2"/>
  <c r="F162" i="2" s="1"/>
  <c r="G163" i="2"/>
  <c r="G162" i="2" s="1"/>
  <c r="H163" i="2"/>
  <c r="H162" i="2" s="1"/>
  <c r="I163" i="2"/>
  <c r="I162" i="2" s="1"/>
  <c r="J163" i="2"/>
  <c r="J162" i="2" s="1"/>
  <c r="K163" i="2"/>
  <c r="K162" i="2" s="1"/>
  <c r="K161" i="2" s="1"/>
  <c r="L163" i="2"/>
  <c r="L162" i="2" s="1"/>
  <c r="M163" i="2"/>
  <c r="N163" i="2"/>
  <c r="N162" i="2" s="1"/>
  <c r="I165" i="2"/>
  <c r="E166" i="2"/>
  <c r="E165" i="2" s="1"/>
  <c r="F166" i="2"/>
  <c r="F165" i="2" s="1"/>
  <c r="G166" i="2"/>
  <c r="G165" i="2" s="1"/>
  <c r="H166" i="2"/>
  <c r="H165" i="2" s="1"/>
  <c r="I166" i="2"/>
  <c r="J166" i="2"/>
  <c r="J165" i="2" s="1"/>
  <c r="K166" i="2"/>
  <c r="K165" i="2" s="1"/>
  <c r="L166" i="2"/>
  <c r="L165" i="2" s="1"/>
  <c r="M166" i="2"/>
  <c r="M165" i="2" s="1"/>
  <c r="N166" i="2"/>
  <c r="N165" i="2" s="1"/>
  <c r="F169" i="2"/>
  <c r="F168" i="2" s="1"/>
  <c r="E170" i="2"/>
  <c r="E169" i="2" s="1"/>
  <c r="E168" i="2" s="1"/>
  <c r="F170" i="2"/>
  <c r="G170" i="2"/>
  <c r="G169" i="2" s="1"/>
  <c r="G168" i="2" s="1"/>
  <c r="H170" i="2"/>
  <c r="H169" i="2" s="1"/>
  <c r="H168" i="2" s="1"/>
  <c r="I170" i="2"/>
  <c r="I169" i="2" s="1"/>
  <c r="I168" i="2" s="1"/>
  <c r="J170" i="2"/>
  <c r="J169" i="2" s="1"/>
  <c r="J168" i="2" s="1"/>
  <c r="K170" i="2"/>
  <c r="K169" i="2" s="1"/>
  <c r="K168" i="2" s="1"/>
  <c r="L170" i="2"/>
  <c r="L169" i="2" s="1"/>
  <c r="L168" i="2" s="1"/>
  <c r="M170" i="2"/>
  <c r="M169" i="2" s="1"/>
  <c r="M168" i="2" s="1"/>
  <c r="N170" i="2"/>
  <c r="N169" i="2" s="1"/>
  <c r="N168" i="2" s="1"/>
  <c r="H173" i="2"/>
  <c r="H172" i="2" s="1"/>
  <c r="M173" i="2"/>
  <c r="M172" i="2" s="1"/>
  <c r="E174" i="2"/>
  <c r="E173" i="2" s="1"/>
  <c r="E172" i="2" s="1"/>
  <c r="F174" i="2"/>
  <c r="F173" i="2" s="1"/>
  <c r="F172" i="2" s="1"/>
  <c r="G174" i="2"/>
  <c r="G173" i="2" s="1"/>
  <c r="G172" i="2" s="1"/>
  <c r="H174" i="2"/>
  <c r="I174" i="2"/>
  <c r="I173" i="2" s="1"/>
  <c r="I172" i="2" s="1"/>
  <c r="J174" i="2"/>
  <c r="J173" i="2" s="1"/>
  <c r="J172" i="2" s="1"/>
  <c r="K174" i="2"/>
  <c r="K173" i="2" s="1"/>
  <c r="K172" i="2" s="1"/>
  <c r="L174" i="2"/>
  <c r="L173" i="2" s="1"/>
  <c r="L172" i="2" s="1"/>
  <c r="M174" i="2"/>
  <c r="N174" i="2"/>
  <c r="N173" i="2" s="1"/>
  <c r="N172" i="2" s="1"/>
  <c r="E178" i="2"/>
  <c r="F178" i="2"/>
  <c r="G178" i="2"/>
  <c r="H178" i="2"/>
  <c r="I178" i="2"/>
  <c r="J178" i="2"/>
  <c r="K178" i="2"/>
  <c r="L178" i="2"/>
  <c r="M178" i="2"/>
  <c r="N178" i="2"/>
  <c r="E180" i="2"/>
  <c r="F180" i="2"/>
  <c r="G180" i="2"/>
  <c r="H180" i="2"/>
  <c r="I180" i="2"/>
  <c r="J180" i="2"/>
  <c r="K180" i="2"/>
  <c r="L180" i="2"/>
  <c r="M180" i="2"/>
  <c r="N180" i="2"/>
  <c r="E182" i="2"/>
  <c r="F182" i="2"/>
  <c r="G182" i="2"/>
  <c r="H182" i="2"/>
  <c r="I182" i="2"/>
  <c r="J182" i="2"/>
  <c r="K182" i="2"/>
  <c r="L182" i="2"/>
  <c r="M182" i="2"/>
  <c r="N182" i="2"/>
  <c r="E184" i="2"/>
  <c r="F184" i="2"/>
  <c r="G184" i="2"/>
  <c r="H184" i="2"/>
  <c r="I184" i="2"/>
  <c r="J184" i="2"/>
  <c r="K184" i="2"/>
  <c r="L184" i="2"/>
  <c r="M184" i="2"/>
  <c r="N184" i="2"/>
  <c r="E186" i="2"/>
  <c r="F186" i="2"/>
  <c r="G186" i="2"/>
  <c r="H186" i="2"/>
  <c r="I186" i="2"/>
  <c r="J186" i="2"/>
  <c r="K186" i="2"/>
  <c r="L186" i="2"/>
  <c r="M186" i="2"/>
  <c r="N186" i="2"/>
  <c r="E188" i="2"/>
  <c r="F188" i="2"/>
  <c r="G188" i="2"/>
  <c r="H188" i="2"/>
  <c r="I188" i="2"/>
  <c r="J188" i="2"/>
  <c r="K188" i="2"/>
  <c r="L188" i="2"/>
  <c r="M188" i="2"/>
  <c r="N188" i="2"/>
  <c r="E191" i="2"/>
  <c r="F191" i="2"/>
  <c r="G191" i="2"/>
  <c r="H191" i="2"/>
  <c r="I191" i="2"/>
  <c r="J191" i="2"/>
  <c r="K191" i="2"/>
  <c r="L191" i="2"/>
  <c r="M191" i="2"/>
  <c r="N191" i="2"/>
  <c r="E193" i="2"/>
  <c r="F193" i="2"/>
  <c r="G193" i="2"/>
  <c r="H193" i="2"/>
  <c r="I193" i="2"/>
  <c r="J193" i="2"/>
  <c r="K193" i="2"/>
  <c r="L193" i="2"/>
  <c r="M193" i="2"/>
  <c r="N193" i="2"/>
  <c r="E195" i="2"/>
  <c r="F195" i="2"/>
  <c r="G195" i="2"/>
  <c r="H195" i="2"/>
  <c r="I195" i="2"/>
  <c r="J195" i="2"/>
  <c r="K195" i="2"/>
  <c r="L195" i="2"/>
  <c r="M195" i="2"/>
  <c r="N195" i="2"/>
  <c r="E197" i="2"/>
  <c r="F197" i="2"/>
  <c r="G197" i="2"/>
  <c r="H197" i="2"/>
  <c r="I197" i="2"/>
  <c r="J197" i="2"/>
  <c r="K197" i="2"/>
  <c r="L197" i="2"/>
  <c r="M197" i="2"/>
  <c r="N197" i="2"/>
  <c r="E202" i="2"/>
  <c r="F202" i="2"/>
  <c r="G202" i="2"/>
  <c r="H202" i="2"/>
  <c r="I202" i="2"/>
  <c r="I201" i="2" s="1"/>
  <c r="I200" i="2" s="1"/>
  <c r="J202" i="2"/>
  <c r="K202" i="2"/>
  <c r="L202" i="2"/>
  <c r="M202" i="2"/>
  <c r="N202" i="2"/>
  <c r="E204" i="2"/>
  <c r="F204" i="2"/>
  <c r="G204" i="2"/>
  <c r="H204" i="2"/>
  <c r="I204" i="2"/>
  <c r="J204" i="2"/>
  <c r="K204" i="2"/>
  <c r="L204" i="2"/>
  <c r="M204" i="2"/>
  <c r="N204" i="2"/>
  <c r="E206" i="2"/>
  <c r="E201" i="2" s="1"/>
  <c r="F206" i="2"/>
  <c r="G206" i="2"/>
  <c r="H206" i="2"/>
  <c r="I206" i="2"/>
  <c r="J206" i="2"/>
  <c r="K206" i="2"/>
  <c r="L206" i="2"/>
  <c r="M206" i="2"/>
  <c r="M201" i="2" s="1"/>
  <c r="N206" i="2"/>
  <c r="E209" i="2"/>
  <c r="E208" i="2" s="1"/>
  <c r="F209" i="2"/>
  <c r="F208" i="2" s="1"/>
  <c r="G209" i="2"/>
  <c r="G208" i="2" s="1"/>
  <c r="H209" i="2"/>
  <c r="H208" i="2" s="1"/>
  <c r="I209" i="2"/>
  <c r="I208" i="2" s="1"/>
  <c r="J209" i="2"/>
  <c r="J208" i="2" s="1"/>
  <c r="K209" i="2"/>
  <c r="K208" i="2" s="1"/>
  <c r="L209" i="2"/>
  <c r="L208" i="2" s="1"/>
  <c r="M209" i="2"/>
  <c r="M208" i="2" s="1"/>
  <c r="N209" i="2"/>
  <c r="N208" i="2" s="1"/>
  <c r="E214" i="2"/>
  <c r="F214" i="2"/>
  <c r="G214" i="2"/>
  <c r="H214" i="2"/>
  <c r="I214" i="2"/>
  <c r="J214" i="2"/>
  <c r="K214" i="2"/>
  <c r="K213" i="2" s="1"/>
  <c r="K212" i="2" s="1"/>
  <c r="L214" i="2"/>
  <c r="M214" i="2"/>
  <c r="N214" i="2"/>
  <c r="E216" i="2"/>
  <c r="F216" i="2"/>
  <c r="G216" i="2"/>
  <c r="H216" i="2"/>
  <c r="I216" i="2"/>
  <c r="J216" i="2"/>
  <c r="K216" i="2"/>
  <c r="L216" i="2"/>
  <c r="M216" i="2"/>
  <c r="N216" i="2"/>
  <c r="E218" i="2"/>
  <c r="F218" i="2"/>
  <c r="G218" i="2"/>
  <c r="G213" i="2" s="1"/>
  <c r="G212" i="2" s="1"/>
  <c r="H218" i="2"/>
  <c r="I218" i="2"/>
  <c r="J218" i="2"/>
  <c r="K218" i="2"/>
  <c r="L218" i="2"/>
  <c r="M218" i="2"/>
  <c r="N218" i="2"/>
  <c r="E220" i="2"/>
  <c r="F220" i="2"/>
  <c r="G220" i="2"/>
  <c r="H220" i="2"/>
  <c r="I220" i="2"/>
  <c r="J220" i="2"/>
  <c r="K220" i="2"/>
  <c r="L220" i="2"/>
  <c r="M220" i="2"/>
  <c r="M213" i="2" s="1"/>
  <c r="M212" i="2" s="1"/>
  <c r="N220" i="2"/>
  <c r="E224" i="2"/>
  <c r="E223" i="2" s="1"/>
  <c r="F224" i="2"/>
  <c r="F223" i="2" s="1"/>
  <c r="G224" i="2"/>
  <c r="G223" i="2" s="1"/>
  <c r="H224" i="2"/>
  <c r="H223" i="2" s="1"/>
  <c r="I224" i="2"/>
  <c r="I223" i="2" s="1"/>
  <c r="J224" i="2"/>
  <c r="J223" i="2" s="1"/>
  <c r="K224" i="2"/>
  <c r="K223" i="2" s="1"/>
  <c r="L224" i="2"/>
  <c r="L223" i="2" s="1"/>
  <c r="M224" i="2"/>
  <c r="M223" i="2" s="1"/>
  <c r="N224" i="2"/>
  <c r="N223" i="2" s="1"/>
  <c r="E229" i="2"/>
  <c r="E228" i="2" s="1"/>
  <c r="F229" i="2"/>
  <c r="F228" i="2" s="1"/>
  <c r="G229" i="2"/>
  <c r="G228" i="2" s="1"/>
  <c r="H229" i="2"/>
  <c r="H228" i="2" s="1"/>
  <c r="I229" i="2"/>
  <c r="I228" i="2" s="1"/>
  <c r="J229" i="2"/>
  <c r="J228" i="2" s="1"/>
  <c r="K229" i="2"/>
  <c r="K228" i="2" s="1"/>
  <c r="L229" i="2"/>
  <c r="L228" i="2" s="1"/>
  <c r="M229" i="2"/>
  <c r="M228" i="2" s="1"/>
  <c r="N229" i="2"/>
  <c r="N228" i="2" s="1"/>
  <c r="E234" i="2"/>
  <c r="E233" i="2" s="1"/>
  <c r="F234" i="2"/>
  <c r="F233" i="2" s="1"/>
  <c r="G234" i="2"/>
  <c r="G233" i="2" s="1"/>
  <c r="H234" i="2"/>
  <c r="H233" i="2" s="1"/>
  <c r="H232" i="2" s="1"/>
  <c r="I234" i="2"/>
  <c r="I233" i="2" s="1"/>
  <c r="J234" i="2"/>
  <c r="J233" i="2" s="1"/>
  <c r="K234" i="2"/>
  <c r="K233" i="2" s="1"/>
  <c r="L234" i="2"/>
  <c r="L233" i="2" s="1"/>
  <c r="M234" i="2"/>
  <c r="M233" i="2" s="1"/>
  <c r="N234" i="2"/>
  <c r="N233" i="2" s="1"/>
  <c r="E237" i="2"/>
  <c r="E236" i="2" s="1"/>
  <c r="F237" i="2"/>
  <c r="F236" i="2" s="1"/>
  <c r="G237" i="2"/>
  <c r="G236" i="2" s="1"/>
  <c r="H237" i="2"/>
  <c r="H236" i="2" s="1"/>
  <c r="I237" i="2"/>
  <c r="I236" i="2" s="1"/>
  <c r="J237" i="2"/>
  <c r="J236" i="2" s="1"/>
  <c r="K237" i="2"/>
  <c r="K236" i="2" s="1"/>
  <c r="L237" i="2"/>
  <c r="L236" i="2" s="1"/>
  <c r="M237" i="2"/>
  <c r="M236" i="2" s="1"/>
  <c r="N237" i="2"/>
  <c r="N236" i="2" s="1"/>
  <c r="E241" i="2"/>
  <c r="F241" i="2"/>
  <c r="G241" i="2"/>
  <c r="H241" i="2"/>
  <c r="I241" i="2"/>
  <c r="J241" i="2"/>
  <c r="K241" i="2"/>
  <c r="L241" i="2"/>
  <c r="M241" i="2"/>
  <c r="N241" i="2"/>
  <c r="E245" i="2"/>
  <c r="F245" i="2"/>
  <c r="G245" i="2"/>
  <c r="H245" i="2"/>
  <c r="H240" i="2" s="1"/>
  <c r="I245" i="2"/>
  <c r="J245" i="2"/>
  <c r="K245" i="2"/>
  <c r="L245" i="2"/>
  <c r="L240" i="2" s="1"/>
  <c r="M245" i="2"/>
  <c r="N245" i="2"/>
  <c r="E247" i="2"/>
  <c r="F247" i="2"/>
  <c r="G247" i="2"/>
  <c r="H247" i="2"/>
  <c r="I247" i="2"/>
  <c r="J247" i="2"/>
  <c r="K247" i="2"/>
  <c r="L247" i="2"/>
  <c r="M247" i="2"/>
  <c r="N247" i="2"/>
  <c r="E250" i="2"/>
  <c r="E249" i="2" s="1"/>
  <c r="F250" i="2"/>
  <c r="F249" i="2" s="1"/>
  <c r="G250" i="2"/>
  <c r="G249" i="2" s="1"/>
  <c r="H250" i="2"/>
  <c r="H249" i="2" s="1"/>
  <c r="I250" i="2"/>
  <c r="I249" i="2" s="1"/>
  <c r="J250" i="2"/>
  <c r="J249" i="2" s="1"/>
  <c r="K250" i="2"/>
  <c r="K249" i="2" s="1"/>
  <c r="L250" i="2"/>
  <c r="L249" i="2" s="1"/>
  <c r="M250" i="2"/>
  <c r="M249" i="2" s="1"/>
  <c r="N250" i="2"/>
  <c r="N249" i="2" s="1"/>
  <c r="E256" i="2"/>
  <c r="E254" i="2" s="1"/>
  <c r="F256" i="2"/>
  <c r="G256" i="2"/>
  <c r="H256" i="2"/>
  <c r="I256" i="2"/>
  <c r="J256" i="2"/>
  <c r="K256" i="2"/>
  <c r="L256" i="2"/>
  <c r="M256" i="2"/>
  <c r="M254" i="2" s="1"/>
  <c r="N256" i="2"/>
  <c r="E259" i="2"/>
  <c r="F259" i="2"/>
  <c r="F254" i="2" s="1"/>
  <c r="G259" i="2"/>
  <c r="H259" i="2"/>
  <c r="I259" i="2"/>
  <c r="J259" i="2"/>
  <c r="K259" i="2"/>
  <c r="L259" i="2"/>
  <c r="M259" i="2"/>
  <c r="N259" i="2"/>
  <c r="N254" i="2" s="1"/>
  <c r="E261" i="2"/>
  <c r="F261" i="2"/>
  <c r="G261" i="2"/>
  <c r="H261" i="2"/>
  <c r="I261" i="2"/>
  <c r="J261" i="2"/>
  <c r="K261" i="2"/>
  <c r="L261" i="2"/>
  <c r="M261" i="2"/>
  <c r="N261" i="2"/>
  <c r="E264" i="2"/>
  <c r="E263" i="2" s="1"/>
  <c r="F264" i="2"/>
  <c r="F263" i="2" s="1"/>
  <c r="G264" i="2"/>
  <c r="G263" i="2" s="1"/>
  <c r="H264" i="2"/>
  <c r="H263" i="2" s="1"/>
  <c r="I264" i="2"/>
  <c r="I263" i="2" s="1"/>
  <c r="J264" i="2"/>
  <c r="J263" i="2" s="1"/>
  <c r="K264" i="2"/>
  <c r="K263" i="2" s="1"/>
  <c r="L264" i="2"/>
  <c r="L263" i="2" s="1"/>
  <c r="M264" i="2"/>
  <c r="M263" i="2" s="1"/>
  <c r="N264" i="2"/>
  <c r="N263" i="2" s="1"/>
  <c r="E269" i="2"/>
  <c r="F269" i="2"/>
  <c r="G269" i="2"/>
  <c r="H269" i="2"/>
  <c r="I269" i="2"/>
  <c r="J269" i="2"/>
  <c r="K269" i="2"/>
  <c r="L269" i="2"/>
  <c r="M269" i="2"/>
  <c r="N269" i="2"/>
  <c r="E271" i="2"/>
  <c r="F271" i="2"/>
  <c r="G271" i="2"/>
  <c r="H271" i="2"/>
  <c r="I271" i="2"/>
  <c r="J271" i="2"/>
  <c r="K271" i="2"/>
  <c r="L271" i="2"/>
  <c r="M271" i="2"/>
  <c r="N271" i="2"/>
  <c r="E273" i="2"/>
  <c r="F273" i="2"/>
  <c r="G273" i="2"/>
  <c r="H273" i="2"/>
  <c r="I273" i="2"/>
  <c r="J273" i="2"/>
  <c r="K273" i="2"/>
  <c r="L273" i="2"/>
  <c r="M273" i="2"/>
  <c r="N273" i="2"/>
  <c r="E275" i="2"/>
  <c r="F275" i="2"/>
  <c r="G275" i="2"/>
  <c r="H275" i="2"/>
  <c r="I275" i="2"/>
  <c r="J275" i="2"/>
  <c r="K275" i="2"/>
  <c r="L275" i="2"/>
  <c r="M275" i="2"/>
  <c r="N275" i="2"/>
  <c r="E277" i="2"/>
  <c r="F277" i="2"/>
  <c r="G277" i="2"/>
  <c r="H277" i="2"/>
  <c r="I277" i="2"/>
  <c r="J277" i="2"/>
  <c r="K277" i="2"/>
  <c r="L277" i="2"/>
  <c r="M277" i="2"/>
  <c r="N277" i="2"/>
  <c r="E279" i="2"/>
  <c r="F279" i="2"/>
  <c r="G279" i="2"/>
  <c r="H279" i="2"/>
  <c r="I279" i="2"/>
  <c r="J279" i="2"/>
  <c r="K279" i="2"/>
  <c r="L279" i="2"/>
  <c r="M279" i="2"/>
  <c r="N279" i="2"/>
  <c r="E281" i="2"/>
  <c r="F281" i="2"/>
  <c r="G281" i="2"/>
  <c r="H281" i="2"/>
  <c r="I281" i="2"/>
  <c r="J281" i="2"/>
  <c r="K281" i="2"/>
  <c r="L281" i="2"/>
  <c r="M281" i="2"/>
  <c r="N281" i="2"/>
  <c r="E285" i="2"/>
  <c r="F285" i="2"/>
  <c r="G285" i="2"/>
  <c r="H285" i="2"/>
  <c r="I285" i="2"/>
  <c r="J285" i="2"/>
  <c r="K285" i="2"/>
  <c r="L285" i="2"/>
  <c r="M285" i="2"/>
  <c r="N285" i="2"/>
  <c r="E288" i="2"/>
  <c r="F288" i="2"/>
  <c r="G288" i="2"/>
  <c r="H288" i="2"/>
  <c r="I288" i="2"/>
  <c r="J288" i="2"/>
  <c r="K288" i="2"/>
  <c r="L288" i="2"/>
  <c r="M288" i="2"/>
  <c r="N288" i="2"/>
  <c r="E290" i="2"/>
  <c r="F290" i="2"/>
  <c r="G290" i="2"/>
  <c r="H290" i="2"/>
  <c r="I290" i="2"/>
  <c r="J290" i="2"/>
  <c r="K290" i="2"/>
  <c r="L290" i="2"/>
  <c r="M290" i="2"/>
  <c r="N290" i="2"/>
  <c r="E292" i="2"/>
  <c r="F292" i="2"/>
  <c r="G292" i="2"/>
  <c r="H292" i="2"/>
  <c r="I292" i="2"/>
  <c r="J292" i="2"/>
  <c r="K292" i="2"/>
  <c r="L292" i="2"/>
  <c r="M292" i="2"/>
  <c r="N292" i="2"/>
  <c r="E294" i="2"/>
  <c r="F294" i="2"/>
  <c r="G294" i="2"/>
  <c r="H294" i="2"/>
  <c r="I294" i="2"/>
  <c r="J294" i="2"/>
  <c r="K294" i="2"/>
  <c r="L294" i="2"/>
  <c r="M294" i="2"/>
  <c r="N294" i="2"/>
  <c r="E296" i="2"/>
  <c r="F296" i="2"/>
  <c r="G296" i="2"/>
  <c r="H296" i="2"/>
  <c r="I296" i="2"/>
  <c r="J296" i="2"/>
  <c r="K296" i="2"/>
  <c r="L296" i="2"/>
  <c r="M296" i="2"/>
  <c r="N296" i="2"/>
  <c r="E298" i="2"/>
  <c r="F298" i="2"/>
  <c r="G298" i="2"/>
  <c r="H298" i="2"/>
  <c r="I298" i="2"/>
  <c r="J298" i="2"/>
  <c r="K298" i="2"/>
  <c r="L298" i="2"/>
  <c r="M298" i="2"/>
  <c r="N298" i="2"/>
  <c r="E300" i="2"/>
  <c r="F300" i="2"/>
  <c r="G300" i="2"/>
  <c r="H300" i="2"/>
  <c r="I300" i="2"/>
  <c r="J300" i="2"/>
  <c r="K300" i="2"/>
  <c r="L300" i="2"/>
  <c r="M300" i="2"/>
  <c r="N300" i="2"/>
  <c r="E302" i="2"/>
  <c r="F302" i="2"/>
  <c r="G302" i="2"/>
  <c r="H302" i="2"/>
  <c r="I302" i="2"/>
  <c r="J302" i="2"/>
  <c r="K302" i="2"/>
  <c r="L302" i="2"/>
  <c r="M302" i="2"/>
  <c r="N302" i="2"/>
  <c r="E304" i="2"/>
  <c r="F304" i="2"/>
  <c r="G304" i="2"/>
  <c r="H304" i="2"/>
  <c r="I304" i="2"/>
  <c r="J304" i="2"/>
  <c r="K304" i="2"/>
  <c r="L304" i="2"/>
  <c r="M304" i="2"/>
  <c r="N304" i="2"/>
  <c r="E307" i="2"/>
  <c r="F307" i="2"/>
  <c r="G307" i="2"/>
  <c r="H307" i="2"/>
  <c r="I307" i="2"/>
  <c r="J307" i="2"/>
  <c r="K307" i="2"/>
  <c r="L307" i="2"/>
  <c r="M307" i="2"/>
  <c r="N307" i="2"/>
  <c r="E309" i="2"/>
  <c r="F309" i="2"/>
  <c r="G309" i="2"/>
  <c r="H309" i="2"/>
  <c r="I309" i="2"/>
  <c r="J309" i="2"/>
  <c r="K309" i="2"/>
  <c r="L309" i="2"/>
  <c r="M309" i="2"/>
  <c r="N309" i="2"/>
  <c r="E311" i="2"/>
  <c r="F311" i="2"/>
  <c r="G311" i="2"/>
  <c r="H311" i="2"/>
  <c r="I311" i="2"/>
  <c r="J311" i="2"/>
  <c r="K311" i="2"/>
  <c r="L311" i="2"/>
  <c r="M311" i="2"/>
  <c r="N311" i="2"/>
  <c r="E313" i="2"/>
  <c r="F313" i="2"/>
  <c r="G313" i="2"/>
  <c r="H313" i="2"/>
  <c r="I313" i="2"/>
  <c r="J313" i="2"/>
  <c r="K313" i="2"/>
  <c r="L313" i="2"/>
  <c r="M313" i="2"/>
  <c r="N313" i="2"/>
  <c r="E316" i="2"/>
  <c r="E315" i="2" s="1"/>
  <c r="F316" i="2"/>
  <c r="F315" i="2" s="1"/>
  <c r="G316" i="2"/>
  <c r="G315" i="2" s="1"/>
  <c r="H316" i="2"/>
  <c r="H315" i="2" s="1"/>
  <c r="I316" i="2"/>
  <c r="I315" i="2" s="1"/>
  <c r="J316" i="2"/>
  <c r="J315" i="2" s="1"/>
  <c r="K316" i="2"/>
  <c r="K315" i="2" s="1"/>
  <c r="L316" i="2"/>
  <c r="L315" i="2" s="1"/>
  <c r="M316" i="2"/>
  <c r="M315" i="2" s="1"/>
  <c r="N316" i="2"/>
  <c r="N315" i="2" s="1"/>
  <c r="E319" i="2"/>
  <c r="F319" i="2"/>
  <c r="G319" i="2"/>
  <c r="H319" i="2"/>
  <c r="I319" i="2"/>
  <c r="J319" i="2"/>
  <c r="K319" i="2"/>
  <c r="L319" i="2"/>
  <c r="M319" i="2"/>
  <c r="N319" i="2"/>
  <c r="E321" i="2"/>
  <c r="F321" i="2"/>
  <c r="G321" i="2"/>
  <c r="H321" i="2"/>
  <c r="I321" i="2"/>
  <c r="J321" i="2"/>
  <c r="K321" i="2"/>
  <c r="L321" i="2"/>
  <c r="M321" i="2"/>
  <c r="N321" i="2"/>
  <c r="E323" i="2"/>
  <c r="F323" i="2"/>
  <c r="G323" i="2"/>
  <c r="H323" i="2"/>
  <c r="I323" i="2"/>
  <c r="J323" i="2"/>
  <c r="K323" i="2"/>
  <c r="L323" i="2"/>
  <c r="M323" i="2"/>
  <c r="N323" i="2"/>
  <c r="I325" i="2"/>
  <c r="E326" i="2"/>
  <c r="E325" i="2" s="1"/>
  <c r="F326" i="2"/>
  <c r="F325" i="2" s="1"/>
  <c r="G326" i="2"/>
  <c r="G325" i="2" s="1"/>
  <c r="H326" i="2"/>
  <c r="H325" i="2" s="1"/>
  <c r="I326" i="2"/>
  <c r="J326" i="2"/>
  <c r="J325" i="2" s="1"/>
  <c r="K326" i="2"/>
  <c r="K325" i="2" s="1"/>
  <c r="L326" i="2"/>
  <c r="L325" i="2" s="1"/>
  <c r="M326" i="2"/>
  <c r="M325" i="2" s="1"/>
  <c r="N326" i="2"/>
  <c r="N325" i="2" s="1"/>
  <c r="E329" i="2"/>
  <c r="F329" i="2"/>
  <c r="G329" i="2"/>
  <c r="H329" i="2"/>
  <c r="I329" i="2"/>
  <c r="J329" i="2"/>
  <c r="K329" i="2"/>
  <c r="L329" i="2"/>
  <c r="M329" i="2"/>
  <c r="N329" i="2"/>
  <c r="E332" i="2"/>
  <c r="F332" i="2"/>
  <c r="G332" i="2"/>
  <c r="H332" i="2"/>
  <c r="I332" i="2"/>
  <c r="J332" i="2"/>
  <c r="K332" i="2"/>
  <c r="L332" i="2"/>
  <c r="M332" i="2"/>
  <c r="N332" i="2"/>
  <c r="E334" i="2"/>
  <c r="F334" i="2"/>
  <c r="G334" i="2"/>
  <c r="H334" i="2"/>
  <c r="I334" i="2"/>
  <c r="J334" i="2"/>
  <c r="K334" i="2"/>
  <c r="L334" i="2"/>
  <c r="M334" i="2"/>
  <c r="N334" i="2"/>
  <c r="E336" i="2"/>
  <c r="F336" i="2"/>
  <c r="G336" i="2"/>
  <c r="H336" i="2"/>
  <c r="I336" i="2"/>
  <c r="J336" i="2"/>
  <c r="K336" i="2"/>
  <c r="L336" i="2"/>
  <c r="M336" i="2"/>
  <c r="N336" i="2"/>
  <c r="E340" i="2"/>
  <c r="E339" i="2" s="1"/>
  <c r="F340" i="2"/>
  <c r="G340" i="2"/>
  <c r="H340" i="2"/>
  <c r="H339" i="2" s="1"/>
  <c r="I340" i="2"/>
  <c r="J340" i="2"/>
  <c r="J339" i="2" s="1"/>
  <c r="K340" i="2"/>
  <c r="L340" i="2"/>
  <c r="M340" i="2"/>
  <c r="M339" i="2" s="1"/>
  <c r="N340" i="2"/>
  <c r="E342" i="2"/>
  <c r="F342" i="2"/>
  <c r="G342" i="2"/>
  <c r="G339" i="2" s="1"/>
  <c r="H342" i="2"/>
  <c r="I342" i="2"/>
  <c r="J342" i="2"/>
  <c r="K342" i="2"/>
  <c r="K339" i="2" s="1"/>
  <c r="L342" i="2"/>
  <c r="M342" i="2"/>
  <c r="N342" i="2"/>
  <c r="E345" i="2"/>
  <c r="F345" i="2"/>
  <c r="G345" i="2"/>
  <c r="H345" i="2"/>
  <c r="I345" i="2"/>
  <c r="J345" i="2"/>
  <c r="K345" i="2"/>
  <c r="L345" i="2"/>
  <c r="M345" i="2"/>
  <c r="N345" i="2"/>
  <c r="E347" i="2"/>
  <c r="F347" i="2"/>
  <c r="G347" i="2"/>
  <c r="H347" i="2"/>
  <c r="I347" i="2"/>
  <c r="J347" i="2"/>
  <c r="K347" i="2"/>
  <c r="L347" i="2"/>
  <c r="M347" i="2"/>
  <c r="N347" i="2"/>
  <c r="E349" i="2"/>
  <c r="F349" i="2"/>
  <c r="G349" i="2"/>
  <c r="H349" i="2"/>
  <c r="I349" i="2"/>
  <c r="J349" i="2"/>
  <c r="K349" i="2"/>
  <c r="L349" i="2"/>
  <c r="M349" i="2"/>
  <c r="N349" i="2"/>
  <c r="E351" i="2"/>
  <c r="F351" i="2"/>
  <c r="G351" i="2"/>
  <c r="H351" i="2"/>
  <c r="I351" i="2"/>
  <c r="J351" i="2"/>
  <c r="K351" i="2"/>
  <c r="L351" i="2"/>
  <c r="M351" i="2"/>
  <c r="N351" i="2"/>
  <c r="E355" i="2"/>
  <c r="F355" i="2"/>
  <c r="G355" i="2"/>
  <c r="H355" i="2"/>
  <c r="H354" i="2" s="1"/>
  <c r="H353" i="2" s="1"/>
  <c r="I355" i="2"/>
  <c r="J355" i="2"/>
  <c r="K355" i="2"/>
  <c r="L355" i="2"/>
  <c r="M355" i="2"/>
  <c r="M354" i="2" s="1"/>
  <c r="M353" i="2" s="1"/>
  <c r="N355" i="2"/>
  <c r="E357" i="2"/>
  <c r="F357" i="2"/>
  <c r="G357" i="2"/>
  <c r="H357" i="2"/>
  <c r="I357" i="2"/>
  <c r="J357" i="2"/>
  <c r="K357" i="2"/>
  <c r="L357" i="2"/>
  <c r="M357" i="2"/>
  <c r="N357" i="2"/>
  <c r="E362" i="2"/>
  <c r="F362" i="2"/>
  <c r="G362" i="2"/>
  <c r="H362" i="2"/>
  <c r="I362" i="2"/>
  <c r="J362" i="2"/>
  <c r="K362" i="2"/>
  <c r="L362" i="2"/>
  <c r="M362" i="2"/>
  <c r="N362" i="2"/>
  <c r="E364" i="2"/>
  <c r="F364" i="2"/>
  <c r="G364" i="2"/>
  <c r="H364" i="2"/>
  <c r="I364" i="2"/>
  <c r="J364" i="2"/>
  <c r="K364" i="2"/>
  <c r="L364" i="2"/>
  <c r="M364" i="2"/>
  <c r="N364" i="2"/>
  <c r="E366" i="2"/>
  <c r="F366" i="2"/>
  <c r="G366" i="2"/>
  <c r="H366" i="2"/>
  <c r="I366" i="2"/>
  <c r="J366" i="2"/>
  <c r="K366" i="2"/>
  <c r="L366" i="2"/>
  <c r="M366" i="2"/>
  <c r="N366" i="2"/>
  <c r="E368" i="2"/>
  <c r="F368" i="2"/>
  <c r="G368" i="2"/>
  <c r="H368" i="2"/>
  <c r="I368" i="2"/>
  <c r="J368" i="2"/>
  <c r="K368" i="2"/>
  <c r="L368" i="2"/>
  <c r="M368" i="2"/>
  <c r="N368" i="2"/>
  <c r="E370" i="2"/>
  <c r="F370" i="2"/>
  <c r="G370" i="2"/>
  <c r="H370" i="2"/>
  <c r="I370" i="2"/>
  <c r="J370" i="2"/>
  <c r="K370" i="2"/>
  <c r="L370" i="2"/>
  <c r="M370" i="2"/>
  <c r="N370" i="2"/>
  <c r="E372" i="2"/>
  <c r="F372" i="2"/>
  <c r="G372" i="2"/>
  <c r="H372" i="2"/>
  <c r="I372" i="2"/>
  <c r="J372" i="2"/>
  <c r="K372" i="2"/>
  <c r="L372" i="2"/>
  <c r="M372" i="2"/>
  <c r="N372" i="2"/>
  <c r="E374" i="2"/>
  <c r="F374" i="2"/>
  <c r="G374" i="2"/>
  <c r="H374" i="2"/>
  <c r="I374" i="2"/>
  <c r="J374" i="2"/>
  <c r="K374" i="2"/>
  <c r="L374" i="2"/>
  <c r="M374" i="2"/>
  <c r="N374" i="2"/>
  <c r="E376" i="2"/>
  <c r="F376" i="2"/>
  <c r="G376" i="2"/>
  <c r="H376" i="2"/>
  <c r="I376" i="2"/>
  <c r="J376" i="2"/>
  <c r="K376" i="2"/>
  <c r="L376" i="2"/>
  <c r="M376" i="2"/>
  <c r="N376" i="2"/>
  <c r="E378" i="2"/>
  <c r="F378" i="2"/>
  <c r="G378" i="2"/>
  <c r="H378" i="2"/>
  <c r="I378" i="2"/>
  <c r="J378" i="2"/>
  <c r="K378" i="2"/>
  <c r="L378" i="2"/>
  <c r="M378" i="2"/>
  <c r="N378" i="2"/>
  <c r="E380" i="2"/>
  <c r="F380" i="2"/>
  <c r="G380" i="2"/>
  <c r="H380" i="2"/>
  <c r="I380" i="2"/>
  <c r="J380" i="2"/>
  <c r="K380" i="2"/>
  <c r="L380" i="2"/>
  <c r="M380" i="2"/>
  <c r="N380" i="2"/>
  <c r="E382" i="2"/>
  <c r="F382" i="2"/>
  <c r="G382" i="2"/>
  <c r="H382" i="2"/>
  <c r="I382" i="2"/>
  <c r="J382" i="2"/>
  <c r="K382" i="2"/>
  <c r="L382" i="2"/>
  <c r="M382" i="2"/>
  <c r="N382" i="2"/>
  <c r="E384" i="2"/>
  <c r="F384" i="2"/>
  <c r="G384" i="2"/>
  <c r="H384" i="2"/>
  <c r="I384" i="2"/>
  <c r="J384" i="2"/>
  <c r="K384" i="2"/>
  <c r="L384" i="2"/>
  <c r="M384" i="2"/>
  <c r="N384" i="2"/>
  <c r="E386" i="2"/>
  <c r="F386" i="2"/>
  <c r="G386" i="2"/>
  <c r="H386" i="2"/>
  <c r="I386" i="2"/>
  <c r="J386" i="2"/>
  <c r="K386" i="2"/>
  <c r="L386" i="2"/>
  <c r="M386" i="2"/>
  <c r="N386" i="2"/>
  <c r="E388" i="2"/>
  <c r="F388" i="2"/>
  <c r="G388" i="2"/>
  <c r="H388" i="2"/>
  <c r="I388" i="2"/>
  <c r="J388" i="2"/>
  <c r="K388" i="2"/>
  <c r="L388" i="2"/>
  <c r="M388" i="2"/>
  <c r="N388" i="2"/>
  <c r="E390" i="2"/>
  <c r="F390" i="2"/>
  <c r="G390" i="2"/>
  <c r="H390" i="2"/>
  <c r="I390" i="2"/>
  <c r="J390" i="2"/>
  <c r="K390" i="2"/>
  <c r="L390" i="2"/>
  <c r="M390" i="2"/>
  <c r="N390" i="2"/>
  <c r="E393" i="2"/>
  <c r="F393" i="2"/>
  <c r="G393" i="2"/>
  <c r="H393" i="2"/>
  <c r="I393" i="2"/>
  <c r="J393" i="2"/>
  <c r="K393" i="2"/>
  <c r="L393" i="2"/>
  <c r="M393" i="2"/>
  <c r="N393" i="2"/>
  <c r="E395" i="2"/>
  <c r="F395" i="2"/>
  <c r="G395" i="2"/>
  <c r="H395" i="2"/>
  <c r="I395" i="2"/>
  <c r="J395" i="2"/>
  <c r="K395" i="2"/>
  <c r="L395" i="2"/>
  <c r="M395" i="2"/>
  <c r="N395" i="2"/>
  <c r="E397" i="2"/>
  <c r="F397" i="2"/>
  <c r="G397" i="2"/>
  <c r="H397" i="2"/>
  <c r="I397" i="2"/>
  <c r="J397" i="2"/>
  <c r="K397" i="2"/>
  <c r="L397" i="2"/>
  <c r="M397" i="2"/>
  <c r="N397" i="2"/>
  <c r="E399" i="2"/>
  <c r="F399" i="2"/>
  <c r="G399" i="2"/>
  <c r="H399" i="2"/>
  <c r="I399" i="2"/>
  <c r="J399" i="2"/>
  <c r="K399" i="2"/>
  <c r="L399" i="2"/>
  <c r="M399" i="2"/>
  <c r="N399" i="2"/>
  <c r="E401" i="2"/>
  <c r="F401" i="2"/>
  <c r="G401" i="2"/>
  <c r="H401" i="2"/>
  <c r="I401" i="2"/>
  <c r="J401" i="2"/>
  <c r="K401" i="2"/>
  <c r="L401" i="2"/>
  <c r="M401" i="2"/>
  <c r="N401" i="2"/>
  <c r="E403" i="2"/>
  <c r="F403" i="2"/>
  <c r="G403" i="2"/>
  <c r="H403" i="2"/>
  <c r="I403" i="2"/>
  <c r="J403" i="2"/>
  <c r="K403" i="2"/>
  <c r="L403" i="2"/>
  <c r="M403" i="2"/>
  <c r="N403" i="2"/>
  <c r="E405" i="2"/>
  <c r="F405" i="2"/>
  <c r="G405" i="2"/>
  <c r="H405" i="2"/>
  <c r="I405" i="2"/>
  <c r="J405" i="2"/>
  <c r="K405" i="2"/>
  <c r="L405" i="2"/>
  <c r="M405" i="2"/>
  <c r="N405" i="2"/>
  <c r="E407" i="2"/>
  <c r="F407" i="2"/>
  <c r="G407" i="2"/>
  <c r="H407" i="2"/>
  <c r="I407" i="2"/>
  <c r="J407" i="2"/>
  <c r="K407" i="2"/>
  <c r="L407" i="2"/>
  <c r="M407" i="2"/>
  <c r="N407" i="2"/>
  <c r="E409" i="2"/>
  <c r="F409" i="2"/>
  <c r="G409" i="2"/>
  <c r="H409" i="2"/>
  <c r="I409" i="2"/>
  <c r="J409" i="2"/>
  <c r="K409" i="2"/>
  <c r="L409" i="2"/>
  <c r="M409" i="2"/>
  <c r="N409" i="2"/>
  <c r="E411" i="2"/>
  <c r="F411" i="2"/>
  <c r="G411" i="2"/>
  <c r="H411" i="2"/>
  <c r="I411" i="2"/>
  <c r="J411" i="2"/>
  <c r="K411" i="2"/>
  <c r="L411" i="2"/>
  <c r="M411" i="2"/>
  <c r="N411" i="2"/>
  <c r="E413" i="2"/>
  <c r="F413" i="2"/>
  <c r="G413" i="2"/>
  <c r="H413" i="2"/>
  <c r="I413" i="2"/>
  <c r="J413" i="2"/>
  <c r="K413" i="2"/>
  <c r="L413" i="2"/>
  <c r="M413" i="2"/>
  <c r="N413" i="2"/>
  <c r="E415" i="2"/>
  <c r="F415" i="2"/>
  <c r="G415" i="2"/>
  <c r="H415" i="2"/>
  <c r="I415" i="2"/>
  <c r="J415" i="2"/>
  <c r="K415" i="2"/>
  <c r="L415" i="2"/>
  <c r="M415" i="2"/>
  <c r="N415" i="2"/>
  <c r="E417" i="2"/>
  <c r="F417" i="2"/>
  <c r="G417" i="2"/>
  <c r="H417" i="2"/>
  <c r="I417" i="2"/>
  <c r="J417" i="2"/>
  <c r="K417" i="2"/>
  <c r="L417" i="2"/>
  <c r="M417" i="2"/>
  <c r="N417" i="2"/>
  <c r="E419" i="2"/>
  <c r="F419" i="2"/>
  <c r="G419" i="2"/>
  <c r="H419" i="2"/>
  <c r="I419" i="2"/>
  <c r="J419" i="2"/>
  <c r="K419" i="2"/>
  <c r="L419" i="2"/>
  <c r="M419" i="2"/>
  <c r="N419" i="2"/>
  <c r="E421" i="2"/>
  <c r="F421" i="2"/>
  <c r="G421" i="2"/>
  <c r="H421" i="2"/>
  <c r="I421" i="2"/>
  <c r="J421" i="2"/>
  <c r="K421" i="2"/>
  <c r="L421" i="2"/>
  <c r="M421" i="2"/>
  <c r="N421" i="2"/>
  <c r="E423" i="2"/>
  <c r="F423" i="2"/>
  <c r="G423" i="2"/>
  <c r="H423" i="2"/>
  <c r="I423" i="2"/>
  <c r="J423" i="2"/>
  <c r="K423" i="2"/>
  <c r="L423" i="2"/>
  <c r="M423" i="2"/>
  <c r="N423" i="2"/>
  <c r="E425" i="2"/>
  <c r="F425" i="2"/>
  <c r="G425" i="2"/>
  <c r="H425" i="2"/>
  <c r="I425" i="2"/>
  <c r="J425" i="2"/>
  <c r="K425" i="2"/>
  <c r="L425" i="2"/>
  <c r="M425" i="2"/>
  <c r="N425" i="2"/>
  <c r="E428" i="2"/>
  <c r="F428" i="2"/>
  <c r="G428" i="2"/>
  <c r="G427" i="2" s="1"/>
  <c r="H428" i="2"/>
  <c r="I428" i="2"/>
  <c r="J428" i="2"/>
  <c r="K428" i="2"/>
  <c r="L428" i="2"/>
  <c r="M428" i="2"/>
  <c r="N428" i="2"/>
  <c r="E430" i="2"/>
  <c r="F430" i="2"/>
  <c r="G430" i="2"/>
  <c r="H430" i="2"/>
  <c r="I430" i="2"/>
  <c r="J430" i="2"/>
  <c r="K430" i="2"/>
  <c r="L430" i="2"/>
  <c r="M430" i="2"/>
  <c r="N430" i="2"/>
  <c r="E432" i="2"/>
  <c r="F432" i="2"/>
  <c r="G432" i="2"/>
  <c r="H432" i="2"/>
  <c r="I432" i="2"/>
  <c r="J432" i="2"/>
  <c r="K432" i="2"/>
  <c r="L432" i="2"/>
  <c r="M432" i="2"/>
  <c r="N432" i="2"/>
  <c r="E435" i="2"/>
  <c r="E434" i="2" s="1"/>
  <c r="F435" i="2"/>
  <c r="F434" i="2" s="1"/>
  <c r="G435" i="2"/>
  <c r="G434" i="2" s="1"/>
  <c r="H435" i="2"/>
  <c r="H434" i="2" s="1"/>
  <c r="I435" i="2"/>
  <c r="I434" i="2" s="1"/>
  <c r="J435" i="2"/>
  <c r="J434" i="2" s="1"/>
  <c r="K435" i="2"/>
  <c r="K434" i="2" s="1"/>
  <c r="L435" i="2"/>
  <c r="L434" i="2" s="1"/>
  <c r="M435" i="2"/>
  <c r="M434" i="2" s="1"/>
  <c r="N435" i="2"/>
  <c r="N434" i="2" s="1"/>
  <c r="E438" i="2"/>
  <c r="E437" i="2" s="1"/>
  <c r="F438" i="2"/>
  <c r="F437" i="2" s="1"/>
  <c r="G438" i="2"/>
  <c r="G437" i="2" s="1"/>
  <c r="H438" i="2"/>
  <c r="H437" i="2" s="1"/>
  <c r="I438" i="2"/>
  <c r="I437" i="2" s="1"/>
  <c r="J438" i="2"/>
  <c r="J437" i="2" s="1"/>
  <c r="K438" i="2"/>
  <c r="K437" i="2" s="1"/>
  <c r="L438" i="2"/>
  <c r="L437" i="2" s="1"/>
  <c r="M438" i="2"/>
  <c r="M437" i="2" s="1"/>
  <c r="N438" i="2"/>
  <c r="N437" i="2" s="1"/>
  <c r="E442" i="2"/>
  <c r="E440" i="2" s="1"/>
  <c r="F442" i="2"/>
  <c r="F440" i="2" s="1"/>
  <c r="G442" i="2"/>
  <c r="G440" i="2" s="1"/>
  <c r="H442" i="2"/>
  <c r="H440" i="2" s="1"/>
  <c r="I442" i="2"/>
  <c r="I440" i="2" s="1"/>
  <c r="J442" i="2"/>
  <c r="J440" i="2" s="1"/>
  <c r="K442" i="2"/>
  <c r="K440" i="2" s="1"/>
  <c r="L442" i="2"/>
  <c r="L440" i="2" s="1"/>
  <c r="M442" i="2"/>
  <c r="M440" i="2" s="1"/>
  <c r="N442" i="2"/>
  <c r="N440" i="2" s="1"/>
  <c r="E447" i="2"/>
  <c r="F447" i="2"/>
  <c r="G447" i="2"/>
  <c r="H447" i="2"/>
  <c r="I447" i="2"/>
  <c r="J447" i="2"/>
  <c r="K447" i="2"/>
  <c r="L447" i="2"/>
  <c r="M447" i="2"/>
  <c r="N447" i="2"/>
  <c r="E449" i="2"/>
  <c r="F449" i="2"/>
  <c r="G449" i="2"/>
  <c r="H449" i="2"/>
  <c r="I449" i="2"/>
  <c r="J449" i="2"/>
  <c r="K449" i="2"/>
  <c r="L449" i="2"/>
  <c r="M449" i="2"/>
  <c r="M446" i="2" s="1"/>
  <c r="N449" i="2"/>
  <c r="E451" i="2"/>
  <c r="F451" i="2"/>
  <c r="G451" i="2"/>
  <c r="H451" i="2"/>
  <c r="I451" i="2"/>
  <c r="J451" i="2"/>
  <c r="K451" i="2"/>
  <c r="L451" i="2"/>
  <c r="M451" i="2"/>
  <c r="N451" i="2"/>
  <c r="E453" i="2"/>
  <c r="L453" i="2"/>
  <c r="M453" i="2"/>
  <c r="E454" i="2"/>
  <c r="F454" i="2"/>
  <c r="F453" i="2" s="1"/>
  <c r="G454" i="2"/>
  <c r="G453" i="2" s="1"/>
  <c r="H454" i="2"/>
  <c r="H453" i="2" s="1"/>
  <c r="I454" i="2"/>
  <c r="I453" i="2" s="1"/>
  <c r="J454" i="2"/>
  <c r="J453" i="2" s="1"/>
  <c r="K454" i="2"/>
  <c r="K453" i="2" s="1"/>
  <c r="L454" i="2"/>
  <c r="M454" i="2"/>
  <c r="N454" i="2"/>
  <c r="N453" i="2" s="1"/>
  <c r="E456" i="2"/>
  <c r="M456" i="2"/>
  <c r="E457" i="2"/>
  <c r="F457" i="2"/>
  <c r="F456" i="2" s="1"/>
  <c r="G457" i="2"/>
  <c r="G456" i="2" s="1"/>
  <c r="H457" i="2"/>
  <c r="H456" i="2" s="1"/>
  <c r="I457" i="2"/>
  <c r="I456" i="2" s="1"/>
  <c r="J457" i="2"/>
  <c r="J456" i="2" s="1"/>
  <c r="K457" i="2"/>
  <c r="K456" i="2" s="1"/>
  <c r="L457" i="2"/>
  <c r="L456" i="2" s="1"/>
  <c r="M457" i="2"/>
  <c r="N457" i="2"/>
  <c r="N456" i="2" s="1"/>
  <c r="E461" i="2"/>
  <c r="F461" i="2"/>
  <c r="G461" i="2"/>
  <c r="H461" i="2"/>
  <c r="I461" i="2"/>
  <c r="J461" i="2"/>
  <c r="K461" i="2"/>
  <c r="L461" i="2"/>
  <c r="M461" i="2"/>
  <c r="N461" i="2"/>
  <c r="E464" i="2"/>
  <c r="F464" i="2"/>
  <c r="G464" i="2"/>
  <c r="H464" i="2"/>
  <c r="I464" i="2"/>
  <c r="J464" i="2"/>
  <c r="K464" i="2"/>
  <c r="L464" i="2"/>
  <c r="M464" i="2"/>
  <c r="N464" i="2"/>
  <c r="E466" i="2"/>
  <c r="F466" i="2"/>
  <c r="G466" i="2"/>
  <c r="H466" i="2"/>
  <c r="I466" i="2"/>
  <c r="J466" i="2"/>
  <c r="K466" i="2"/>
  <c r="L466" i="2"/>
  <c r="M466" i="2"/>
  <c r="N466" i="2"/>
  <c r="E468" i="2"/>
  <c r="F468" i="2"/>
  <c r="G468" i="2"/>
  <c r="H468" i="2"/>
  <c r="I468" i="2"/>
  <c r="J468" i="2"/>
  <c r="K468" i="2"/>
  <c r="L468" i="2"/>
  <c r="M468" i="2"/>
  <c r="N468" i="2"/>
  <c r="E470" i="2"/>
  <c r="F470" i="2"/>
  <c r="G470" i="2"/>
  <c r="H470" i="2"/>
  <c r="I470" i="2"/>
  <c r="J470" i="2"/>
  <c r="K470" i="2"/>
  <c r="L470" i="2"/>
  <c r="M470" i="2"/>
  <c r="N470" i="2"/>
  <c r="E472" i="2"/>
  <c r="F472" i="2"/>
  <c r="G472" i="2"/>
  <c r="H472" i="2"/>
  <c r="I472" i="2"/>
  <c r="J472" i="2"/>
  <c r="K472" i="2"/>
  <c r="L472" i="2"/>
  <c r="M472" i="2"/>
  <c r="N472" i="2"/>
  <c r="E474" i="2"/>
  <c r="F474" i="2"/>
  <c r="G474" i="2"/>
  <c r="H474" i="2"/>
  <c r="I474" i="2"/>
  <c r="J474" i="2"/>
  <c r="K474" i="2"/>
  <c r="L474" i="2"/>
  <c r="M474" i="2"/>
  <c r="N474" i="2"/>
  <c r="E476" i="2"/>
  <c r="F476" i="2"/>
  <c r="G476" i="2"/>
  <c r="H476" i="2"/>
  <c r="I476" i="2"/>
  <c r="J476" i="2"/>
  <c r="K476" i="2"/>
  <c r="L476" i="2"/>
  <c r="M476" i="2"/>
  <c r="N476" i="2"/>
  <c r="E478" i="2"/>
  <c r="F478" i="2"/>
  <c r="G478" i="2"/>
  <c r="H478" i="2"/>
  <c r="I478" i="2"/>
  <c r="J478" i="2"/>
  <c r="K478" i="2"/>
  <c r="L478" i="2"/>
  <c r="M478" i="2"/>
  <c r="N478" i="2"/>
  <c r="E480" i="2"/>
  <c r="F480" i="2"/>
  <c r="G480" i="2"/>
  <c r="H480" i="2"/>
  <c r="I480" i="2"/>
  <c r="J480" i="2"/>
  <c r="K480" i="2"/>
  <c r="L480" i="2"/>
  <c r="M480" i="2"/>
  <c r="N480" i="2"/>
  <c r="E482" i="2"/>
  <c r="F482" i="2"/>
  <c r="G482" i="2"/>
  <c r="H482" i="2"/>
  <c r="I482" i="2"/>
  <c r="J482" i="2"/>
  <c r="K482" i="2"/>
  <c r="L482" i="2"/>
  <c r="M482" i="2"/>
  <c r="N482" i="2"/>
  <c r="E484" i="2"/>
  <c r="F484" i="2"/>
  <c r="G484" i="2"/>
  <c r="H484" i="2"/>
  <c r="I484" i="2"/>
  <c r="J484" i="2"/>
  <c r="K484" i="2"/>
  <c r="L484" i="2"/>
  <c r="M484" i="2"/>
  <c r="N484" i="2"/>
  <c r="E486" i="2"/>
  <c r="F486" i="2"/>
  <c r="G486" i="2"/>
  <c r="H486" i="2"/>
  <c r="I486" i="2"/>
  <c r="J486" i="2"/>
  <c r="K486" i="2"/>
  <c r="L486" i="2"/>
  <c r="M486" i="2"/>
  <c r="N486" i="2"/>
  <c r="E488" i="2"/>
  <c r="F488" i="2"/>
  <c r="G488" i="2"/>
  <c r="H488" i="2"/>
  <c r="I488" i="2"/>
  <c r="J488" i="2"/>
  <c r="K488" i="2"/>
  <c r="L488" i="2"/>
  <c r="M488" i="2"/>
  <c r="N488" i="2"/>
  <c r="E490" i="2"/>
  <c r="F490" i="2"/>
  <c r="G490" i="2"/>
  <c r="H490" i="2"/>
  <c r="I490" i="2"/>
  <c r="J490" i="2"/>
  <c r="K490" i="2"/>
  <c r="L490" i="2"/>
  <c r="M490" i="2"/>
  <c r="N490" i="2"/>
  <c r="E492" i="2"/>
  <c r="F492" i="2"/>
  <c r="G492" i="2"/>
  <c r="H492" i="2"/>
  <c r="I492" i="2"/>
  <c r="J492" i="2"/>
  <c r="K492" i="2"/>
  <c r="L492" i="2"/>
  <c r="M492" i="2"/>
  <c r="N492" i="2"/>
  <c r="E495" i="2"/>
  <c r="E494" i="2" s="1"/>
  <c r="F495" i="2"/>
  <c r="F494" i="2" s="1"/>
  <c r="G495" i="2"/>
  <c r="G494" i="2" s="1"/>
  <c r="H495" i="2"/>
  <c r="H494" i="2" s="1"/>
  <c r="I495" i="2"/>
  <c r="I494" i="2" s="1"/>
  <c r="J495" i="2"/>
  <c r="J494" i="2" s="1"/>
  <c r="K495" i="2"/>
  <c r="K494" i="2" s="1"/>
  <c r="L495" i="2"/>
  <c r="L494" i="2" s="1"/>
  <c r="M495" i="2"/>
  <c r="M494" i="2" s="1"/>
  <c r="N495" i="2"/>
  <c r="N494" i="2" s="1"/>
  <c r="E497" i="2"/>
  <c r="M497" i="2"/>
  <c r="E498" i="2"/>
  <c r="F498" i="2"/>
  <c r="F497" i="2" s="1"/>
  <c r="G498" i="2"/>
  <c r="G497" i="2" s="1"/>
  <c r="H498" i="2"/>
  <c r="H497" i="2" s="1"/>
  <c r="I498" i="2"/>
  <c r="I497" i="2" s="1"/>
  <c r="J498" i="2"/>
  <c r="J497" i="2" s="1"/>
  <c r="K498" i="2"/>
  <c r="K497" i="2" s="1"/>
  <c r="L498" i="2"/>
  <c r="L497" i="2" s="1"/>
  <c r="M498" i="2"/>
  <c r="N498" i="2"/>
  <c r="N497" i="2" s="1"/>
  <c r="E501" i="2"/>
  <c r="F501" i="2"/>
  <c r="G501" i="2"/>
  <c r="H501" i="2"/>
  <c r="H500" i="2" s="1"/>
  <c r="I501" i="2"/>
  <c r="J501" i="2"/>
  <c r="K501" i="2"/>
  <c r="K500" i="2" s="1"/>
  <c r="L501" i="2"/>
  <c r="M501" i="2"/>
  <c r="N501" i="2"/>
  <c r="E503" i="2"/>
  <c r="E500" i="2" s="1"/>
  <c r="F503" i="2"/>
  <c r="G503" i="2"/>
  <c r="H503" i="2"/>
  <c r="I503" i="2"/>
  <c r="J503" i="2"/>
  <c r="K503" i="2"/>
  <c r="L503" i="2"/>
  <c r="M503" i="2"/>
  <c r="M500" i="2" s="1"/>
  <c r="N503" i="2"/>
  <c r="E506" i="2"/>
  <c r="E505" i="2" s="1"/>
  <c r="F506" i="2"/>
  <c r="G506" i="2"/>
  <c r="H506" i="2"/>
  <c r="I506" i="2"/>
  <c r="J506" i="2"/>
  <c r="K506" i="2"/>
  <c r="L506" i="2"/>
  <c r="L505" i="2" s="1"/>
  <c r="M506" i="2"/>
  <c r="M505" i="2" s="1"/>
  <c r="N506" i="2"/>
  <c r="E508" i="2"/>
  <c r="F508" i="2"/>
  <c r="G508" i="2"/>
  <c r="H508" i="2"/>
  <c r="I508" i="2"/>
  <c r="J508" i="2"/>
  <c r="K508" i="2"/>
  <c r="K505" i="2" s="1"/>
  <c r="L508" i="2"/>
  <c r="M508" i="2"/>
  <c r="N508" i="2"/>
  <c r="E512" i="2"/>
  <c r="F512" i="2"/>
  <c r="G512" i="2"/>
  <c r="H512" i="2"/>
  <c r="H511" i="2" s="1"/>
  <c r="H510" i="2" s="1"/>
  <c r="I512" i="2"/>
  <c r="J512" i="2"/>
  <c r="K512" i="2"/>
  <c r="K511" i="2" s="1"/>
  <c r="K510" i="2" s="1"/>
  <c r="L512" i="2"/>
  <c r="M512" i="2"/>
  <c r="N512" i="2"/>
  <c r="E514" i="2"/>
  <c r="F514" i="2"/>
  <c r="G514" i="2"/>
  <c r="H514" i="2"/>
  <c r="I514" i="2"/>
  <c r="J514" i="2"/>
  <c r="K514" i="2"/>
  <c r="L514" i="2"/>
  <c r="M514" i="2"/>
  <c r="N514" i="2"/>
  <c r="E519" i="2"/>
  <c r="E518" i="2" s="1"/>
  <c r="E517" i="2" s="1"/>
  <c r="F519" i="2"/>
  <c r="F518" i="2" s="1"/>
  <c r="F517" i="2" s="1"/>
  <c r="G519" i="2"/>
  <c r="G518" i="2" s="1"/>
  <c r="G517" i="2" s="1"/>
  <c r="H519" i="2"/>
  <c r="H518" i="2" s="1"/>
  <c r="H517" i="2" s="1"/>
  <c r="I519" i="2"/>
  <c r="I518" i="2" s="1"/>
  <c r="I517" i="2" s="1"/>
  <c r="J519" i="2"/>
  <c r="J518" i="2" s="1"/>
  <c r="J517" i="2" s="1"/>
  <c r="K519" i="2"/>
  <c r="K518" i="2" s="1"/>
  <c r="K517" i="2" s="1"/>
  <c r="L519" i="2"/>
  <c r="L518" i="2" s="1"/>
  <c r="L517" i="2" s="1"/>
  <c r="M519" i="2"/>
  <c r="M518" i="2" s="1"/>
  <c r="M517" i="2" s="1"/>
  <c r="N519" i="2"/>
  <c r="N518" i="2" s="1"/>
  <c r="N517" i="2" s="1"/>
  <c r="E524" i="2"/>
  <c r="F524" i="2"/>
  <c r="G524" i="2"/>
  <c r="H524" i="2"/>
  <c r="I524" i="2"/>
  <c r="J524" i="2"/>
  <c r="K524" i="2"/>
  <c r="L524" i="2"/>
  <c r="M524" i="2"/>
  <c r="N524" i="2"/>
  <c r="E529" i="2"/>
  <c r="F529" i="2"/>
  <c r="G529" i="2"/>
  <c r="H529" i="2"/>
  <c r="I529" i="2"/>
  <c r="J529" i="2"/>
  <c r="K529" i="2"/>
  <c r="L529" i="2"/>
  <c r="M529" i="2"/>
  <c r="N529" i="2"/>
  <c r="E531" i="2"/>
  <c r="F531" i="2"/>
  <c r="G531" i="2"/>
  <c r="H531" i="2"/>
  <c r="I531" i="2"/>
  <c r="J531" i="2"/>
  <c r="K531" i="2"/>
  <c r="L531" i="2"/>
  <c r="M531" i="2"/>
  <c r="N531" i="2"/>
  <c r="E533" i="2"/>
  <c r="F533" i="2"/>
  <c r="G533" i="2"/>
  <c r="H533" i="2"/>
  <c r="I533" i="2"/>
  <c r="J533" i="2"/>
  <c r="K533" i="2"/>
  <c r="L533" i="2"/>
  <c r="M533" i="2"/>
  <c r="N533" i="2"/>
  <c r="E537" i="2"/>
  <c r="F537" i="2"/>
  <c r="G537" i="2"/>
  <c r="H537" i="2"/>
  <c r="I537" i="2"/>
  <c r="J537" i="2"/>
  <c r="K537" i="2"/>
  <c r="L537" i="2"/>
  <c r="M537" i="2"/>
  <c r="N537" i="2"/>
  <c r="E539" i="2"/>
  <c r="F539" i="2"/>
  <c r="G539" i="2"/>
  <c r="H539" i="2"/>
  <c r="I539" i="2"/>
  <c r="J539" i="2"/>
  <c r="K539" i="2"/>
  <c r="L539" i="2"/>
  <c r="M539" i="2"/>
  <c r="N539" i="2"/>
  <c r="I541" i="2"/>
  <c r="E542" i="2"/>
  <c r="F542" i="2"/>
  <c r="G542" i="2"/>
  <c r="H542" i="2"/>
  <c r="I542" i="2"/>
  <c r="J542" i="2"/>
  <c r="K542" i="2"/>
  <c r="L542" i="2"/>
  <c r="M542" i="2"/>
  <c r="N542" i="2"/>
  <c r="E544" i="2"/>
  <c r="F544" i="2"/>
  <c r="G544" i="2"/>
  <c r="H544" i="2"/>
  <c r="I544" i="2"/>
  <c r="J544" i="2"/>
  <c r="K544" i="2"/>
  <c r="L544" i="2"/>
  <c r="M544" i="2"/>
  <c r="N544" i="2"/>
  <c r="E546" i="2"/>
  <c r="F546" i="2"/>
  <c r="G546" i="2"/>
  <c r="H546" i="2"/>
  <c r="I546" i="2"/>
  <c r="J546" i="2"/>
  <c r="K546" i="2"/>
  <c r="L546" i="2"/>
  <c r="M546" i="2"/>
  <c r="N546" i="2"/>
  <c r="E548" i="2"/>
  <c r="F548" i="2"/>
  <c r="G548" i="2"/>
  <c r="H548" i="2"/>
  <c r="I548" i="2"/>
  <c r="J548" i="2"/>
  <c r="K548" i="2"/>
  <c r="L548" i="2"/>
  <c r="M548" i="2"/>
  <c r="N548" i="2"/>
  <c r="E551" i="2"/>
  <c r="F551" i="2"/>
  <c r="G551" i="2"/>
  <c r="H551" i="2"/>
  <c r="I551" i="2"/>
  <c r="J551" i="2"/>
  <c r="K551" i="2"/>
  <c r="L551" i="2"/>
  <c r="M551" i="2"/>
  <c r="N551" i="2"/>
  <c r="E554" i="2"/>
  <c r="F554" i="2"/>
  <c r="G554" i="2"/>
  <c r="H554" i="2"/>
  <c r="I554" i="2"/>
  <c r="J554" i="2"/>
  <c r="K554" i="2"/>
  <c r="L554" i="2"/>
  <c r="M554" i="2"/>
  <c r="N554" i="2"/>
  <c r="E556" i="2"/>
  <c r="F556" i="2"/>
  <c r="G556" i="2"/>
  <c r="H556" i="2"/>
  <c r="I556" i="2"/>
  <c r="J556" i="2"/>
  <c r="K556" i="2"/>
  <c r="L556" i="2"/>
  <c r="M556" i="2"/>
  <c r="N556" i="2"/>
  <c r="E558" i="2"/>
  <c r="F558" i="2"/>
  <c r="G558" i="2"/>
  <c r="H558" i="2"/>
  <c r="I558" i="2"/>
  <c r="J558" i="2"/>
  <c r="K558" i="2"/>
  <c r="L558" i="2"/>
  <c r="M558" i="2"/>
  <c r="N558" i="2"/>
  <c r="E560" i="2"/>
  <c r="F560" i="2"/>
  <c r="G560" i="2"/>
  <c r="H560" i="2"/>
  <c r="I560" i="2"/>
  <c r="J560" i="2"/>
  <c r="K560" i="2"/>
  <c r="L560" i="2"/>
  <c r="M560" i="2"/>
  <c r="N560" i="2"/>
  <c r="E564" i="2"/>
  <c r="F564" i="2"/>
  <c r="G564" i="2"/>
  <c r="H564" i="2"/>
  <c r="I564" i="2"/>
  <c r="J564" i="2"/>
  <c r="K564" i="2"/>
  <c r="L564" i="2"/>
  <c r="M564" i="2"/>
  <c r="N564" i="2"/>
  <c r="E566" i="2"/>
  <c r="F566" i="2"/>
  <c r="G566" i="2"/>
  <c r="H566" i="2"/>
  <c r="I566" i="2"/>
  <c r="J566" i="2"/>
  <c r="K566" i="2"/>
  <c r="L566" i="2"/>
  <c r="M566" i="2"/>
  <c r="N566" i="2"/>
  <c r="E569" i="2"/>
  <c r="E568" i="2" s="1"/>
  <c r="F569" i="2"/>
  <c r="F568" i="2" s="1"/>
  <c r="G569" i="2"/>
  <c r="G568" i="2" s="1"/>
  <c r="H569" i="2"/>
  <c r="H568" i="2" s="1"/>
  <c r="I569" i="2"/>
  <c r="I568" i="2" s="1"/>
  <c r="J569" i="2"/>
  <c r="J568" i="2" s="1"/>
  <c r="K569" i="2"/>
  <c r="K568" i="2" s="1"/>
  <c r="L569" i="2"/>
  <c r="L568" i="2" s="1"/>
  <c r="M569" i="2"/>
  <c r="M568" i="2" s="1"/>
  <c r="N569" i="2"/>
  <c r="N568" i="2" s="1"/>
  <c r="E574" i="2"/>
  <c r="F574" i="2"/>
  <c r="G574" i="2"/>
  <c r="G572" i="2" s="1"/>
  <c r="H574" i="2"/>
  <c r="I574" i="2"/>
  <c r="J574" i="2"/>
  <c r="K574" i="2"/>
  <c r="L574" i="2"/>
  <c r="L572" i="2" s="1"/>
  <c r="M574" i="2"/>
  <c r="N574" i="2"/>
  <c r="E576" i="2"/>
  <c r="F576" i="2"/>
  <c r="G576" i="2"/>
  <c r="H576" i="2"/>
  <c r="I576" i="2"/>
  <c r="J576" i="2"/>
  <c r="K576" i="2"/>
  <c r="L576" i="2"/>
  <c r="M576" i="2"/>
  <c r="N576" i="2"/>
  <c r="E579" i="2"/>
  <c r="E578" i="2" s="1"/>
  <c r="F579" i="2"/>
  <c r="F578" i="2" s="1"/>
  <c r="G579" i="2"/>
  <c r="G578" i="2" s="1"/>
  <c r="H579" i="2"/>
  <c r="H578" i="2" s="1"/>
  <c r="I579" i="2"/>
  <c r="I578" i="2" s="1"/>
  <c r="J579" i="2"/>
  <c r="J578" i="2" s="1"/>
  <c r="K579" i="2"/>
  <c r="K578" i="2" s="1"/>
  <c r="L579" i="2"/>
  <c r="L578" i="2" s="1"/>
  <c r="M579" i="2"/>
  <c r="M578" i="2" s="1"/>
  <c r="N579" i="2"/>
  <c r="N578" i="2" s="1"/>
  <c r="E582" i="2"/>
  <c r="E581" i="2" s="1"/>
  <c r="F582" i="2"/>
  <c r="F581" i="2" s="1"/>
  <c r="G582" i="2"/>
  <c r="G581" i="2" s="1"/>
  <c r="H582" i="2"/>
  <c r="H581" i="2" s="1"/>
  <c r="I582" i="2"/>
  <c r="I581" i="2" s="1"/>
  <c r="J582" i="2"/>
  <c r="J581" i="2" s="1"/>
  <c r="K582" i="2"/>
  <c r="K581" i="2" s="1"/>
  <c r="L582" i="2"/>
  <c r="L581" i="2" s="1"/>
  <c r="M582" i="2"/>
  <c r="M581" i="2" s="1"/>
  <c r="N582" i="2"/>
  <c r="N581" i="2" s="1"/>
  <c r="E585" i="2"/>
  <c r="F585" i="2"/>
  <c r="G585" i="2"/>
  <c r="H585" i="2"/>
  <c r="I585" i="2"/>
  <c r="J585" i="2"/>
  <c r="K585" i="2"/>
  <c r="L585" i="2"/>
  <c r="M585" i="2"/>
  <c r="N585" i="2"/>
  <c r="E587" i="2"/>
  <c r="F587" i="2"/>
  <c r="G587" i="2"/>
  <c r="H587" i="2"/>
  <c r="I587" i="2"/>
  <c r="J587" i="2"/>
  <c r="K587" i="2"/>
  <c r="L587" i="2"/>
  <c r="M587" i="2"/>
  <c r="N587" i="2"/>
  <c r="E589" i="2"/>
  <c r="F589" i="2"/>
  <c r="G589" i="2"/>
  <c r="H589" i="2"/>
  <c r="I589" i="2"/>
  <c r="J589" i="2"/>
  <c r="K589" i="2"/>
  <c r="L589" i="2"/>
  <c r="M589" i="2"/>
  <c r="N589" i="2"/>
  <c r="E591" i="2"/>
  <c r="F591" i="2"/>
  <c r="G591" i="2"/>
  <c r="H591" i="2"/>
  <c r="I591" i="2"/>
  <c r="J591" i="2"/>
  <c r="K591" i="2"/>
  <c r="L591" i="2"/>
  <c r="M591" i="2"/>
  <c r="N591" i="2"/>
  <c r="E593" i="2"/>
  <c r="F593" i="2"/>
  <c r="G593" i="2"/>
  <c r="H593" i="2"/>
  <c r="I593" i="2"/>
  <c r="J593" i="2"/>
  <c r="K593" i="2"/>
  <c r="L593" i="2"/>
  <c r="M593" i="2"/>
  <c r="N593" i="2"/>
  <c r="E595" i="2"/>
  <c r="F595" i="2"/>
  <c r="G595" i="2"/>
  <c r="H595" i="2"/>
  <c r="I595" i="2"/>
  <c r="J595" i="2"/>
  <c r="K595" i="2"/>
  <c r="L595" i="2"/>
  <c r="M595" i="2"/>
  <c r="N595" i="2"/>
  <c r="E597" i="2"/>
  <c r="F597" i="2"/>
  <c r="G597" i="2"/>
  <c r="H597" i="2"/>
  <c r="I597" i="2"/>
  <c r="J597" i="2"/>
  <c r="K597" i="2"/>
  <c r="L597" i="2"/>
  <c r="M597" i="2"/>
  <c r="N597" i="2"/>
  <c r="E600" i="2"/>
  <c r="F600" i="2"/>
  <c r="G600" i="2"/>
  <c r="H600" i="2"/>
  <c r="I600" i="2"/>
  <c r="J600" i="2"/>
  <c r="K600" i="2"/>
  <c r="L600" i="2"/>
  <c r="M600" i="2"/>
  <c r="N600" i="2"/>
  <c r="E603" i="2"/>
  <c r="F603" i="2"/>
  <c r="G603" i="2"/>
  <c r="H603" i="2"/>
  <c r="I603" i="2"/>
  <c r="J603" i="2"/>
  <c r="K603" i="2"/>
  <c r="L603" i="2"/>
  <c r="M603" i="2"/>
  <c r="N603" i="2"/>
  <c r="E605" i="2"/>
  <c r="F605" i="2"/>
  <c r="G605" i="2"/>
  <c r="H605" i="2"/>
  <c r="I605" i="2"/>
  <c r="J605" i="2"/>
  <c r="K605" i="2"/>
  <c r="L605" i="2"/>
  <c r="M605" i="2"/>
  <c r="N605" i="2"/>
  <c r="E607" i="2"/>
  <c r="F607" i="2"/>
  <c r="G607" i="2"/>
  <c r="H607" i="2"/>
  <c r="I607" i="2"/>
  <c r="J607" i="2"/>
  <c r="K607" i="2"/>
  <c r="L607" i="2"/>
  <c r="M607" i="2"/>
  <c r="N607" i="2"/>
  <c r="E609" i="2"/>
  <c r="F609" i="2"/>
  <c r="G609" i="2"/>
  <c r="H609" i="2"/>
  <c r="I609" i="2"/>
  <c r="J609" i="2"/>
  <c r="K609" i="2"/>
  <c r="L609" i="2"/>
  <c r="M609" i="2"/>
  <c r="N609" i="2"/>
  <c r="E611" i="2"/>
  <c r="F611" i="2"/>
  <c r="G611" i="2"/>
  <c r="H611" i="2"/>
  <c r="I611" i="2"/>
  <c r="J611" i="2"/>
  <c r="K611" i="2"/>
  <c r="L611" i="2"/>
  <c r="M611" i="2"/>
  <c r="N611" i="2"/>
  <c r="E613" i="2"/>
  <c r="F613" i="2"/>
  <c r="G613" i="2"/>
  <c r="H613" i="2"/>
  <c r="I613" i="2"/>
  <c r="J613" i="2"/>
  <c r="K613" i="2"/>
  <c r="L613" i="2"/>
  <c r="M613" i="2"/>
  <c r="N613" i="2"/>
  <c r="E615" i="2"/>
  <c r="F615" i="2"/>
  <c r="G615" i="2"/>
  <c r="H615" i="2"/>
  <c r="I615" i="2"/>
  <c r="J615" i="2"/>
  <c r="K615" i="2"/>
  <c r="L615" i="2"/>
  <c r="M615" i="2"/>
  <c r="N615" i="2"/>
  <c r="E617" i="2"/>
  <c r="F617" i="2"/>
  <c r="G617" i="2"/>
  <c r="H617" i="2"/>
  <c r="I617" i="2"/>
  <c r="J617" i="2"/>
  <c r="K617" i="2"/>
  <c r="L617" i="2"/>
  <c r="M617" i="2"/>
  <c r="N617" i="2"/>
  <c r="E619" i="2"/>
  <c r="F619" i="2"/>
  <c r="G619" i="2"/>
  <c r="H619" i="2"/>
  <c r="I619" i="2"/>
  <c r="J619" i="2"/>
  <c r="K619" i="2"/>
  <c r="L619" i="2"/>
  <c r="M619" i="2"/>
  <c r="N619" i="2"/>
  <c r="E621" i="2"/>
  <c r="F621" i="2"/>
  <c r="G621" i="2"/>
  <c r="H621" i="2"/>
  <c r="I621" i="2"/>
  <c r="J621" i="2"/>
  <c r="K621" i="2"/>
  <c r="L621" i="2"/>
  <c r="M621" i="2"/>
  <c r="N621" i="2"/>
  <c r="E623" i="2"/>
  <c r="F623" i="2"/>
  <c r="G623" i="2"/>
  <c r="H623" i="2"/>
  <c r="I623" i="2"/>
  <c r="J623" i="2"/>
  <c r="K623" i="2"/>
  <c r="L623" i="2"/>
  <c r="M623" i="2"/>
  <c r="N623" i="2"/>
  <c r="E625" i="2"/>
  <c r="F625" i="2"/>
  <c r="G625" i="2"/>
  <c r="H625" i="2"/>
  <c r="I625" i="2"/>
  <c r="J625" i="2"/>
  <c r="K625" i="2"/>
  <c r="L625" i="2"/>
  <c r="M625" i="2"/>
  <c r="N625" i="2"/>
  <c r="E627" i="2"/>
  <c r="F627" i="2"/>
  <c r="G627" i="2"/>
  <c r="H627" i="2"/>
  <c r="I627" i="2"/>
  <c r="J627" i="2"/>
  <c r="K627" i="2"/>
  <c r="L627" i="2"/>
  <c r="M627" i="2"/>
  <c r="N627" i="2"/>
  <c r="E629" i="2"/>
  <c r="F629" i="2"/>
  <c r="G629" i="2"/>
  <c r="H629" i="2"/>
  <c r="I629" i="2"/>
  <c r="J629" i="2"/>
  <c r="K629" i="2"/>
  <c r="L629" i="2"/>
  <c r="M629" i="2"/>
  <c r="N629" i="2"/>
  <c r="E631" i="2"/>
  <c r="F631" i="2"/>
  <c r="G631" i="2"/>
  <c r="H631" i="2"/>
  <c r="I631" i="2"/>
  <c r="J631" i="2"/>
  <c r="K631" i="2"/>
  <c r="L631" i="2"/>
  <c r="M631" i="2"/>
  <c r="N631" i="2"/>
  <c r="E633" i="2"/>
  <c r="F633" i="2"/>
  <c r="G633" i="2"/>
  <c r="H633" i="2"/>
  <c r="I633" i="2"/>
  <c r="J633" i="2"/>
  <c r="K633" i="2"/>
  <c r="L633" i="2"/>
  <c r="M633" i="2"/>
  <c r="N633" i="2"/>
  <c r="E635" i="2"/>
  <c r="F635" i="2"/>
  <c r="G635" i="2"/>
  <c r="H635" i="2"/>
  <c r="I635" i="2"/>
  <c r="J635" i="2"/>
  <c r="K635" i="2"/>
  <c r="L635" i="2"/>
  <c r="M635" i="2"/>
  <c r="N635" i="2"/>
  <c r="E637" i="2"/>
  <c r="F637" i="2"/>
  <c r="G637" i="2"/>
  <c r="H637" i="2"/>
  <c r="I637" i="2"/>
  <c r="J637" i="2"/>
  <c r="K637" i="2"/>
  <c r="L637" i="2"/>
  <c r="M637" i="2"/>
  <c r="N637" i="2"/>
  <c r="E639" i="2"/>
  <c r="F639" i="2"/>
  <c r="G639" i="2"/>
  <c r="H639" i="2"/>
  <c r="I639" i="2"/>
  <c r="J639" i="2"/>
  <c r="K639" i="2"/>
  <c r="L639" i="2"/>
  <c r="M639" i="2"/>
  <c r="N639" i="2"/>
  <c r="E641" i="2"/>
  <c r="F641" i="2"/>
  <c r="G641" i="2"/>
  <c r="H641" i="2"/>
  <c r="I641" i="2"/>
  <c r="J641" i="2"/>
  <c r="K641" i="2"/>
  <c r="L641" i="2"/>
  <c r="M641" i="2"/>
  <c r="N641" i="2"/>
  <c r="E643" i="2"/>
  <c r="F643" i="2"/>
  <c r="G643" i="2"/>
  <c r="H643" i="2"/>
  <c r="I643" i="2"/>
  <c r="J643" i="2"/>
  <c r="K643" i="2"/>
  <c r="L643" i="2"/>
  <c r="M643" i="2"/>
  <c r="N643" i="2"/>
  <c r="E645" i="2"/>
  <c r="F645" i="2"/>
  <c r="G645" i="2"/>
  <c r="H645" i="2"/>
  <c r="I645" i="2"/>
  <c r="J645" i="2"/>
  <c r="K645" i="2"/>
  <c r="L645" i="2"/>
  <c r="M645" i="2"/>
  <c r="N645" i="2"/>
  <c r="E647" i="2"/>
  <c r="F647" i="2"/>
  <c r="G647" i="2"/>
  <c r="H647" i="2"/>
  <c r="I647" i="2"/>
  <c r="J647" i="2"/>
  <c r="K647" i="2"/>
  <c r="L647" i="2"/>
  <c r="M647" i="2"/>
  <c r="N647" i="2"/>
  <c r="E649" i="2"/>
  <c r="F649" i="2"/>
  <c r="G649" i="2"/>
  <c r="H649" i="2"/>
  <c r="I649" i="2"/>
  <c r="J649" i="2"/>
  <c r="K649" i="2"/>
  <c r="L649" i="2"/>
  <c r="M649" i="2"/>
  <c r="N649" i="2"/>
  <c r="E651" i="2"/>
  <c r="F651" i="2"/>
  <c r="G651" i="2"/>
  <c r="H651" i="2"/>
  <c r="I651" i="2"/>
  <c r="J651" i="2"/>
  <c r="K651" i="2"/>
  <c r="L651" i="2"/>
  <c r="M651" i="2"/>
  <c r="N651" i="2"/>
  <c r="E653" i="2"/>
  <c r="F653" i="2"/>
  <c r="G653" i="2"/>
  <c r="H653" i="2"/>
  <c r="I653" i="2"/>
  <c r="J653" i="2"/>
  <c r="K653" i="2"/>
  <c r="L653" i="2"/>
  <c r="M653" i="2"/>
  <c r="N653" i="2"/>
  <c r="E655" i="2"/>
  <c r="F655" i="2"/>
  <c r="G655" i="2"/>
  <c r="H655" i="2"/>
  <c r="I655" i="2"/>
  <c r="J655" i="2"/>
  <c r="K655" i="2"/>
  <c r="L655" i="2"/>
  <c r="M655" i="2"/>
  <c r="N655" i="2"/>
  <c r="E657" i="2"/>
  <c r="F657" i="2"/>
  <c r="G657" i="2"/>
  <c r="H657" i="2"/>
  <c r="I657" i="2"/>
  <c r="J657" i="2"/>
  <c r="K657" i="2"/>
  <c r="L657" i="2"/>
  <c r="M657" i="2"/>
  <c r="N657" i="2"/>
  <c r="E659" i="2"/>
  <c r="F659" i="2"/>
  <c r="G659" i="2"/>
  <c r="H659" i="2"/>
  <c r="I659" i="2"/>
  <c r="J659" i="2"/>
  <c r="K659" i="2"/>
  <c r="L659" i="2"/>
  <c r="M659" i="2"/>
  <c r="N659" i="2"/>
  <c r="E661" i="2"/>
  <c r="F661" i="2"/>
  <c r="G661" i="2"/>
  <c r="H661" i="2"/>
  <c r="I661" i="2"/>
  <c r="J661" i="2"/>
  <c r="K661" i="2"/>
  <c r="L661" i="2"/>
  <c r="M661" i="2"/>
  <c r="N661" i="2"/>
  <c r="E663" i="2"/>
  <c r="F663" i="2"/>
  <c r="G663" i="2"/>
  <c r="H663" i="2"/>
  <c r="I663" i="2"/>
  <c r="J663" i="2"/>
  <c r="K663" i="2"/>
  <c r="L663" i="2"/>
  <c r="M663" i="2"/>
  <c r="N663" i="2"/>
  <c r="E665" i="2"/>
  <c r="F665" i="2"/>
  <c r="G665" i="2"/>
  <c r="H665" i="2"/>
  <c r="I665" i="2"/>
  <c r="J665" i="2"/>
  <c r="K665" i="2"/>
  <c r="L665" i="2"/>
  <c r="M665" i="2"/>
  <c r="N665" i="2"/>
  <c r="E667" i="2"/>
  <c r="F667" i="2"/>
  <c r="G667" i="2"/>
  <c r="H667" i="2"/>
  <c r="I667" i="2"/>
  <c r="J667" i="2"/>
  <c r="K667" i="2"/>
  <c r="L667" i="2"/>
  <c r="M667" i="2"/>
  <c r="N667" i="2"/>
  <c r="E669" i="2"/>
  <c r="F669" i="2"/>
  <c r="G669" i="2"/>
  <c r="H669" i="2"/>
  <c r="I669" i="2"/>
  <c r="J669" i="2"/>
  <c r="K669" i="2"/>
  <c r="L669" i="2"/>
  <c r="M669" i="2"/>
  <c r="N669" i="2"/>
  <c r="E671" i="2"/>
  <c r="F671" i="2"/>
  <c r="G671" i="2"/>
  <c r="H671" i="2"/>
  <c r="I671" i="2"/>
  <c r="J671" i="2"/>
  <c r="K671" i="2"/>
  <c r="L671" i="2"/>
  <c r="M671" i="2"/>
  <c r="N671" i="2"/>
  <c r="H673" i="2"/>
  <c r="E674" i="2"/>
  <c r="E673" i="2" s="1"/>
  <c r="F674" i="2"/>
  <c r="F673" i="2" s="1"/>
  <c r="G674" i="2"/>
  <c r="G673" i="2" s="1"/>
  <c r="H674" i="2"/>
  <c r="I674" i="2"/>
  <c r="I673" i="2" s="1"/>
  <c r="J674" i="2"/>
  <c r="J673" i="2" s="1"/>
  <c r="K674" i="2"/>
  <c r="K673" i="2" s="1"/>
  <c r="L674" i="2"/>
  <c r="L673" i="2" s="1"/>
  <c r="M674" i="2"/>
  <c r="M673" i="2" s="1"/>
  <c r="N674" i="2"/>
  <c r="N673" i="2" s="1"/>
  <c r="E677" i="2"/>
  <c r="F677" i="2"/>
  <c r="G677" i="2"/>
  <c r="H677" i="2"/>
  <c r="I677" i="2"/>
  <c r="J677" i="2"/>
  <c r="K677" i="2"/>
  <c r="L677" i="2"/>
  <c r="M677" i="2"/>
  <c r="N677" i="2"/>
  <c r="E679" i="2"/>
  <c r="F679" i="2"/>
  <c r="G679" i="2"/>
  <c r="H679" i="2"/>
  <c r="I679" i="2"/>
  <c r="J679" i="2"/>
  <c r="K679" i="2"/>
  <c r="L679" i="2"/>
  <c r="M679" i="2"/>
  <c r="N679" i="2"/>
  <c r="E681" i="2"/>
  <c r="F681" i="2"/>
  <c r="G681" i="2"/>
  <c r="H681" i="2"/>
  <c r="I681" i="2"/>
  <c r="J681" i="2"/>
  <c r="K681" i="2"/>
  <c r="L681" i="2"/>
  <c r="M681" i="2"/>
  <c r="N681" i="2"/>
  <c r="E683" i="2"/>
  <c r="F683" i="2"/>
  <c r="G683" i="2"/>
  <c r="H683" i="2"/>
  <c r="I683" i="2"/>
  <c r="J683" i="2"/>
  <c r="K683" i="2"/>
  <c r="L683" i="2"/>
  <c r="M683" i="2"/>
  <c r="N683" i="2"/>
  <c r="E685" i="2"/>
  <c r="F685" i="2"/>
  <c r="G685" i="2"/>
  <c r="H685" i="2"/>
  <c r="I685" i="2"/>
  <c r="J685" i="2"/>
  <c r="K685" i="2"/>
  <c r="L685" i="2"/>
  <c r="M685" i="2"/>
  <c r="N685" i="2"/>
  <c r="E687" i="2"/>
  <c r="F687" i="2"/>
  <c r="G687" i="2"/>
  <c r="H687" i="2"/>
  <c r="I687" i="2"/>
  <c r="J687" i="2"/>
  <c r="K687" i="2"/>
  <c r="L687" i="2"/>
  <c r="M687" i="2"/>
  <c r="N687" i="2"/>
  <c r="E689" i="2"/>
  <c r="F689" i="2"/>
  <c r="G689" i="2"/>
  <c r="H689" i="2"/>
  <c r="I689" i="2"/>
  <c r="J689" i="2"/>
  <c r="K689" i="2"/>
  <c r="L689" i="2"/>
  <c r="M689" i="2"/>
  <c r="N689" i="2"/>
  <c r="E691" i="2"/>
  <c r="F691" i="2"/>
  <c r="G691" i="2"/>
  <c r="H691" i="2"/>
  <c r="I691" i="2"/>
  <c r="J691" i="2"/>
  <c r="K691" i="2"/>
  <c r="L691" i="2"/>
  <c r="M691" i="2"/>
  <c r="N691" i="2"/>
  <c r="E693" i="2"/>
  <c r="F693" i="2"/>
  <c r="G693" i="2"/>
  <c r="H693" i="2"/>
  <c r="I693" i="2"/>
  <c r="J693" i="2"/>
  <c r="K693" i="2"/>
  <c r="L693" i="2"/>
  <c r="M693" i="2"/>
  <c r="N693" i="2"/>
  <c r="E695" i="2"/>
  <c r="F695" i="2"/>
  <c r="G695" i="2"/>
  <c r="H695" i="2"/>
  <c r="I695" i="2"/>
  <c r="J695" i="2"/>
  <c r="K695" i="2"/>
  <c r="L695" i="2"/>
  <c r="M695" i="2"/>
  <c r="N695" i="2"/>
  <c r="E697" i="2"/>
  <c r="F697" i="2"/>
  <c r="G697" i="2"/>
  <c r="H697" i="2"/>
  <c r="I697" i="2"/>
  <c r="J697" i="2"/>
  <c r="K697" i="2"/>
  <c r="L697" i="2"/>
  <c r="M697" i="2"/>
  <c r="N697" i="2"/>
  <c r="E699" i="2"/>
  <c r="F699" i="2"/>
  <c r="G699" i="2"/>
  <c r="H699" i="2"/>
  <c r="I699" i="2"/>
  <c r="J699" i="2"/>
  <c r="K699" i="2"/>
  <c r="L699" i="2"/>
  <c r="M699" i="2"/>
  <c r="N699" i="2"/>
  <c r="E703" i="2"/>
  <c r="F703" i="2"/>
  <c r="G703" i="2"/>
  <c r="H703" i="2"/>
  <c r="I703" i="2"/>
  <c r="J703" i="2"/>
  <c r="K703" i="2"/>
  <c r="L703" i="2"/>
  <c r="M703" i="2"/>
  <c r="N703" i="2"/>
  <c r="E705" i="2"/>
  <c r="F705" i="2"/>
  <c r="G705" i="2"/>
  <c r="H705" i="2"/>
  <c r="I705" i="2"/>
  <c r="J705" i="2"/>
  <c r="K705" i="2"/>
  <c r="L705" i="2"/>
  <c r="M705" i="2"/>
  <c r="N705" i="2"/>
  <c r="E707" i="2"/>
  <c r="F707" i="2"/>
  <c r="G707" i="2"/>
  <c r="H707" i="2"/>
  <c r="I707" i="2"/>
  <c r="J707" i="2"/>
  <c r="K707" i="2"/>
  <c r="L707" i="2"/>
  <c r="M707" i="2"/>
  <c r="N707" i="2"/>
  <c r="E711" i="2"/>
  <c r="F711" i="2"/>
  <c r="G711" i="2"/>
  <c r="H711" i="2"/>
  <c r="I711" i="2"/>
  <c r="J711" i="2"/>
  <c r="K711" i="2"/>
  <c r="L711" i="2"/>
  <c r="M711" i="2"/>
  <c r="N711" i="2"/>
  <c r="E713" i="2"/>
  <c r="F713" i="2"/>
  <c r="G713" i="2"/>
  <c r="H713" i="2"/>
  <c r="I713" i="2"/>
  <c r="J713" i="2"/>
  <c r="K713" i="2"/>
  <c r="L713" i="2"/>
  <c r="M713" i="2"/>
  <c r="N713" i="2"/>
  <c r="E715" i="2"/>
  <c r="F715" i="2"/>
  <c r="G715" i="2"/>
  <c r="H715" i="2"/>
  <c r="I715" i="2"/>
  <c r="J715" i="2"/>
  <c r="K715" i="2"/>
  <c r="L715" i="2"/>
  <c r="M715" i="2"/>
  <c r="N715" i="2"/>
  <c r="E717" i="2"/>
  <c r="F717" i="2"/>
  <c r="G717" i="2"/>
  <c r="H717" i="2"/>
  <c r="I717" i="2"/>
  <c r="J717" i="2"/>
  <c r="K717" i="2"/>
  <c r="L717" i="2"/>
  <c r="M717" i="2"/>
  <c r="N717" i="2"/>
  <c r="E719" i="2"/>
  <c r="F719" i="2"/>
  <c r="G719" i="2"/>
  <c r="H719" i="2"/>
  <c r="I719" i="2"/>
  <c r="J719" i="2"/>
  <c r="K719" i="2"/>
  <c r="L719" i="2"/>
  <c r="M719" i="2"/>
  <c r="N719" i="2"/>
  <c r="E721" i="2"/>
  <c r="F721" i="2"/>
  <c r="G721" i="2"/>
  <c r="H721" i="2"/>
  <c r="I721" i="2"/>
  <c r="J721" i="2"/>
  <c r="K721" i="2"/>
  <c r="L721" i="2"/>
  <c r="M721" i="2"/>
  <c r="N721" i="2"/>
  <c r="E723" i="2"/>
  <c r="F723" i="2"/>
  <c r="G723" i="2"/>
  <c r="H723" i="2"/>
  <c r="I723" i="2"/>
  <c r="J723" i="2"/>
  <c r="K723" i="2"/>
  <c r="L723" i="2"/>
  <c r="M723" i="2"/>
  <c r="N723" i="2"/>
  <c r="E725" i="2"/>
  <c r="F725" i="2"/>
  <c r="G725" i="2"/>
  <c r="H725" i="2"/>
  <c r="I725" i="2"/>
  <c r="J725" i="2"/>
  <c r="K725" i="2"/>
  <c r="L725" i="2"/>
  <c r="M725" i="2"/>
  <c r="N725" i="2"/>
  <c r="E727" i="2"/>
  <c r="F727" i="2"/>
  <c r="G727" i="2"/>
  <c r="H727" i="2"/>
  <c r="I727" i="2"/>
  <c r="J727" i="2"/>
  <c r="K727" i="2"/>
  <c r="L727" i="2"/>
  <c r="M727" i="2"/>
  <c r="N727" i="2"/>
  <c r="E729" i="2"/>
  <c r="F729" i="2"/>
  <c r="G729" i="2"/>
  <c r="H729" i="2"/>
  <c r="I729" i="2"/>
  <c r="J729" i="2"/>
  <c r="K729" i="2"/>
  <c r="L729" i="2"/>
  <c r="M729" i="2"/>
  <c r="N729" i="2"/>
  <c r="E731" i="2"/>
  <c r="F731" i="2"/>
  <c r="G731" i="2"/>
  <c r="H731" i="2"/>
  <c r="I731" i="2"/>
  <c r="J731" i="2"/>
  <c r="K731" i="2"/>
  <c r="L731" i="2"/>
  <c r="M731" i="2"/>
  <c r="N731" i="2"/>
  <c r="E733" i="2"/>
  <c r="F733" i="2"/>
  <c r="G733" i="2"/>
  <c r="H733" i="2"/>
  <c r="I733" i="2"/>
  <c r="J733" i="2"/>
  <c r="K733" i="2"/>
  <c r="L733" i="2"/>
  <c r="M733" i="2"/>
  <c r="N733" i="2"/>
  <c r="E735" i="2"/>
  <c r="F735" i="2"/>
  <c r="G735" i="2"/>
  <c r="H735" i="2"/>
  <c r="I735" i="2"/>
  <c r="J735" i="2"/>
  <c r="K735" i="2"/>
  <c r="L735" i="2"/>
  <c r="M735" i="2"/>
  <c r="N735" i="2"/>
  <c r="E737" i="2"/>
  <c r="F737" i="2"/>
  <c r="G737" i="2"/>
  <c r="H737" i="2"/>
  <c r="I737" i="2"/>
  <c r="J737" i="2"/>
  <c r="K737" i="2"/>
  <c r="L737" i="2"/>
  <c r="M737" i="2"/>
  <c r="N737" i="2"/>
  <c r="H740" i="2"/>
  <c r="H739" i="2" s="1"/>
  <c r="E741" i="2"/>
  <c r="F741" i="2"/>
  <c r="F740" i="2" s="1"/>
  <c r="F739" i="2" s="1"/>
  <c r="G741" i="2"/>
  <c r="H741" i="2"/>
  <c r="I741" i="2"/>
  <c r="J741" i="2"/>
  <c r="K741" i="2"/>
  <c r="L741" i="2"/>
  <c r="M741" i="2"/>
  <c r="N741" i="2"/>
  <c r="N740" i="2" s="1"/>
  <c r="N739" i="2" s="1"/>
  <c r="E743" i="2"/>
  <c r="F743" i="2"/>
  <c r="G743" i="2"/>
  <c r="H743" i="2"/>
  <c r="I743" i="2"/>
  <c r="J743" i="2"/>
  <c r="K743" i="2"/>
  <c r="L743" i="2"/>
  <c r="M743" i="2"/>
  <c r="N743" i="2"/>
  <c r="E749" i="2"/>
  <c r="F749" i="2"/>
  <c r="G749" i="2"/>
  <c r="H749" i="2"/>
  <c r="H748" i="2" s="1"/>
  <c r="H747" i="2" s="1"/>
  <c r="I749" i="2"/>
  <c r="J749" i="2"/>
  <c r="K749" i="2"/>
  <c r="L749" i="2"/>
  <c r="M749" i="2"/>
  <c r="N749" i="2"/>
  <c r="E751" i="2"/>
  <c r="F751" i="2"/>
  <c r="G751" i="2"/>
  <c r="H751" i="2"/>
  <c r="I751" i="2"/>
  <c r="J751" i="2"/>
  <c r="K751" i="2"/>
  <c r="L751" i="2"/>
  <c r="M751" i="2"/>
  <c r="N751" i="2"/>
  <c r="C760" i="2"/>
  <c r="C772" i="2" s="1"/>
  <c r="D760" i="2"/>
  <c r="D772" i="2" s="1"/>
  <c r="E760" i="2"/>
  <c r="E772" i="2" s="1"/>
  <c r="F760" i="2"/>
  <c r="F772" i="2" s="1"/>
  <c r="G760" i="2"/>
  <c r="G772" i="2" s="1"/>
  <c r="H760" i="2"/>
  <c r="H772" i="2" s="1"/>
  <c r="I760" i="2"/>
  <c r="I772" i="2" s="1"/>
  <c r="J760" i="2"/>
  <c r="K760" i="2"/>
  <c r="K772" i="2" s="1"/>
  <c r="L760" i="2"/>
  <c r="J772" i="2"/>
  <c r="L772" i="2"/>
  <c r="J460" i="2" l="1"/>
  <c r="L146" i="2"/>
  <c r="L140" i="2" s="1"/>
  <c r="M541" i="2"/>
  <c r="J511" i="2"/>
  <c r="J510" i="2" s="1"/>
  <c r="J500" i="2"/>
  <c r="L427" i="2"/>
  <c r="M344" i="2"/>
  <c r="I339" i="2"/>
  <c r="G232" i="2"/>
  <c r="N54" i="2"/>
  <c r="F54" i="2"/>
  <c r="I40" i="2"/>
  <c r="F268" i="2"/>
  <c r="M740" i="2"/>
  <c r="M739" i="2" s="1"/>
  <c r="E740" i="2"/>
  <c r="E739" i="2" s="1"/>
  <c r="K572" i="2"/>
  <c r="K571" i="2" s="1"/>
  <c r="E541" i="2"/>
  <c r="J354" i="2"/>
  <c r="J353" i="2" s="1"/>
  <c r="E344" i="2"/>
  <c r="I344" i="2"/>
  <c r="E328" i="2"/>
  <c r="G318" i="2"/>
  <c r="K201" i="2"/>
  <c r="E177" i="2"/>
  <c r="J110" i="2"/>
  <c r="L110" i="2"/>
  <c r="M83" i="2"/>
  <c r="M82" i="2" s="1"/>
  <c r="E83" i="2"/>
  <c r="E82" i="2" s="1"/>
  <c r="L83" i="2"/>
  <c r="L82" i="2" s="1"/>
  <c r="G748" i="2"/>
  <c r="G747" i="2" s="1"/>
  <c r="H190" i="2"/>
  <c r="K740" i="2"/>
  <c r="K739" i="2" s="1"/>
  <c r="I572" i="2"/>
  <c r="J505" i="2"/>
  <c r="N500" i="2"/>
  <c r="F500" i="2"/>
  <c r="G460" i="2"/>
  <c r="E446" i="2"/>
  <c r="F110" i="2"/>
  <c r="H54" i="2"/>
  <c r="H53" i="2" s="1"/>
  <c r="I354" i="2"/>
  <c r="I353" i="2" s="1"/>
  <c r="H146" i="2"/>
  <c r="M748" i="2"/>
  <c r="M747" i="2" s="1"/>
  <c r="E748" i="2"/>
  <c r="E747" i="2" s="1"/>
  <c r="J740" i="2"/>
  <c r="J739" i="2" s="1"/>
  <c r="K702" i="2"/>
  <c r="K701" i="2" s="1"/>
  <c r="M702" i="2"/>
  <c r="M701" i="2" s="1"/>
  <c r="E702" i="2"/>
  <c r="E701" i="2" s="1"/>
  <c r="G523" i="2"/>
  <c r="G505" i="2"/>
  <c r="I505" i="2"/>
  <c r="K427" i="2"/>
  <c r="E354" i="2"/>
  <c r="E353" i="2" s="1"/>
  <c r="L339" i="2"/>
  <c r="J318" i="2"/>
  <c r="F318" i="2"/>
  <c r="F267" i="2" s="1"/>
  <c r="F266" i="2" s="1"/>
  <c r="J268" i="2"/>
  <c r="J161" i="2"/>
  <c r="I110" i="2"/>
  <c r="G11" i="2"/>
  <c r="G500" i="2"/>
  <c r="L748" i="2"/>
  <c r="L747" i="2" s="1"/>
  <c r="I740" i="2"/>
  <c r="I739" i="2" s="1"/>
  <c r="L676" i="2"/>
  <c r="L511" i="2"/>
  <c r="L510" i="2" s="1"/>
  <c r="H505" i="2"/>
  <c r="J427" i="2"/>
  <c r="I328" i="2"/>
  <c r="G702" i="2"/>
  <c r="G701" i="2" s="1"/>
  <c r="J572" i="2"/>
  <c r="J550" i="2"/>
  <c r="L126" i="2"/>
  <c r="L125" i="2" s="1"/>
  <c r="J95" i="2"/>
  <c r="I748" i="2"/>
  <c r="I747" i="2" s="1"/>
  <c r="K748" i="2"/>
  <c r="K747" i="2" s="1"/>
  <c r="N572" i="2"/>
  <c r="F572" i="2"/>
  <c r="I500" i="2"/>
  <c r="L446" i="2"/>
  <c r="J254" i="2"/>
  <c r="J253" i="2" s="1"/>
  <c r="K240" i="2"/>
  <c r="E213" i="2"/>
  <c r="E212" i="2" s="1"/>
  <c r="G110" i="2"/>
  <c r="G53" i="2"/>
  <c r="M253" i="2"/>
  <c r="M200" i="2"/>
  <c r="J232" i="2"/>
  <c r="K239" i="2"/>
  <c r="G740" i="2"/>
  <c r="G739" i="2" s="1"/>
  <c r="M710" i="2"/>
  <c r="M709" i="2" s="1"/>
  <c r="E710" i="2"/>
  <c r="E709" i="2" s="1"/>
  <c r="L541" i="2"/>
  <c r="N541" i="2"/>
  <c r="F541" i="2"/>
  <c r="J541" i="2"/>
  <c r="J523" i="2"/>
  <c r="L523" i="2"/>
  <c r="M511" i="2"/>
  <c r="M510" i="2" s="1"/>
  <c r="E511" i="2"/>
  <c r="E510" i="2" s="1"/>
  <c r="N505" i="2"/>
  <c r="F505" i="2"/>
  <c r="K460" i="2"/>
  <c r="N392" i="2"/>
  <c r="F392" i="2"/>
  <c r="N354" i="2"/>
  <c r="N353" i="2" s="1"/>
  <c r="F354" i="2"/>
  <c r="F353" i="2" s="1"/>
  <c r="K318" i="2"/>
  <c r="K254" i="2"/>
  <c r="K253" i="2" s="1"/>
  <c r="I240" i="2"/>
  <c r="K232" i="2"/>
  <c r="K231" i="2" s="1"/>
  <c r="H141" i="2"/>
  <c r="H140" i="2" s="1"/>
  <c r="M126" i="2"/>
  <c r="M125" i="2" s="1"/>
  <c r="E126" i="2"/>
  <c r="E125" i="2" s="1"/>
  <c r="N95" i="2"/>
  <c r="I73" i="2"/>
  <c r="I72" i="2" s="1"/>
  <c r="I54" i="2"/>
  <c r="H239" i="2"/>
  <c r="H231" i="2" s="1"/>
  <c r="L710" i="2"/>
  <c r="L709" i="2" s="1"/>
  <c r="K676" i="2"/>
  <c r="H572" i="2"/>
  <c r="I446" i="2"/>
  <c r="I444" i="2" s="1"/>
  <c r="K344" i="2"/>
  <c r="M268" i="2"/>
  <c r="E268" i="2"/>
  <c r="L232" i="2"/>
  <c r="K222" i="2"/>
  <c r="N213" i="2"/>
  <c r="N212" i="2" s="1"/>
  <c r="F213" i="2"/>
  <c r="F212" i="2" s="1"/>
  <c r="H213" i="2"/>
  <c r="H212" i="2" s="1"/>
  <c r="L201" i="2"/>
  <c r="L200" i="2" s="1"/>
  <c r="G141" i="2"/>
  <c r="K95" i="2"/>
  <c r="N73" i="2"/>
  <c r="N72" i="2" s="1"/>
  <c r="H73" i="2"/>
  <c r="H72" i="2" s="1"/>
  <c r="N40" i="2"/>
  <c r="N361" i="2"/>
  <c r="E200" i="2"/>
  <c r="K710" i="2"/>
  <c r="K709" i="2" s="1"/>
  <c r="I702" i="2"/>
  <c r="I701" i="2" s="1"/>
  <c r="H676" i="2"/>
  <c r="J676" i="2"/>
  <c r="M572" i="2"/>
  <c r="E572" i="2"/>
  <c r="N446" i="2"/>
  <c r="N444" i="2" s="1"/>
  <c r="F446" i="2"/>
  <c r="F444" i="2" s="1"/>
  <c r="J446" i="2"/>
  <c r="M427" i="2"/>
  <c r="E427" i="2"/>
  <c r="L344" i="2"/>
  <c r="N344" i="2"/>
  <c r="F344" i="2"/>
  <c r="J344" i="2"/>
  <c r="L328" i="2"/>
  <c r="N328" i="2"/>
  <c r="F328" i="2"/>
  <c r="J328" i="2"/>
  <c r="I232" i="2"/>
  <c r="M177" i="2"/>
  <c r="G177" i="2"/>
  <c r="N161" i="2"/>
  <c r="F161" i="2"/>
  <c r="F83" i="2"/>
  <c r="F82" i="2" s="1"/>
  <c r="G73" i="2"/>
  <c r="G72" i="2" s="1"/>
  <c r="I11" i="2"/>
  <c r="I10" i="2" s="1"/>
  <c r="N748" i="2"/>
  <c r="N747" i="2" s="1"/>
  <c r="F748" i="2"/>
  <c r="F747" i="2" s="1"/>
  <c r="L740" i="2"/>
  <c r="L739" i="2" s="1"/>
  <c r="J710" i="2"/>
  <c r="J709" i="2" s="1"/>
  <c r="F702" i="2"/>
  <c r="F701" i="2" s="1"/>
  <c r="H702" i="2"/>
  <c r="H701" i="2" s="1"/>
  <c r="I676" i="2"/>
  <c r="N550" i="2"/>
  <c r="F550" i="2"/>
  <c r="G541" i="2"/>
  <c r="K523" i="2"/>
  <c r="G392" i="2"/>
  <c r="K354" i="2"/>
  <c r="K353" i="2" s="1"/>
  <c r="H318" i="2"/>
  <c r="I268" i="2"/>
  <c r="N253" i="2"/>
  <c r="F253" i="2"/>
  <c r="H254" i="2"/>
  <c r="H253" i="2" s="1"/>
  <c r="L239" i="2"/>
  <c r="N240" i="2"/>
  <c r="N239" i="2" s="1"/>
  <c r="F240" i="2"/>
  <c r="F239" i="2" s="1"/>
  <c r="L190" i="2"/>
  <c r="H126" i="2"/>
  <c r="H125" i="2" s="1"/>
  <c r="N53" i="2"/>
  <c r="F53" i="2"/>
  <c r="G511" i="2"/>
  <c r="G510" i="2" s="1"/>
  <c r="I511" i="2"/>
  <c r="I510" i="2" s="1"/>
  <c r="N339" i="2"/>
  <c r="F339" i="2"/>
  <c r="M318" i="2"/>
  <c r="N268" i="2"/>
  <c r="G254" i="2"/>
  <c r="G253" i="2" s="1"/>
  <c r="M240" i="2"/>
  <c r="M239" i="2" s="1"/>
  <c r="E240" i="2"/>
  <c r="E239" i="2" s="1"/>
  <c r="G190" i="2"/>
  <c r="G176" i="2" s="1"/>
  <c r="I190" i="2"/>
  <c r="M190" i="2"/>
  <c r="E190" i="2"/>
  <c r="K126" i="2"/>
  <c r="K125" i="2" s="1"/>
  <c r="F95" i="2"/>
  <c r="F89" i="2" s="1"/>
  <c r="I710" i="2"/>
  <c r="I709" i="2" s="1"/>
  <c r="N584" i="2"/>
  <c r="N571" i="2" s="1"/>
  <c r="F584" i="2"/>
  <c r="G550" i="2"/>
  <c r="K550" i="2"/>
  <c r="N702" i="2"/>
  <c r="N701" i="2" s="1"/>
  <c r="G676" i="2"/>
  <c r="K584" i="2"/>
  <c r="G584" i="2"/>
  <c r="G571" i="2" s="1"/>
  <c r="M444" i="2"/>
  <c r="E444" i="2"/>
  <c r="G446" i="2"/>
  <c r="G444" i="2" s="1"/>
  <c r="G361" i="2"/>
  <c r="K361" i="2"/>
  <c r="M328" i="2"/>
  <c r="M267" i="2" s="1"/>
  <c r="M266" i="2" s="1"/>
  <c r="G328" i="2"/>
  <c r="N318" i="2"/>
  <c r="G222" i="2"/>
  <c r="H201" i="2"/>
  <c r="H200" i="2" s="1"/>
  <c r="N177" i="2"/>
  <c r="E161" i="2"/>
  <c r="G146" i="2"/>
  <c r="I146" i="2"/>
  <c r="K141" i="2"/>
  <c r="I95" i="2"/>
  <c r="I89" i="2" s="1"/>
  <c r="L73" i="2"/>
  <c r="L72" i="2" s="1"/>
  <c r="H40" i="2"/>
  <c r="J40" i="2"/>
  <c r="G710" i="2"/>
  <c r="G709" i="2" s="1"/>
  <c r="F361" i="2"/>
  <c r="J748" i="2"/>
  <c r="J747" i="2" s="1"/>
  <c r="H710" i="2"/>
  <c r="H709" i="2" s="1"/>
  <c r="N710" i="2"/>
  <c r="N709" i="2" s="1"/>
  <c r="F710" i="2"/>
  <c r="F709" i="2" s="1"/>
  <c r="L702" i="2"/>
  <c r="L701" i="2" s="1"/>
  <c r="M676" i="2"/>
  <c r="E676" i="2"/>
  <c r="H427" i="2"/>
  <c r="K392" i="2"/>
  <c r="G354" i="2"/>
  <c r="G353" i="2" s="1"/>
  <c r="E222" i="2"/>
  <c r="I161" i="2"/>
  <c r="K146" i="2"/>
  <c r="J53" i="2"/>
  <c r="L584" i="2"/>
  <c r="M392" i="2"/>
  <c r="N222" i="2"/>
  <c r="E53" i="2"/>
  <c r="J584" i="2"/>
  <c r="I460" i="2"/>
  <c r="N427" i="2"/>
  <c r="F427" i="2"/>
  <c r="F360" i="2" s="1"/>
  <c r="M361" i="2"/>
  <c r="E361" i="2"/>
  <c r="L354" i="2"/>
  <c r="L353" i="2" s="1"/>
  <c r="H328" i="2"/>
  <c r="F177" i="2"/>
  <c r="H177" i="2"/>
  <c r="H176" i="2" s="1"/>
  <c r="I584" i="2"/>
  <c r="I571" i="2" s="1"/>
  <c r="L500" i="2"/>
  <c r="L460" i="2"/>
  <c r="H460" i="2"/>
  <c r="J392" i="2"/>
  <c r="H361" i="2"/>
  <c r="L361" i="2"/>
  <c r="L11" i="2"/>
  <c r="L10" i="2" s="1"/>
  <c r="N11" i="2"/>
  <c r="N10" i="2" s="1"/>
  <c r="N9" i="2" s="1"/>
  <c r="F11" i="2"/>
  <c r="F10" i="2" s="1"/>
  <c r="H584" i="2"/>
  <c r="H541" i="2"/>
  <c r="F523" i="2"/>
  <c r="I126" i="2"/>
  <c r="I125" i="2" s="1"/>
  <c r="I523" i="2"/>
  <c r="H392" i="2"/>
  <c r="L392" i="2"/>
  <c r="L222" i="2"/>
  <c r="M53" i="2"/>
  <c r="E550" i="2"/>
  <c r="H523" i="2"/>
  <c r="N523" i="2"/>
  <c r="N522" i="2" s="1"/>
  <c r="L444" i="2"/>
  <c r="N676" i="2"/>
  <c r="F676" i="2"/>
  <c r="F571" i="2" s="1"/>
  <c r="M523" i="2"/>
  <c r="E523" i="2"/>
  <c r="N511" i="2"/>
  <c r="N510" i="2" s="1"/>
  <c r="F511" i="2"/>
  <c r="F510" i="2" s="1"/>
  <c r="N460" i="2"/>
  <c r="F460" i="2"/>
  <c r="J444" i="2"/>
  <c r="J361" i="2"/>
  <c r="J360" i="2" s="1"/>
  <c r="J240" i="2"/>
  <c r="J239" i="2" s="1"/>
  <c r="J231" i="2" s="1"/>
  <c r="H222" i="2"/>
  <c r="F222" i="2"/>
  <c r="N89" i="2"/>
  <c r="I53" i="2"/>
  <c r="I9" i="2" s="1"/>
  <c r="G10" i="2"/>
  <c r="G9" i="2" s="1"/>
  <c r="E392" i="2"/>
  <c r="M550" i="2"/>
  <c r="K446" i="2"/>
  <c r="K444" i="2" s="1"/>
  <c r="I392" i="2"/>
  <c r="I550" i="2"/>
  <c r="M460" i="2"/>
  <c r="E460" i="2"/>
  <c r="I361" i="2"/>
  <c r="H344" i="2"/>
  <c r="E318" i="2"/>
  <c r="E267" i="2" s="1"/>
  <c r="E266" i="2" s="1"/>
  <c r="J213" i="2"/>
  <c r="J212" i="2" s="1"/>
  <c r="L213" i="2"/>
  <c r="L212" i="2" s="1"/>
  <c r="J177" i="2"/>
  <c r="L177" i="2"/>
  <c r="L176" i="2" s="1"/>
  <c r="J702" i="2"/>
  <c r="J701" i="2" s="1"/>
  <c r="M584" i="2"/>
  <c r="M571" i="2" s="1"/>
  <c r="E584" i="2"/>
  <c r="E571" i="2" s="1"/>
  <c r="L571" i="2"/>
  <c r="L550" i="2"/>
  <c r="H550" i="2"/>
  <c r="K541" i="2"/>
  <c r="H446" i="2"/>
  <c r="H444" i="2" s="1"/>
  <c r="I427" i="2"/>
  <c r="G344" i="2"/>
  <c r="K328" i="2"/>
  <c r="L318" i="2"/>
  <c r="M176" i="2"/>
  <c r="E176" i="2"/>
  <c r="G95" i="2"/>
  <c r="G89" i="2" s="1"/>
  <c r="H11" i="2"/>
  <c r="H10" i="2" s="1"/>
  <c r="J11" i="2"/>
  <c r="H268" i="2"/>
  <c r="I254" i="2"/>
  <c r="I253" i="2" s="1"/>
  <c r="N232" i="2"/>
  <c r="J222" i="2"/>
  <c r="G201" i="2"/>
  <c r="G200" i="2" s="1"/>
  <c r="J146" i="2"/>
  <c r="J140" i="2" s="1"/>
  <c r="I141" i="2"/>
  <c r="I140" i="2" s="1"/>
  <c r="K110" i="2"/>
  <c r="K89" i="2" s="1"/>
  <c r="M95" i="2"/>
  <c r="M89" i="2" s="1"/>
  <c r="E95" i="2"/>
  <c r="K83" i="2"/>
  <c r="K82" i="2" s="1"/>
  <c r="G268" i="2"/>
  <c r="E253" i="2"/>
  <c r="M232" i="2"/>
  <c r="I222" i="2"/>
  <c r="I213" i="2"/>
  <c r="I212" i="2" s="1"/>
  <c r="N201" i="2"/>
  <c r="N200" i="2" s="1"/>
  <c r="F201" i="2"/>
  <c r="F200" i="2" s="1"/>
  <c r="N190" i="2"/>
  <c r="F190" i="2"/>
  <c r="L161" i="2"/>
  <c r="E140" i="2"/>
  <c r="J126" i="2"/>
  <c r="J125" i="2" s="1"/>
  <c r="L95" i="2"/>
  <c r="L89" i="2" s="1"/>
  <c r="J89" i="2"/>
  <c r="K54" i="2"/>
  <c r="K53" i="2" s="1"/>
  <c r="I239" i="2"/>
  <c r="F232" i="2"/>
  <c r="K177" i="2"/>
  <c r="H161" i="2"/>
  <c r="H110" i="2"/>
  <c r="E89" i="2"/>
  <c r="M11" i="2"/>
  <c r="M10" i="2" s="1"/>
  <c r="E11" i="2"/>
  <c r="E10" i="2" s="1"/>
  <c r="E9" i="2" s="1"/>
  <c r="I318" i="2"/>
  <c r="I267" i="2" s="1"/>
  <c r="I266" i="2" s="1"/>
  <c r="L268" i="2"/>
  <c r="E232" i="2"/>
  <c r="K200" i="2"/>
  <c r="K190" i="2"/>
  <c r="N146" i="2"/>
  <c r="N140" i="2" s="1"/>
  <c r="F146" i="2"/>
  <c r="F140" i="2" s="1"/>
  <c r="G126" i="2"/>
  <c r="G125" i="2" s="1"/>
  <c r="G40" i="2"/>
  <c r="K268" i="2"/>
  <c r="L254" i="2"/>
  <c r="L253" i="2" s="1"/>
  <c r="G240" i="2"/>
  <c r="G239" i="2" s="1"/>
  <c r="G231" i="2" s="1"/>
  <c r="M222" i="2"/>
  <c r="J201" i="2"/>
  <c r="J200" i="2" s="1"/>
  <c r="J190" i="2"/>
  <c r="I177" i="2"/>
  <c r="G161" i="2"/>
  <c r="M146" i="2"/>
  <c r="M140" i="2" s="1"/>
  <c r="E146" i="2"/>
  <c r="N126" i="2"/>
  <c r="N125" i="2" s="1"/>
  <c r="F126" i="2"/>
  <c r="F125" i="2" s="1"/>
  <c r="H95" i="2"/>
  <c r="H89" i="2" s="1"/>
  <c r="K11" i="2"/>
  <c r="K10" i="2" s="1"/>
  <c r="J359" i="2" l="1"/>
  <c r="L88" i="2"/>
  <c r="L9" i="2"/>
  <c r="L231" i="2"/>
  <c r="E231" i="2"/>
  <c r="F231" i="2"/>
  <c r="K522" i="2"/>
  <c r="K521" i="2" s="1"/>
  <c r="F522" i="2"/>
  <c r="K360" i="2"/>
  <c r="K359" i="2" s="1"/>
  <c r="H9" i="2"/>
  <c r="I231" i="2"/>
  <c r="J571" i="2"/>
  <c r="N176" i="2"/>
  <c r="N88" i="2" s="1"/>
  <c r="G522" i="2"/>
  <c r="G521" i="2" s="1"/>
  <c r="N267" i="2"/>
  <c r="N266" i="2" s="1"/>
  <c r="J267" i="2"/>
  <c r="J266" i="2" s="1"/>
  <c r="H571" i="2"/>
  <c r="J522" i="2"/>
  <c r="J521" i="2" s="1"/>
  <c r="H267" i="2"/>
  <c r="H266" i="2" s="1"/>
  <c r="J10" i="2"/>
  <c r="J9" i="2" s="1"/>
  <c r="M522" i="2"/>
  <c r="E360" i="2"/>
  <c r="E359" i="2" s="1"/>
  <c r="G360" i="2"/>
  <c r="G359" i="2" s="1"/>
  <c r="I360" i="2"/>
  <c r="F359" i="2"/>
  <c r="N360" i="2"/>
  <c r="N359" i="2" s="1"/>
  <c r="H360" i="2"/>
  <c r="K176" i="2"/>
  <c r="I176" i="2"/>
  <c r="I88" i="2" s="1"/>
  <c r="N231" i="2"/>
  <c r="K140" i="2"/>
  <c r="M9" i="2"/>
  <c r="L522" i="2"/>
  <c r="L521" i="2" s="1"/>
  <c r="F9" i="2"/>
  <c r="G140" i="2"/>
  <c r="G88" i="2" s="1"/>
  <c r="M88" i="2"/>
  <c r="M521" i="2"/>
  <c r="E88" i="2"/>
  <c r="J176" i="2"/>
  <c r="J88" i="2" s="1"/>
  <c r="F521" i="2"/>
  <c r="H359" i="2"/>
  <c r="K9" i="2"/>
  <c r="I522" i="2"/>
  <c r="I521" i="2" s="1"/>
  <c r="H522" i="2"/>
  <c r="M360" i="2"/>
  <c r="M359" i="2" s="1"/>
  <c r="N521" i="2"/>
  <c r="H88" i="2"/>
  <c r="L267" i="2"/>
  <c r="L266" i="2" s="1"/>
  <c r="M231" i="2"/>
  <c r="K267" i="2"/>
  <c r="K266" i="2" s="1"/>
  <c r="G267" i="2"/>
  <c r="G266" i="2" s="1"/>
  <c r="E522" i="2"/>
  <c r="E521" i="2" s="1"/>
  <c r="L360" i="2"/>
  <c r="F176" i="2"/>
  <c r="F88" i="2" s="1"/>
  <c r="K88" i="2" l="1"/>
  <c r="I359" i="2"/>
  <c r="H521" i="2"/>
  <c r="L359" i="2"/>
</calcChain>
</file>

<file path=xl/sharedStrings.xml><?xml version="1.0" encoding="utf-8"?>
<sst xmlns="http://schemas.openxmlformats.org/spreadsheetml/2006/main" count="3589" uniqueCount="1933">
  <si>
    <t>Šakių rajono savivaldybės administracijos 2024 metų veiklos planas</t>
  </si>
  <si>
    <t>Kodas</t>
  </si>
  <si>
    <t>Šakių rajono savivaldybės administracijos 2024 m. metinis veiklos planas</t>
  </si>
  <si>
    <t>Vykdytojas</t>
  </si>
  <si>
    <t>Atsakingas (-i) asmuo (-ys)</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</si>
  <si>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</si>
  <si>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</si>
  <si>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</si>
  <si>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</si>
  <si>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</si>
  <si>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</si>
  <si>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</si>
  <si>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</si>
  <si>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</si>
  <si>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</si>
  <si>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</si>
  <si>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</si>
  <si>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</si>
  <si>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</si>
  <si>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</si>
  <si>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2024</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</si>
  <si>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</si>
  <si>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</si>
  <si>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</si>
  <si>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</si>
  <si>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</si>
  <si>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</si>
  <si>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</si>
  <si>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 procentais</t>
  </si>
  <si>
    <t>proc.</t>
  </si>
  <si>
    <t>100,00</t>
  </si>
  <si>
    <t>01.01.01</t>
  </si>
  <si>
    <t>Uždavinys. Kompleksiškai modernizuoti, renovuoti švietimo įstaigų mokymo (si) ir ugdymo (si) aplinką ir materialinę bazę (vaikų ir jaunimo ugdymo organizavimas)</t>
  </si>
  <si>
    <t>Modernizuotų švietimo įstaigų skaičius</t>
  </si>
  <si>
    <t>vnt.</t>
  </si>
  <si>
    <t>2,00</t>
  </si>
  <si>
    <t>01.01.01.01.</t>
  </si>
  <si>
    <t>Priemonė. Atnaujinti įrangą brandos egzaminų vykdymui švietimo įstaigose</t>
  </si>
  <si>
    <t>Gintaras  Demenius</t>
  </si>
  <si>
    <t>Gaunamų iš Švietimo ir mokslo ministerijos priemonių skaičius</t>
  </si>
  <si>
    <t>01.01.01.01.01</t>
  </si>
  <si>
    <t>Veikla: Įsigyti įrangą brandos egzaminų vykdymui</t>
  </si>
  <si>
    <t>01.01.01.03</t>
  </si>
  <si>
    <t>Priemonė. Mokymo reikmėms skirtų lėšų naudojimo programa valdoma administracijoje</t>
  </si>
  <si>
    <t>Administracines lėšas naudojančių įstaigų skaičius</t>
  </si>
  <si>
    <t>14,00</t>
  </si>
  <si>
    <t>01.01.01.03.01</t>
  </si>
  <si>
    <t>Veikla: Finansuoti egzaminų vykdymą, išlyginti tarifinių atlygių koeficientų skirtumus, mažiau pasirenkamų užsienio kalbų mokymą</t>
  </si>
  <si>
    <t>01.01.01.05.</t>
  </si>
  <si>
    <t>Priemonė. Mokinių pavėžėjimo programa</t>
  </si>
  <si>
    <t>Mokinių, pavežamų maršrutiniu transportu, skaičius</t>
  </si>
  <si>
    <t>325,00</t>
  </si>
  <si>
    <t>01.01.01.05.01</t>
  </si>
  <si>
    <t>Veikla: Skirti lėšas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</si>
  <si>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</si>
  <si>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</si>
  <si>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</si>
  <si>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</si>
  <si>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</si>
  <si>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</si>
  <si>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skaičius</t>
  </si>
  <si>
    <t>9,00</t>
  </si>
  <si>
    <t>01.01.01.08.01.</t>
  </si>
  <si>
    <t>Veikla:  Įgyvendinti renginių (olimpiadų, konkursų, viktorinų, peržiūrų, švenčių, festivalių, vasaros poilsio) organizavimo, mokinių ir darbuotojų skatinimo programą</t>
  </si>
  <si>
    <t>01.01.01.11.</t>
  </si>
  <si>
    <t>Priemonė: Vaikų vasaros stovyklų programa</t>
  </si>
  <si>
    <t>BĮ Šakių rajono savivaldybės viešoji biblioteka; BĮ Zanavykų muziejus; BĮ Šakių kultūros centras; Šakių rajono jaunimo kūrybos ir sporto centras</t>
  </si>
  <si>
    <t>Gintaras  Demenius; Ingrida Kasparavičienė</t>
  </si>
  <si>
    <t>Mokiniams organizuotų stovyklų skaičius</t>
  </si>
  <si>
    <t>13,00</t>
  </si>
  <si>
    <t>01.01.01.11.01</t>
  </si>
  <si>
    <t>Veikla. Skirti lėšas vaikų vasaros stovykloms organizuoti</t>
  </si>
  <si>
    <t>01.01.01.14</t>
  </si>
  <si>
    <t>Priemonė: Kokybės krepšelio lėšos</t>
  </si>
  <si>
    <t>Kokybės krepšelį naudojančių įstaigų skaičius</t>
  </si>
  <si>
    <t>1,00</t>
  </si>
  <si>
    <t>01.01.01.14.02</t>
  </si>
  <si>
    <t>Veikla. Įsigyti naujų mokymo priemonių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</si>
  <si>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</si>
  <si>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</si>
  <si>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</si>
  <si>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</si>
  <si>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</si>
  <si>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</si>
  <si>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</si>
  <si>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</si>
  <si>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</si>
  <si>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19,00</t>
  </si>
  <si>
    <t>01.01.01.22.01</t>
  </si>
  <si>
    <t>Veikla. Pavėžėti mokinius seniūnijos autobusu</t>
  </si>
  <si>
    <t>01.01.01.23.</t>
  </si>
  <si>
    <t>Priemonė. Mokinius vežančių Kriūkų seniūnijos autobusų išlaikymo programa</t>
  </si>
  <si>
    <t>Kriūkų seniūnija</t>
  </si>
  <si>
    <t>12,00</t>
  </si>
  <si>
    <t>01.01.01.23.01</t>
  </si>
  <si>
    <t>01.01.01.24.</t>
  </si>
  <si>
    <t>Priemonė. Mokinius vežančių Kudirkos Naumiesčio seniūnijos autobusų išlaikymo programa</t>
  </si>
  <si>
    <t>Kudirkos Naumiesčio seniūnija</t>
  </si>
  <si>
    <t>40,00</t>
  </si>
  <si>
    <t>01.01.01.24.01</t>
  </si>
  <si>
    <t>01.01.01.25.</t>
  </si>
  <si>
    <t>Priemonė. Mokinius vežančių Lekėčių seniūnijos autobusų išlaikymo programa</t>
  </si>
  <si>
    <t>Lekėčių seniūnija</t>
  </si>
  <si>
    <t>24,00</t>
  </si>
  <si>
    <t>01.01.01.25.01</t>
  </si>
  <si>
    <t>01.01.01.27.</t>
  </si>
  <si>
    <t>Priemonė. Dalyvauti elektroninio mokinio pažymėjimo programoje</t>
  </si>
  <si>
    <t>Programoje dalyvaujančių švietimo įstaigų skaičius</t>
  </si>
  <si>
    <t>01.01.01.27.01</t>
  </si>
  <si>
    <t>Veikla. Įsigyti elektronius mokinio pažymėjmus rajono mokiniams</t>
  </si>
  <si>
    <t>01.01.01.28.</t>
  </si>
  <si>
    <t>Priemonė. Įgyvendinti STEAM programą</t>
  </si>
  <si>
    <t>Projekte dalyvaujančių įstaigų skaičius</t>
  </si>
  <si>
    <t>11,00</t>
  </si>
  <si>
    <t>01.01.01.28.01</t>
  </si>
  <si>
    <t>Veikla. Skirti lėšas projekto įgyvendinimui</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</si>
  <si>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</si>
  <si>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</si>
  <si>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</si>
  <si>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</si>
  <si>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</si>
  <si>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</si>
  <si>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</si>
  <si>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01.01.02.01.01</t>
  </si>
  <si>
    <t>Veikla:  Suorganizuoti kvalifikacijos kėlimo kursus, švietimo įstaigų vadovams, pavaduotojams, mokytojams</t>
  </si>
  <si>
    <t>01.01.02.02.</t>
  </si>
  <si>
    <t>Priemonė. Mokytojų perkvalifikavimo programa</t>
  </si>
  <si>
    <t>Perkvalifikuojamų specialistų skaičius</t>
  </si>
  <si>
    <t>01.01.02.02.01</t>
  </si>
  <si>
    <t>Veikla: Sudaryti persikvalifikavimo galimybes mokytojams</t>
  </si>
  <si>
    <t>01.03.</t>
  </si>
  <si>
    <t>Tikslas. Suaugusiųjų mokymo (si) sistemos, sąlygų ir paskatų plėtojimas</t>
  </si>
  <si>
    <t>Besimokančių suaugusiųjų žmonių dalis procentais</t>
  </si>
  <si>
    <t>90,00</t>
  </si>
  <si>
    <t>01.03.02.</t>
  </si>
  <si>
    <t>Uždavinys. Didinti neformaliojo švietimo prieinamumą ir galimybes</t>
  </si>
  <si>
    <t>Programų skaičius</t>
  </si>
  <si>
    <t>01.03.02.03.</t>
  </si>
  <si>
    <t>Priemonė. Vykdyti neformaliojo suaugusiųjų švietimo ir tęstinio mokymosi 2022–2025 m. veiksmų planą</t>
  </si>
  <si>
    <t>Ingrida Kasparavičienė</t>
  </si>
  <si>
    <t>Projektų skaičius</t>
  </si>
  <si>
    <t>01.03.02.03.01</t>
  </si>
  <si>
    <t>Veikla: Įgyvendinti projektus pagal neformaliojo suaugusiųjų švietimo veiksmų planą</t>
  </si>
  <si>
    <t>01.04.</t>
  </si>
  <si>
    <t>Tikslas. Sveiko gyvenimo būdo ir sporto propogavimas</t>
  </si>
  <si>
    <t>Besilaikančiųjų sveiko gyvenimo būdo dalis</t>
  </si>
  <si>
    <t>67,00</t>
  </si>
  <si>
    <t>01.04.01.</t>
  </si>
  <si>
    <t>Uždavinys. Skatinti sporto klubų ir masinių sportinių renginių veiklas</t>
  </si>
  <si>
    <t>184,00</t>
  </si>
  <si>
    <t>01.04.01.01.</t>
  </si>
  <si>
    <t>Priemonė. VšĮ Šakių krepšinio klubo finansavimo programa</t>
  </si>
  <si>
    <t>NKL varžybų skaičius</t>
  </si>
  <si>
    <t>01.04.01.01.01</t>
  </si>
  <si>
    <t>Veikla:  Vykdyti VšĮ Šakių krepšinio klubo finansavimo programą</t>
  </si>
  <si>
    <t>01.05.</t>
  </si>
  <si>
    <t>Tikslas. Jaunimo politikos įgyvendinimas</t>
  </si>
  <si>
    <t>Jaunimo reikalų koordinatorė</t>
  </si>
  <si>
    <t>Danutė Jurgutienė</t>
  </si>
  <si>
    <t>Jaunimo iniciatyvų projektuose ir savanorystės programose dalyvaujančio jaunimo dalis</t>
  </si>
  <si>
    <t>10,00</t>
  </si>
  <si>
    <t>01.05.01.</t>
  </si>
  <si>
    <t>Uždavinys. Skatinti ir palaikyti jaunimo iniciatyvas.</t>
  </si>
  <si>
    <t>01.05.01.01</t>
  </si>
  <si>
    <t>Priemonė. Skatinti ir palaikyti jaunimo iniciatyvas</t>
  </si>
  <si>
    <t>Projektų, skirtų jaunimo iniciatyvų skatinimui, jaunimo mokymams ir gerosios patirties sklaidai, skaičius</t>
  </si>
  <si>
    <t>15,00</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</si>
  <si>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</si>
  <si>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</si>
  <si>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</si>
  <si>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</si>
  <si>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</si>
  <si>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</si>
  <si>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</si>
  <si>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</si>
  <si>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</si>
  <si>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</si>
  <si>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</si>
  <si>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</si>
  <si>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</si>
  <si>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</si>
  <si>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rajono savivaldybės viešoji biblioteka; BĮ Šakių kultūros centras; BĮ Socialinių paslaugų centras</t>
  </si>
  <si>
    <t>Komandų, vykdančių mobilųjį darbą su jaunimu</t>
  </si>
  <si>
    <t>Vietovių, kuriose vykdomas mobilusis darbas su jaunimu</t>
  </si>
  <si>
    <t>3,00</t>
  </si>
  <si>
    <t>Veikiančių atvirųjų jaunimo erdvių skaičius</t>
  </si>
  <si>
    <t>Veikiančių atvirųjų jaunimo centrų skaičius</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</si>
  <si>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</si>
  <si>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</si>
  <si>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</si>
  <si>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</si>
  <si>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</si>
  <si>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</si>
  <si>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</si>
  <si>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</si>
  <si>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</si>
  <si>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</si>
  <si>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</si>
  <si>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</si>
  <si>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Šeimų, gavusių koordinuotai teikiamas paslaugas, skaičius</t>
  </si>
  <si>
    <t>20,00</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</si>
  <si>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</si>
  <si>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</si>
  <si>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</si>
  <si>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</si>
  <si>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</si>
  <si>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</si>
  <si>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 procentais</t>
  </si>
  <si>
    <t>01.07.01.</t>
  </si>
  <si>
    <t>Uždavinys.Sukurti aukšta kvalifikacija ir darbo rezultatais paremtą darbuotojų skatinimo programą</t>
  </si>
  <si>
    <t>Švietimo, kultūros ir sporto skyrius; Jaunimo reikalų koordinatorė</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</si>
  <si>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</si>
  <si>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</si>
  <si>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</si>
  <si>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</si>
  <si>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</si>
  <si>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</si>
  <si>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01.07.01.02.</t>
  </si>
  <si>
    <t>Priemonė. Iš dalies kompensuoti kelionės išlaidas pedagogams</t>
  </si>
  <si>
    <t>Kompensaciją gavusių pedagogų skaičius</t>
  </si>
  <si>
    <t>162,00</t>
  </si>
  <si>
    <t>01.07.01.02.01</t>
  </si>
  <si>
    <t>Veikla. Skirti lėšas pedagogų kelionės išlaidų kompensavimui</t>
  </si>
  <si>
    <t>01.08.</t>
  </si>
  <si>
    <t>Tikslas. Švietimo įtraukties ir veiksmingumo didinimas, siekiant atitikties asmens ir visuomenės poreikiams.</t>
  </si>
  <si>
    <t>Aukštąjį išsilavinimą turinčių 25–34 metų gyventojų dalis, proc.</t>
  </si>
  <si>
    <t>60,50</t>
  </si>
  <si>
    <t>01.08.01.</t>
  </si>
  <si>
    <t>Uždavinys. Pagerinti  ugdymosi rezultatus ir sumažinti jų atotrūkį.</t>
  </si>
  <si>
    <t>Vaikų, dalyvaujančių programoje, dalis proc.</t>
  </si>
  <si>
    <t>01.08.01.03.</t>
  </si>
  <si>
    <t>Priemonė. Įgyvendinti informatikos ir technologinės kūrybos mokymo programą</t>
  </si>
  <si>
    <t>Pradinių klasių, dalyvaujančių programoje, komplektų skaičius</t>
  </si>
  <si>
    <t>55,00</t>
  </si>
  <si>
    <t>01.08.01.03.01</t>
  </si>
  <si>
    <t>Veikla. Skirti lėšas "Vedlių" programos įgyvendinimui</t>
  </si>
  <si>
    <t>01.09.</t>
  </si>
  <si>
    <t>Tikslas. Ryšių su diaspora stiprinimas.</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</si>
  <si>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</si>
  <si>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</si>
  <si>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</si>
  <si>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</si>
  <si>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30,00</t>
  </si>
  <si>
    <t>01.09.01.01.</t>
  </si>
  <si>
    <t>Priemonė. Organizuoti vaikų vasaros stovyklą, įtraukiant diasporos vaikus</t>
  </si>
  <si>
    <t>Lankiusių stovyklą, diasporos vaikams, vaikų skaičius</t>
  </si>
  <si>
    <t>5,00</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</si>
  <si>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</si>
  <si>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</si>
  <si>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</si>
  <si>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</si>
  <si>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</si>
  <si>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</si>
  <si>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</si>
  <si>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</si>
  <si>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</si>
  <si>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</si>
  <si>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04.01.</t>
  </si>
  <si>
    <t xml:space="preserve">Tikslas: Darnaus išteklių naudojimo skatinimas.  </t>
  </si>
  <si>
    <t>Martynas Remeikis</t>
  </si>
  <si>
    <t>Renovuotų daugiabučių namų dalis procentais</t>
  </si>
  <si>
    <t>04.01.01.</t>
  </si>
  <si>
    <t>Uždavinys: Kompleksiškai plėtoti ir puoselėti  rekreacines teritorijas, želdynus, tvenkinius bei kitas viešąsias erdves, pritaikant jas gyventojų bei verslo poreikiams</t>
  </si>
  <si>
    <t>Pritaikytų viešųjų erdvių skaičius</t>
  </si>
  <si>
    <t>04.01.01.03.</t>
  </si>
  <si>
    <t>Priemonė: įgyvendinti projektą  „Gelgaudiškio dvaro parko sutvarkymas.“ (V-016)</t>
  </si>
  <si>
    <t>Miglė Kriaučiūnienė</t>
  </si>
  <si>
    <t>Atliktų projekto ekspertizių skaičius</t>
  </si>
  <si>
    <t>Stebėjimo sistemų įrangos skaičius</t>
  </si>
  <si>
    <t>04.01.01.03.04.</t>
  </si>
  <si>
    <t>Veikla: Įrengti stebėjimo sistemų įrangą</t>
  </si>
  <si>
    <t>04.01.01.03.05.</t>
  </si>
  <si>
    <t>Veikla: Atlikti projekto ekspertizę</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</si>
  <si>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</si>
  <si>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</si>
  <si>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 GWh</t>
  </si>
  <si>
    <t>GWh</t>
  </si>
  <si>
    <t>0,34</t>
  </si>
  <si>
    <t>04.01.03.03.</t>
  </si>
  <si>
    <t>Priemonė. Įgyvendinti projektą ,,Saulės fotovoltinės jėgainės diegimas Šakių rajono savivaldybės administracijos pastate, esančiame Bažnyčios g. 4, Šakiuose"</t>
  </si>
  <si>
    <t>Aušra Slidziauskienė</t>
  </si>
  <si>
    <t>Parengtų ŠESD (šiltnamio efektą sukeliančių dujų) ataskaitų skaičius</t>
  </si>
  <si>
    <t>04.01.03.03.03.</t>
  </si>
  <si>
    <t>Veikla: Parengti ŠESD (šiltnamio efektą sukeliančių dujų) ataskaitą</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</si>
  <si>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</si>
  <si>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</si>
  <si>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</si>
  <si>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</si>
  <si>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</si>
  <si>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</si>
  <si>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</si>
  <si>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</si>
  <si>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</si>
  <si>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</si>
  <si>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</si>
  <si>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</si>
  <si>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Atlikta rangos darbų, procentais</t>
  </si>
  <si>
    <t>04.01.03.12.02.</t>
  </si>
  <si>
    <t>Veikla: Modernizuoti/atnaujinti Šakių ,,Žiburio" gimnaziją</t>
  </si>
  <si>
    <t>04.01.03.16.</t>
  </si>
  <si>
    <t>Priemonė. Įgyvendinti projektą" Kultūros objektų infrastruktūros modernizavimas ir plėtra Šakių rajone"</t>
  </si>
  <si>
    <t>Parengtų techninių projektų skaičius</t>
  </si>
  <si>
    <t>04.01.03.16.01.</t>
  </si>
  <si>
    <t>Veikla: Parengti kultūros objektų techninius projektus</t>
  </si>
  <si>
    <t>04.01.03.17.</t>
  </si>
  <si>
    <t>Priemonė. Įgyvendinti projektą "Skatinti alternatyviųjų degalų naudojimą transporto sektoriuje Šakių rajono savivaldybėje"</t>
  </si>
  <si>
    <t xml:space="preserve">UAB „Šakių autobusų parkas“ </t>
  </si>
  <si>
    <t>Parengtų projektinių paraiškų skaičius</t>
  </si>
  <si>
    <t>04.01.03.17.01.</t>
  </si>
  <si>
    <t>Veikla: Pateikti projekto įgyvendinimo planą.</t>
  </si>
  <si>
    <t>04.01.04.</t>
  </si>
  <si>
    <t>Uždavinys: Rengti teritorijų planavimo dokumentus</t>
  </si>
  <si>
    <t>Architektūros ir urbanistikos skyrius</t>
  </si>
  <si>
    <t>Jurgita Bosikienė</t>
  </si>
  <si>
    <t>Suplanuotų teritorijų skaičius</t>
  </si>
  <si>
    <t>04.01.04.01.</t>
  </si>
  <si>
    <t>Priemonė: Teritorijų planavimo dokumentų rengimas</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</si>
  <si>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</si>
  <si>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</si>
  <si>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</si>
  <si>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</si>
  <si>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</si>
  <si>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Atnaujintų GIS GeoMap programinės įrangos vienetų skaičius</t>
  </si>
  <si>
    <t>04.01.04.02.01</t>
  </si>
  <si>
    <t>Veikla: Įsigyti GIS GeoMap programinės įrangos atnaujinimą</t>
  </si>
  <si>
    <t>04.01.04.03.</t>
  </si>
  <si>
    <t>Priemonė: „Šakių rajono teritorijų pritaikymo šiandienos poreikiams parengtų priešprojektinių pasiūlymų parengimas ir viešinimo paslaugos, konkurso „Išmanusis mietas X“ metu“</t>
  </si>
  <si>
    <t>Priešprojektinių pasiūlymų skaičius</t>
  </si>
  <si>
    <t>04.01.04.03.02.</t>
  </si>
  <si>
    <t>Veikla: parengti priešprojektinius pasiūlymus</t>
  </si>
  <si>
    <t>04.02.</t>
  </si>
  <si>
    <t>Tikslas: Inžinerinės infrastruktūros modernizavimas.</t>
  </si>
  <si>
    <t>Verslo įmonių, kurioms pagerinta viešoji infrastruktūra dalis, (nuo visų įmonių) procentais</t>
  </si>
  <si>
    <t>04.02.02.</t>
  </si>
  <si>
    <t xml:space="preserve">Uždavinys: Kurti ir plėtoti pramonės zonas ir subzonas </t>
  </si>
  <si>
    <t>Naujų  verslo zonų ir subzonų skaičius</t>
  </si>
  <si>
    <t>04.02.02.01.</t>
  </si>
  <si>
    <t>Priemonė: „Šakių pramonės zonos įrengimas“ / infrastruktūros įrengimo darbai (R)</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</si>
  <si>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</si>
  <si>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</si>
  <si>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</si>
  <si>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</si>
  <si>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</si>
  <si>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 procentais</t>
  </si>
  <si>
    <t>17,00</t>
  </si>
  <si>
    <t>04.03.01.</t>
  </si>
  <si>
    <t>Uždavinys: Modernizuoti ir plėtoti savivaldybės vietinės reikšmės kelius, gatves ir kitas susisiekimo komunikacijas</t>
  </si>
  <si>
    <t>Modernizuotų ir įrengtų vietinės reikšmės kelių ir gatvių  ilgis kilometrais</t>
  </si>
  <si>
    <t>km</t>
  </si>
  <si>
    <t>4,92</t>
  </si>
  <si>
    <t>04.03.01.01.</t>
  </si>
  <si>
    <t>Priemonė: Įgyvendinti projektą „Šakių miesto susisiekimo infrastruktūros modernizavimas" (TID-511)</t>
  </si>
  <si>
    <t>04.03.01.01.10.</t>
  </si>
  <si>
    <t>Veikla: Baigiamosios dokumentacijos rengimas</t>
  </si>
  <si>
    <t>04.04.</t>
  </si>
  <si>
    <t>Tikslas: Efektyvus melioracijos statinių funkcionavimas</t>
  </si>
  <si>
    <t>Žemės ūkio ir kaimo reikalų skyrius</t>
  </si>
  <si>
    <t>Irena  Žemaitienė; Lina Štrimaitytė; Rimantas  Vaičiūnas</t>
  </si>
  <si>
    <t>Pagerintos žemės dalis nuo viso melioruotos žemės ploto, procentais</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</si>
  <si>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</si>
  <si>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</si>
  <si>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</si>
  <si>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</si>
  <si>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</si>
  <si>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</si>
  <si>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</si>
  <si>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</si>
  <si>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</si>
  <si>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</si>
  <si>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</si>
  <si>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</si>
  <si>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</si>
  <si>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</si>
  <si>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</si>
  <si>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</si>
  <si>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</si>
  <si>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</si>
  <si>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</si>
  <si>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18,64</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</si>
  <si>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</si>
  <si>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</si>
  <si>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</si>
  <si>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</si>
  <si>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</si>
  <si>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</si>
  <si>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</si>
  <si>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</si>
  <si>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</si>
  <si>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Rekonstruojamų griovių ilgis kilometrais</t>
  </si>
  <si>
    <t>19,82</t>
  </si>
  <si>
    <t>Parengtų projektų skaičius</t>
  </si>
  <si>
    <t>04.04.01.09.02.</t>
  </si>
  <si>
    <t>Veikla: Rekonstruoti melioracijos griovius</t>
  </si>
  <si>
    <t>04.04.01.09.03.</t>
  </si>
  <si>
    <t>Veikla: Parengti projekto  „Šakių rajono savivaldybės Baltrušių, Barzdų ir Patašinės kadastro vietovėse esančių melioracijos statinių rekonstravimas“ techninį darbo projektą</t>
  </si>
  <si>
    <t>04.05.</t>
  </si>
  <si>
    <t>Tikslas: Kompleksinis miestelių ir kaimų bendruomeninės ir viešosios infrastruktūros atnaujinimas.</t>
  </si>
  <si>
    <t>Per 100 gyventojų turinčių vietovių kurių infrastruktūra atnaujinta dalis, procentais</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</si>
  <si>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</si>
  <si>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</si>
  <si>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</si>
  <si>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</si>
  <si>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</si>
  <si>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Parengtų deklaracijų skaičius</t>
  </si>
  <si>
    <t>04.05.01.01.05.</t>
  </si>
  <si>
    <t>Veikla: Parengti projekto deklaraciją</t>
  </si>
  <si>
    <t>04.05.01.02.</t>
  </si>
  <si>
    <t>Priemonė: Įgyvendinti projektą ,,Lukšių gyvenamosios vietovės atnaujinimas" (R-908)</t>
  </si>
  <si>
    <t>04.05.01.02.05.</t>
  </si>
  <si>
    <t>04.05.02.</t>
  </si>
  <si>
    <t>Uždavinys:  Atnaujinti gyvenviečių, turinčių iki  1000 gyventojų viešąją infrastruktūrą</t>
  </si>
  <si>
    <t>0,00</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</si>
  <si>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</si>
  <si>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</si>
  <si>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</si>
  <si>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</si>
  <si>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</si>
  <si>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</si>
  <si>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</si>
  <si>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</si>
  <si>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</si>
  <si>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</si>
  <si>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</si>
  <si>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</si>
  <si>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</si>
  <si>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</si>
  <si>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</si>
  <si>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</si>
  <si>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</si>
  <si>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</si>
  <si>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</si>
  <si>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</si>
  <si>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</si>
  <si>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</si>
  <si>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04.09.</t>
  </si>
  <si>
    <t>Tikslas: Sporto ir aktyvaus laisvalaikio infrastruktūros plėtojimas.</t>
  </si>
  <si>
    <t>Atnaujintų ir naujai įkurtų objektų dalis procentais</t>
  </si>
  <si>
    <t>04.09.01.</t>
  </si>
  <si>
    <t>Uždavinys: Atnaujinti esamas ir kurti naujas sporto ir aktyvaus laisvalaikio zonas bei viešąsias erdves</t>
  </si>
  <si>
    <t>Atnaujintų ir naujai įkurtų objektų skaičius</t>
  </si>
  <si>
    <t>04.09.01.08.</t>
  </si>
  <si>
    <t>Priemonė. Įgyvendinti projektą "Šakių "Varpo" mokyklos stadiono modernizavimas"</t>
  </si>
  <si>
    <t>04.09.01.08.01.</t>
  </si>
  <si>
    <t>Veikla: Parengti techninį projektą</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</si>
  <si>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</si>
  <si>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</si>
  <si>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</si>
  <si>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</si>
  <si>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</si>
  <si>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</si>
  <si>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</si>
  <si>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</si>
  <si>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</si>
  <si>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</si>
  <si>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</si>
  <si>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</si>
  <si>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</si>
  <si>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</si>
  <si>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</si>
  <si>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</si>
  <si>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04.12.02.02.02.</t>
  </si>
  <si>
    <t>Veikla: Palaikyti bevielio interneto ryšio prieigos taškus (apmokėti už interneto paslaugas)</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</si>
  <si>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</si>
  <si>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</si>
  <si>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</si>
  <si>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</si>
  <si>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</si>
  <si>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</si>
  <si>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</si>
  <si>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</si>
  <si>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</si>
  <si>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</si>
  <si>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</si>
  <si>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</si>
  <si>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</si>
  <si>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 procentais</t>
  </si>
  <si>
    <t>3,14</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</si>
  <si>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</si>
  <si>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</si>
  <si>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</si>
  <si>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</si>
  <si>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</si>
  <si>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</si>
  <si>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</si>
  <si>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</si>
  <si>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04.21.</t>
  </si>
  <si>
    <t>Tikslas. Didinti gyventojų socialinę gerovę ir įtrauktį, stiprinti sveikatą ir gerinti Lietuvos demografinę padėtį</t>
  </si>
  <si>
    <t>Asmenys, patiriantys skurdo riziką ar socialinę atskirtį, procentais</t>
  </si>
  <si>
    <t>04.21.01.</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</si>
  <si>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</si>
  <si>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t>
  </si>
  <si>
    <t>04.21.01.01.</t>
  </si>
  <si>
    <t>Priemonė. Įgyvendinti projektą  “Senyvo amžiaus asmenų socialinės gerovės didinimas steigiant dienos užimtumo centrą "Senjorų biuras" (R)</t>
  </si>
  <si>
    <t>04.21.01.01.01.</t>
  </si>
  <si>
    <t>04.21.01.02.</t>
  </si>
  <si>
    <t>Priemonė. Įgyvendinti projektą  „Socialinio būsto plėtra Šakių rajone“ (R)</t>
  </si>
  <si>
    <t>Naujai įsigytų/pastatytų ar rekonstruotų butų/gyvenamojo (-ų) namo (-ų) skaičius</t>
  </si>
  <si>
    <t>04.21.01.02.01.</t>
  </si>
  <si>
    <t>04.21.01.03.</t>
  </si>
  <si>
    <t>Priemonė. Įgyvendinti projektą  „Senatvė-likimo dovana“ (R)</t>
  </si>
  <si>
    <t>04.21.01.03.01.</t>
  </si>
  <si>
    <t>04.21.01.04.</t>
  </si>
  <si>
    <t>Priemonė. Įgyvendinti projektą „Grupinio gyvenimo namų plėtra Šakių mieste“ (R)</t>
  </si>
  <si>
    <t>Įsigytų investicinių projektų ir konsultacijų teikimo paslaugų skaičius</t>
  </si>
  <si>
    <t>04.21.01.04.01.</t>
  </si>
  <si>
    <t>Veikla: Nupirkti investicinių projektų ir konsultacijų paslaugas bei parengti reikiamus dokumentus</t>
  </si>
  <si>
    <t>04.21.01.05.</t>
  </si>
  <si>
    <t>Priemonė. Įgyvendinti projektą „Socialinių dirbtuvių modernizavimas ir plėtra Šakių rajone“ (R)</t>
  </si>
  <si>
    <t>Paprastojo remonto darbų aprašo rengimas</t>
  </si>
  <si>
    <t>04.21.01.05.01.</t>
  </si>
  <si>
    <t>Veikla: Parengti paprastojo remonto darbų aprašą</t>
  </si>
  <si>
    <t>04.21.01.06.</t>
  </si>
  <si>
    <t>Priemonė. Įgyvendinti projektą „Apsaugotų būstų infrastruktūros plėtra Šakių rajone“ (R)</t>
  </si>
  <si>
    <t>Tyrimų, analizių skaičius</t>
  </si>
  <si>
    <t>04.21.01.06.01.</t>
  </si>
  <si>
    <t>Veikla: Nupirkti ir atlikti būstų pasiūlos analizę</t>
  </si>
  <si>
    <t>04.21.02.</t>
  </si>
  <si>
    <t>Uždavinys. Didinti kokybiškų ir inovatyvių sveikatos priežiūros paslaugų prieinamumą ir sveikatos atsparumą grėsmėms</t>
  </si>
  <si>
    <t>Išvengiamas mirtingumas proc. (pagal jungtinį EBPO ir Eurostato sąrašą)</t>
  </si>
  <si>
    <t>73,20</t>
  </si>
  <si>
    <t>04.21.02.01.</t>
  </si>
  <si>
    <t>Priemonė. Įgyvendinti projektą  „Visuomenės sveikatos paslaugų kokybės gerinimas Šakių rajone (VSB)“ (R)</t>
  </si>
  <si>
    <t>Planuojamas gyventojų, kuriems šio projekto metu bus skirtos viešosios paslaigos, skaičius</t>
  </si>
  <si>
    <t>04.21.02.01.01.</t>
  </si>
  <si>
    <t>Veikla: Parengti ir pateikti projekto paraišką</t>
  </si>
  <si>
    <t>04.21.02.02.</t>
  </si>
  <si>
    <t>Priemonė. Įgyvendinti projektą  „Šakių rajono mobiliosios komandos aprūpinimas įranga ir transporto priemone“ (SAM)</t>
  </si>
  <si>
    <t>Įstaigų, teikiančių asmens sveikatos priežiūros namuose paslaugas skaičius</t>
  </si>
  <si>
    <t>04.21.02.02.01.</t>
  </si>
  <si>
    <t>04.21.02.03.</t>
  </si>
  <si>
    <t>Priemonė. Įgyvendinti projektą  „Sveikatos centro sveikatos priežiūros paslaugoms teikti reikiamos infrastruktūros modernizavimas“ (SAM)</t>
  </si>
  <si>
    <t>Įsteigtų sveikatos centrų skaičius</t>
  </si>
  <si>
    <t>04.21.02.03.01.</t>
  </si>
  <si>
    <t>04.21.02.04.</t>
  </si>
  <si>
    <t>Priemonė. Įgyvendinti projektą "Ilgalaikės priežiūros paslaugų plėtra" (R)</t>
  </si>
  <si>
    <t>Įsteigtų stacionarų skaičius</t>
  </si>
  <si>
    <t>Parengtų ir pateiktų projektinių pasiūlymų skaičius</t>
  </si>
  <si>
    <t>04.21.02.04.01.</t>
  </si>
  <si>
    <t>Veikla: Projektinio pasiūlymo parengimas ir pateikimas Marijampolės Regiono plėtros tarybai</t>
  </si>
  <si>
    <t>04.22.</t>
  </si>
  <si>
    <t>Tikslas. Didinti švietimo įtrauktį ir veiksmingumą, siekiant atitikties asmens ir visuomenės poreikiams</t>
  </si>
  <si>
    <t>Mokinių pasiekimų atotrūkis nuo esamų pasiekimų, procentais</t>
  </si>
  <si>
    <t>04.22.01.</t>
  </si>
  <si>
    <t>Uždavinys. Didinti švietimo įtrauktį ir prieinamumą, užtikrinti saugią aplinką kiekvienam asmeniui</t>
  </si>
  <si>
    <t>Švietimo pagalbą gaunančių mokinių dalis nuo visų, kuriems nustatytas pagalbos poreikis, procentais</t>
  </si>
  <si>
    <t>04.22.01.01.</t>
  </si>
  <si>
    <t>Priemonė. Įgyvendinti projektą „Visos dienos mokyklos įkūrimas Lukšių Vinco Grybo gimnazijoje“ (R)</t>
  </si>
  <si>
    <t>04.22.01.01.01.</t>
  </si>
  <si>
    <t>04.22.01.02.</t>
  </si>
  <si>
    <t>Priemonė. Įgyvendinti projektą „Visos dienos mokyklos įkūrimas Šakių Varpo mokykloje“ (R)</t>
  </si>
  <si>
    <t>04.22.01.02.01.</t>
  </si>
  <si>
    <t>04.22.01.03.</t>
  </si>
  <si>
    <t>Priemonė. Įgyvendinti projektą „Ikimokyklinio ugdymo prieinamumo didinimas Šakių rajono savivaldybėje "Maži žingsneliai"“ (R)</t>
  </si>
  <si>
    <t>04.22.01.03.01.</t>
  </si>
  <si>
    <t>Veikla: Nupirkti investicijų skaičiuoklę ir konsultacines paslaugas</t>
  </si>
  <si>
    <t>04.22.02.</t>
  </si>
  <si>
    <t>Uždavinys. Pagerinti ugdymosi rezultatus ir sumažinti jų atotrūkį.</t>
  </si>
  <si>
    <t>04.22.02.01.</t>
  </si>
  <si>
    <t>Priemonė. Įgyvendinti projektą "Tūkstantmečio mokyklų" programa" (R)</t>
  </si>
  <si>
    <t>Programą įgyvendinančių mokyklų skaičius</t>
  </si>
  <si>
    <t>04.22.02.01.01.</t>
  </si>
  <si>
    <t>Veikla: Remonto darbų pirkimas</t>
  </si>
  <si>
    <t>04.22.02.01.02.</t>
  </si>
  <si>
    <t>Veikla: Įrangos pirkimas Griškabūdžio, Kudirkos Naumiesčio, Lukšių, Žiburio gimnazijoms ir Varpo mokyklai</t>
  </si>
  <si>
    <t>04.23.</t>
  </si>
  <si>
    <t>Tikslas. Stiprinti tautinį ir pilietinį tapatumą, didinti kultūros skvarbą ir visuomenės kūrybingumą</t>
  </si>
  <si>
    <t>Gyventojų, kurie patys aktyviai dalyvauja kultūrinėse veiklose, dalis procentais</t>
  </si>
  <si>
    <t>04.23.01.</t>
  </si>
  <si>
    <t>Uždavinys. Atgaivinti visuomenei reikšmingą kultūros ir tautinį paveldą ir didinti jo naudojimą visuomenės poreikiams</t>
  </si>
  <si>
    <t>Įveiklintų kultūros paveldo objektų dalis, procentais</t>
  </si>
  <si>
    <t>04.23.01.01.</t>
  </si>
  <si>
    <t>Priemonė. Įgyvendinti projektą „Viešosios turizmo infrastruktūros sukūrimas Šakių rajono savivaldybėje, pritaikant Sūduvos istorinius piliakalnius lankymui“ (R)</t>
  </si>
  <si>
    <t>04.23.01.01.01.</t>
  </si>
  <si>
    <t>04.23.01.02.</t>
  </si>
  <si>
    <t>Priemonė. Įgyvendinti projektą „Dviračių takas Šakiai – Gelgaudiškis“ (R)</t>
  </si>
  <si>
    <t>04.23.01.02.01.</t>
  </si>
  <si>
    <t>04.23.01.03.</t>
  </si>
  <si>
    <t>Priemonė. Įgyvendinti projektą „Šakių miesto istorinis žiedas“ (R)</t>
  </si>
  <si>
    <t>04.23.01.03.01.</t>
  </si>
  <si>
    <t>04.23.01.04.</t>
  </si>
  <si>
    <t>Priemonė. Įgyvendinti projektą „Zyplių dvaro sodybos pritaikymas lankymui“ (R)</t>
  </si>
  <si>
    <t>04.23.01.04.01.</t>
  </si>
  <si>
    <t>04.24.</t>
  </si>
  <si>
    <t>Tikslas. Užtikrinti gerą aplinkos kokybę ir gamtos išteklių naudojimo darną, saugoti biologinę įvairovę, švelninti Lietuvos poveikį klimato kaitai ir didinti atsparumą jos poveikiui</t>
  </si>
  <si>
    <t>Išmetamo į aplinką teršalų kiekio pokyčio mažėjimas procentais</t>
  </si>
  <si>
    <t>04.24.01.</t>
  </si>
  <si>
    <t>Uždavinys. Gerinti vandens telkinių būklę bei didinti vandens tiekimo ir nuotekų tvarkymo paslaugų prieinamumą ir efektyvumą</t>
  </si>
  <si>
    <t>Gyventojų, aprūpinamų centralizuotai teikiamomis nuotekų tvarkymo paslaugomis, dalis, palyginti su visais gyventojais, procentais</t>
  </si>
  <si>
    <t>95,00</t>
  </si>
  <si>
    <t>04.24.01.01.</t>
  </si>
  <si>
    <t>Priemonė. Įgyvendinti projektą "Šakių rajono vandentvarkos sistemos plėtra" (R)</t>
  </si>
  <si>
    <t>04.24.01.01.01.</t>
  </si>
  <si>
    <t>04.24.01.01.02.</t>
  </si>
  <si>
    <t>04.24.02.</t>
  </si>
  <si>
    <t>Uždavinys. Stiprinti regionų ekonominį augimą, atsižvelgiant į jų potencialą</t>
  </si>
  <si>
    <t>Gyventojų užimtumo lygis (15–64 metų) procentais</t>
  </si>
  <si>
    <t>35,00</t>
  </si>
  <si>
    <t>04.24.02.01.</t>
  </si>
  <si>
    <t>Priemonė. Įgyvendinti projektą „Viešosios turizmo infrastruktūros sukūrimas Šakių rajono savivaldybėje, pritaikant Nemuno pakrantę lankymui" (R)</t>
  </si>
  <si>
    <t>04.24.02.01.01.</t>
  </si>
  <si>
    <t>06.</t>
  </si>
  <si>
    <t>Kultūros ir turizmo plėtros programa</t>
  </si>
  <si>
    <t>06.01.</t>
  </si>
  <si>
    <t>Tikslas: Sąlygų sudarymas visiems gyventojams dalyvauti etninės kultūros sklaidos procese</t>
  </si>
  <si>
    <t>Eglė Plančiūnienė</t>
  </si>
  <si>
    <t>Etnokultūros veiklos proc. bendrame kultūrinės veiklos kontekste</t>
  </si>
  <si>
    <t>25,00</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</si>
  <si>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</si>
  <si>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</si>
  <si>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</si>
  <si>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</si>
  <si>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</si>
  <si>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</si>
  <si>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</si>
  <si>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</si>
  <si>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</si>
  <si>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</si>
  <si>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</si>
  <si>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</si>
  <si>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</si>
  <si>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liaudies instrumentų skaičius</t>
  </si>
  <si>
    <t>06.01.02.01.02.</t>
  </si>
  <si>
    <t>Veikla: Įsigyti liaudies instrumentų</t>
  </si>
  <si>
    <t>06.02.</t>
  </si>
  <si>
    <t>Tikslas:  Kultūros paveldo saugojimas, aktualizavimas ir pritaikymas viešiesiems poreikiams</t>
  </si>
  <si>
    <t>Inga Navlickienė</t>
  </si>
  <si>
    <t>Restauruotų ir pritaikytų kultūros paveldo objektų dalis nuo visų kultūros paveldo objektų (per 370 objektų) procentais</t>
  </si>
  <si>
    <t>4,80</t>
  </si>
  <si>
    <t>06.02.01.</t>
  </si>
  <si>
    <t>Uždavinys: Atgaivinti visuomenei reikšmingą kultūros ir tautinį paveldą ir didinti jo naudojimą visuomenės poreikiams</t>
  </si>
  <si>
    <t>Įveiklintų kultūros paveldo objektų dalis proc.</t>
  </si>
  <si>
    <t>06.02.01.05.</t>
  </si>
  <si>
    <t>Priemonė. Zyplių dvaro sodybos svirno stogo ir fasado restauravimas</t>
  </si>
  <si>
    <t>Restauruotų pastatų skaičius</t>
  </si>
  <si>
    <t>Parengtų projektinių dokumentacijų skaičius</t>
  </si>
  <si>
    <t>06.02.01.05.02</t>
  </si>
  <si>
    <t>Veikla: Atlikti restauravimo darbus</t>
  </si>
  <si>
    <t>06.02.01.05.03.</t>
  </si>
  <si>
    <t>Veikla: Parengti projektinius dokumentus Zyplių dvaro sodybos svirno pritaikymui kultūrinei veiklai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</si>
  <si>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</si>
  <si>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</si>
  <si>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</si>
  <si>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</si>
  <si>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</si>
  <si>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</si>
  <si>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</si>
  <si>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</si>
  <si>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</si>
  <si>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</si>
  <si>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</si>
  <si>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</si>
  <si>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</si>
  <si>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</si>
  <si>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</si>
  <si>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</si>
  <si>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</si>
  <si>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</si>
  <si>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</si>
  <si>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06.03.</t>
  </si>
  <si>
    <t>Tikslas: Palankių sąlygų sudarymas kultūros ir turizmo paslaugų plėtrai ir paslaugų kokybės gerinimui</t>
  </si>
  <si>
    <t>Asta  Kėvelaitytė</t>
  </si>
  <si>
    <t>Vartotojų skaičiaus augimas nuo 2017 m. procentais</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</si>
  <si>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</si>
  <si>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</si>
  <si>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</si>
  <si>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</si>
  <si>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</si>
  <si>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</si>
  <si>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</si>
  <si>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</si>
  <si>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06.03.01.01.02.</t>
  </si>
  <si>
    <t>Veikla: Koordinuoti ir organizuoti rajono mėgėjų meno kolektyvų dalyvavimą 100-mečio dainų šventėje "Kad giria žaliuotų"</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</si>
  <si>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</si>
  <si>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</si>
  <si>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</si>
  <si>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</si>
  <si>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</si>
  <si>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</si>
  <si>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</si>
  <si>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</si>
  <si>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</si>
  <si>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</si>
  <si>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</si>
  <si>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</si>
  <si>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skaičius</t>
  </si>
  <si>
    <t>06.03.02.01.</t>
  </si>
  <si>
    <t>Priemonė: Dalinai paremti leidiniai</t>
  </si>
  <si>
    <t>Dalinai paremtų leidinių skaičius</t>
  </si>
  <si>
    <t>06.03.02.01.01</t>
  </si>
  <si>
    <t>Veikla: Dalinai finansuoti leidiniai</t>
  </si>
  <si>
    <t>07</t>
  </si>
  <si>
    <t>Valdymo programa</t>
  </si>
  <si>
    <t>Apskaitos skyrius</t>
  </si>
  <si>
    <t>Vitalija Tumienė</t>
  </si>
  <si>
    <t>07.01.</t>
  </si>
  <si>
    <t>Tikslas: Efektyvaus viešojo valdymo sistemos sukūrimas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</si>
  <si>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</si>
  <si>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</si>
  <si>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</si>
  <si>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</si>
  <si>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</si>
  <si>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</si>
  <si>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</si>
  <si>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Posėdžių skaičius</t>
  </si>
  <si>
    <t>144,00</t>
  </si>
  <si>
    <t>07.01.01.01.01</t>
  </si>
  <si>
    <t>Veikla: Savivaldybės tarybos narių kokybiško darbo užtikrinimas (Darbo užmokestis, išmokos, kvalifikacijos kėlimas, komandiruotės)</t>
  </si>
  <si>
    <t>07.01.01.01</t>
  </si>
  <si>
    <t>Priemonė: užtikrinti savivaldybės vykdomosios institucijos darbo funkcionalumą</t>
  </si>
  <si>
    <t>Seminarų/mokymų skaičius</t>
  </si>
  <si>
    <t>07.01.01.01.02.</t>
  </si>
  <si>
    <t>Veikla: Savivaldybės vykdomosios institucijos darbuotojų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</si>
  <si>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</si>
  <si>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</si>
  <si>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</si>
  <si>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</si>
  <si>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</si>
  <si>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</si>
  <si>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</si>
  <si>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</si>
  <si>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</si>
  <si>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</si>
  <si>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</si>
  <si>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</si>
  <si>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</si>
  <si>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</si>
  <si>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</si>
  <si>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Įvykdytų įsipareigojimų pagal sudarytas sutartis, procentais</t>
  </si>
  <si>
    <t>07.01.01.03.01.</t>
  </si>
  <si>
    <t>Veikla: Surinkti pagal pasirašytas sutartis nario mokestį</t>
  </si>
  <si>
    <t>07.01.01.04.</t>
  </si>
  <si>
    <t>Priemonė: Užtikrinti savivaldybės administracijos darbo funkcionalumą. Seniūnijų ryšių išlaidos.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</si>
  <si>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</si>
  <si>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</si>
  <si>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</si>
  <si>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</si>
  <si>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</si>
  <si>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</si>
  <si>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</si>
  <si>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</si>
  <si>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Suteiktų teisinių konsultacijų skaičius</t>
  </si>
  <si>
    <t>07.01.01.04.03</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</si>
  <si>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</si>
  <si>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</si>
  <si>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</si>
  <si>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</si>
  <si>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</si>
  <si>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</si>
  <si>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</si>
  <si>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</si>
  <si>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</si>
  <si>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</si>
  <si>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</si>
  <si>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</si>
  <si>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</si>
  <si>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</si>
  <si>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</si>
  <si>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</si>
  <si>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</si>
  <si>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</si>
  <si>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</si>
  <si>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</si>
  <si>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</si>
  <si>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</si>
  <si>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</si>
  <si>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</si>
  <si>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</si>
  <si>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</si>
  <si>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</si>
  <si>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</si>
  <si>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</si>
  <si>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</si>
  <si>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</si>
  <si>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</si>
  <si>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</si>
  <si>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</si>
  <si>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</si>
  <si>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</si>
  <si>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</si>
  <si>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</si>
  <si>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</si>
  <si>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</si>
  <si>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</si>
  <si>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</si>
  <si>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</si>
  <si>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</si>
  <si>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</si>
  <si>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</si>
  <si>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</si>
  <si>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</si>
  <si>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</si>
  <si>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</si>
  <si>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</si>
  <si>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</si>
  <si>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</si>
  <si>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</si>
  <si>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</si>
  <si>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</si>
  <si>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</si>
  <si>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</si>
  <si>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</si>
  <si>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</si>
  <si>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</si>
  <si>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</si>
  <si>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</si>
  <si>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</si>
  <si>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</si>
  <si>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</si>
  <si>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</si>
  <si>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</si>
  <si>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</si>
  <si>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</si>
  <si>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Sudargo seniūnija</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</si>
  <si>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</si>
  <si>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</si>
  <si>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</si>
  <si>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</si>
  <si>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</si>
  <si>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</si>
  <si>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</si>
  <si>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</si>
  <si>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</si>
  <si>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</si>
  <si>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</si>
  <si>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</si>
  <si>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</si>
  <si>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</si>
  <si>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</si>
  <si>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</si>
  <si>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</si>
  <si>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</si>
  <si>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</si>
  <si>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</si>
  <si>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</si>
  <si>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</si>
  <si>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</si>
  <si>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</si>
  <si>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</si>
  <si>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Bendrųjų reikalų skyrius</t>
  </si>
  <si>
    <t>Rita Vaičiūnienė</t>
  </si>
  <si>
    <t>Reprezentacinių renginių skaičius</t>
  </si>
  <si>
    <t>150,00</t>
  </si>
  <si>
    <t>07.01.03.01.</t>
  </si>
  <si>
    <t>Priemonė: Organizuoti reprezentacijas ir dalyvauti švenčių ir renginių organizavime</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</si>
  <si>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</si>
  <si>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</si>
  <si>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</si>
  <si>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</si>
  <si>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</si>
  <si>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</si>
  <si>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</si>
  <si>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</si>
  <si>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</si>
  <si>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</si>
  <si>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</si>
  <si>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Vaida Skaizgirienė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</si>
  <si>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</si>
  <si>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</si>
  <si>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</si>
  <si>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</si>
  <si>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</si>
  <si>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</si>
  <si>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</si>
  <si>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</si>
  <si>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</si>
  <si>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</si>
  <si>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</si>
  <si>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</si>
  <si>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</si>
  <si>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</si>
  <si>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</si>
  <si>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</si>
  <si>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</si>
  <si>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</si>
  <si>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</si>
  <si>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</si>
  <si>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</si>
  <si>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</si>
  <si>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</si>
  <si>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</si>
  <si>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</si>
  <si>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</si>
  <si>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</si>
  <si>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07.01.05.02.01.</t>
  </si>
  <si>
    <t>Veikla: Pateikti užsakymus atlikti pastatų ir statinių kadastrinius matavimus</t>
  </si>
  <si>
    <t>07.01.05.03.</t>
  </si>
  <si>
    <t>Priemonė. Organizuoti savivaldybės turto teisinę registraciją</t>
  </si>
  <si>
    <t>07.01.05.03.01.</t>
  </si>
  <si>
    <t>Veikla: Pateikti užsakymus užregistruoti NT objektus ir juridinius faktus</t>
  </si>
  <si>
    <t>07.01.05.04.</t>
  </si>
  <si>
    <t>Priemonė. Administruoti valstybinės žemės sklypų realizavimo pajamas</t>
  </si>
  <si>
    <t>Biudžeto, turto ir strateginio planavimo skyrius; Architektūros ir urbanistikos skyrius</t>
  </si>
  <si>
    <t>Irmunda Čepulionienė; Loreta Macijauskienė</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</si>
  <si>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</si>
  <si>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</si>
  <si>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</si>
  <si>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</si>
  <si>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</si>
  <si>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</si>
  <si>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</si>
  <si>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</si>
  <si>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</si>
  <si>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</si>
  <si>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</si>
  <si>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</si>
  <si>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</si>
  <si>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</si>
  <si>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</si>
  <si>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</si>
  <si>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</si>
  <si>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</si>
  <si>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</si>
  <si>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</si>
  <si>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</si>
  <si>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07.01.07.03.</t>
  </si>
  <si>
    <t>Priemonė: Mažinant administracinę naštą, teikti ataskaitas elektroniniu būdu švietimo, kultūros, sporto srityje</t>
  </si>
  <si>
    <t>Švietimo, kultūros ir sporto skyrius; Bendrųjų reikalų skyrius</t>
  </si>
  <si>
    <t>Mažinant administracinę naštą, pateiktų  elektroniniu būdu švietimo, kultūros, sporto srityje ataskaitų skaičius</t>
  </si>
  <si>
    <t>07.01.07.03.01.</t>
  </si>
  <si>
    <t>Veikla: Suformuotų ataskaitų skaičius, mažinant administracinę naštą, pateikiamų elektroniniu būdu švietimo, kultūros ir sporto srityje</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</si>
  <si>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</si>
  <si>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</si>
  <si>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</si>
  <si>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</si>
  <si>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</si>
  <si>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</si>
  <si>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</si>
  <si>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Švietimo, kultūros ir sporto skyrius; Ūkio ir investicijų skyrius; Žemės ūkio ir kaimo reikalų skyrius; Bendrųjų reikalų skyrius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</si>
  <si>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</si>
  <si>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</si>
  <si>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</si>
  <si>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</si>
  <si>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</si>
  <si>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</si>
  <si>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</si>
  <si>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</si>
  <si>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</si>
  <si>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</si>
  <si>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45,00</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</si>
  <si>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</si>
  <si>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</si>
  <si>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</si>
  <si>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0,18</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</si>
  <si>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</si>
  <si>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</si>
  <si>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</si>
  <si>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</si>
  <si>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</si>
  <si>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</si>
  <si>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</si>
  <si>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</si>
  <si>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</si>
  <si>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</si>
  <si>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</si>
  <si>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</si>
  <si>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Martynas Remeikis; Rasita Staugaitienė</t>
  </si>
  <si>
    <t>12.01</t>
  </si>
  <si>
    <t>Tikslas.  Darnaus išteklių naudojimo skatinimas.</t>
  </si>
  <si>
    <t>Renovuotų daugiabučių namų dalis, procentais</t>
  </si>
  <si>
    <t>12.01.01</t>
  </si>
  <si>
    <t>Uždavinys. Vykdyti visuomenės aplinkosauginį švietimą bei aplinkos stebėseną</t>
  </si>
  <si>
    <t>Įgyvendintų aplinkosauginių priemonių skaičius</t>
  </si>
  <si>
    <t>12.01.01.01.</t>
  </si>
  <si>
    <t>Priemonė. Medžiojamųjų gyvūnų daromos žalos miškui prevencijos priemonių kompensavimas</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</si>
  <si>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</si>
  <si>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</si>
  <si>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</si>
  <si>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</si>
  <si>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</si>
  <si>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</si>
  <si>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</si>
  <si>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</si>
  <si>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</si>
  <si>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</si>
  <si>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</si>
  <si>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</si>
  <si>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</si>
  <si>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</si>
  <si>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</si>
  <si>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</si>
  <si>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</si>
  <si>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</si>
  <si>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</si>
  <si>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</si>
  <si>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</si>
  <si>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</si>
  <si>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</si>
  <si>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</si>
  <si>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</si>
  <si>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</si>
  <si>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</si>
  <si>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</si>
  <si>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</si>
  <si>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</si>
  <si>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</si>
  <si>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</si>
  <si>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</si>
  <si>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</si>
  <si>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</si>
  <si>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</si>
  <si>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</si>
  <si>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</si>
  <si>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</si>
  <si>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</si>
  <si>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</si>
  <si>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</si>
  <si>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</si>
  <si>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</si>
  <si>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</si>
  <si>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</si>
  <si>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</si>
  <si>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</si>
  <si>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</si>
  <si>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</si>
  <si>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</si>
  <si>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</si>
  <si>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</si>
  <si>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</si>
  <si>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</si>
  <si>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</si>
  <si>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</si>
  <si>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</si>
  <si>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</si>
  <si>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</si>
  <si>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</si>
  <si>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</si>
  <si>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</si>
  <si>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</si>
  <si>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</si>
  <si>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</si>
  <si>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</si>
  <si>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</si>
  <si>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</si>
  <si>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</si>
  <si>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</si>
  <si>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</si>
  <si>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</si>
  <si>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</si>
  <si>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</si>
  <si>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</si>
  <si>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</si>
  <si>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</si>
  <si>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</si>
  <si>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</si>
  <si>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</si>
  <si>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</si>
  <si>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</si>
  <si>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</si>
  <si>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</si>
  <si>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</si>
  <si>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</si>
  <si>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</si>
  <si>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</si>
  <si>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</si>
  <si>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</si>
  <si>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</si>
  <si>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</si>
  <si>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</si>
  <si>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22,00</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</si>
  <si>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</si>
  <si>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</si>
  <si>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</si>
  <si>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</si>
  <si>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</si>
  <si>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</si>
  <si>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</si>
  <si>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</si>
  <si>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</si>
  <si>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</si>
  <si>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</si>
  <si>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</si>
  <si>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</si>
  <si>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</si>
  <si>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</si>
  <si>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</si>
  <si>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</si>
  <si>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</si>
  <si>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60,00</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</si>
  <si>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</si>
  <si>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</si>
  <si>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</si>
  <si>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</si>
  <si>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</si>
  <si>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</si>
  <si>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</si>
  <si>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</si>
  <si>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</si>
  <si>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</si>
  <si>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</si>
  <si>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</si>
  <si>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</si>
  <si>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</si>
  <si>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</si>
  <si>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</si>
  <si>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</si>
  <si>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</si>
  <si>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</si>
  <si>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</si>
  <si>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</si>
  <si>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</si>
  <si>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</si>
  <si>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</si>
  <si>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</si>
  <si>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</si>
  <si>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</si>
  <si>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</si>
  <si>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43,00</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</si>
  <si>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</si>
  <si>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</si>
  <si>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</si>
  <si>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</si>
  <si>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</si>
  <si>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</si>
  <si>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</si>
  <si>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</si>
  <si>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</si>
  <si>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</si>
  <si>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</si>
  <si>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</si>
  <si>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</si>
  <si>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Martynas Remeikis; Rasita Staugaitienė; Valdas Dumčius</t>
  </si>
  <si>
    <t>Tvarkomų miškų kiekis</t>
  </si>
  <si>
    <t>12.01.02.18.01.</t>
  </si>
  <si>
    <t>Veikla: vykdyti Gelgaudiškio miško atsodinimo ir tolimesnius (kleimavimo) darbus</t>
  </si>
  <si>
    <t>12.01.03.</t>
  </si>
  <si>
    <t>Uždavinys. Plėtoti ir tobulinti komunalinių atliekų surinkimo, tvarkymo ir pirminio rūšiavimo infrastruktūrą</t>
  </si>
  <si>
    <t>Sąvartynuose šalinamų komunalinių atliekų dalis procentais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</si>
  <si>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</si>
  <si>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</si>
  <si>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</si>
  <si>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</si>
  <si>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</si>
  <si>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</si>
  <si>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</si>
  <si>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</si>
  <si>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</si>
  <si>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</si>
  <si>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</si>
  <si>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</si>
  <si>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</si>
  <si>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</si>
  <si>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</si>
  <si>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</si>
  <si>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</si>
  <si>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</si>
  <si>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Renovuotų šilumos gamybos ir tiekimo sistemų skaičius</t>
  </si>
  <si>
    <t>12.01.05.03.</t>
  </si>
  <si>
    <t>Priemonė: Renovuoti šilumos gamybos ir tiekimo sistemas</t>
  </si>
  <si>
    <t>Nupirktų ir pakeistų Kriūkų DC šildymo katilų skaičius</t>
  </si>
  <si>
    <t>12.01.05.03.01</t>
  </si>
  <si>
    <t>Veikla: nupirkti ir pakeisti Kriūkų DC šildymo katilą</t>
  </si>
  <si>
    <t>12.01.06.</t>
  </si>
  <si>
    <t>Uždavinys. Modernizuoti ir renovuoti viešuosius pastatus</t>
  </si>
  <si>
    <t>Renovuotų visuomeninių pastatų skaičius</t>
  </si>
  <si>
    <t>12.01.06.04.</t>
  </si>
  <si>
    <t>Priemonė. Visuomeninių pastatų modernizavimas</t>
  </si>
  <si>
    <t>Modernizuotų pastatų skaičius</t>
  </si>
  <si>
    <t>12.01.06.04.01.</t>
  </si>
  <si>
    <t>Veikla: Modernizuoti Šakių miesto lopšelio-darželio pastatus</t>
  </si>
  <si>
    <t>12.01.07.</t>
  </si>
  <si>
    <t>Uždavinys. Vykdyti daugiabučių gyvenamųjų namų administravimą bei daugiabučių gyvenamųjų namų valdytojų priežiūrą ir kontrolę</t>
  </si>
  <si>
    <t>Administruojamų namų skaičius</t>
  </si>
  <si>
    <t>105,00</t>
  </si>
  <si>
    <t>Daugiabučių namų skaičius</t>
  </si>
  <si>
    <t>338,00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</si>
  <si>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</si>
  <si>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</si>
  <si>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</si>
  <si>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</si>
  <si>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</si>
  <si>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12.02.</t>
  </si>
  <si>
    <t>Tikslas. Inžinerinės infrastruktūros modernizavimas</t>
  </si>
  <si>
    <t>Verslo įmonių, kurioms pagerinta viešoji infrastruktūra dalis, (nuo visų įmonių), procentais</t>
  </si>
  <si>
    <t>Centralizuotai tiekiamo geriamojo vandens prieinamumas</t>
  </si>
  <si>
    <t>80,00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</si>
  <si>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</si>
  <si>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</si>
  <si>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</si>
  <si>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</si>
  <si>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</si>
  <si>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</si>
  <si>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</si>
  <si>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artezinius gręžinius su vandens gerinimo įranga</t>
  </si>
  <si>
    <t>12.02.01.02.</t>
  </si>
  <si>
    <t>Pastatytų vandens  gerinimo įrenginių skaičius</t>
  </si>
  <si>
    <t>Veikla: Pastatyti vandens gerinimo įrenginius (Paluobių, Patašinės, Plynių, Lepšių, Tarpučių, Janukiškių, Turčinų, Braškių, Papartynų kaimuos)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</si>
  <si>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</si>
  <si>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</si>
  <si>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</si>
  <si>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</si>
  <si>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</si>
  <si>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</si>
  <si>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</si>
  <si>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 kilometrais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</si>
  <si>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</si>
  <si>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</si>
  <si>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</si>
  <si>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</si>
  <si>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</si>
  <si>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</si>
  <si>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</si>
  <si>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</si>
  <si>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</si>
  <si>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</si>
  <si>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</si>
  <si>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</si>
  <si>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</si>
  <si>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</si>
  <si>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</si>
  <si>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Vietinės reikšmės kelių su asfalto danga dalis, procentais</t>
  </si>
  <si>
    <t>12.03.01</t>
  </si>
  <si>
    <t>Uždavinys. Modernizuoti ir plėtoti savivaldybės vietinės reikšmės kelius, gatves ir kitas susisiekimo komunikacijas</t>
  </si>
  <si>
    <t>Modernizuotų ir įrengtų vietinės reikšmės kelių ir gatvių ilgis kilometrais</t>
  </si>
  <si>
    <t>12.03.01.01.</t>
  </si>
  <si>
    <t>Priemonė: Kelių, gatvių, automobilių stovėjimo aikštelių, pėsčiųjų takų ir kitų infrastruktūros elementų remonto ir statybos darbai</t>
  </si>
  <si>
    <t>Rekonstruotų, naujai įrengtų gatvių ir kelių ilgis</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</si>
  <si>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</si>
  <si>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</si>
  <si>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</si>
  <si>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</si>
  <si>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</si>
  <si>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</si>
  <si>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64,73</t>
  </si>
  <si>
    <t>12.03.01.02.01</t>
  </si>
  <si>
    <t>Veikla: Prižiūrėti vietinės reikšmės kelius seniūnijoje.</t>
  </si>
  <si>
    <t>12.03.01.03</t>
  </si>
  <si>
    <t>Priemonė. Vietinės reikšmės kelių priežiūra, žiemos tarnyba Gelgaudiškio seniūnijoje</t>
  </si>
  <si>
    <t>63,21</t>
  </si>
  <si>
    <t>12.03.01.03.01</t>
  </si>
  <si>
    <t>12.03.01.04</t>
  </si>
  <si>
    <t>Priemonė. Vietinės reikšmės kelių priežiūra, žiemos tarnyba Griškabūdžio  seniūnijoje</t>
  </si>
  <si>
    <t>100,55</t>
  </si>
  <si>
    <t>12.03.01.04.01</t>
  </si>
  <si>
    <t>12.03.01.05</t>
  </si>
  <si>
    <t>Priemonė. Vietinės reikšmės kelių priežiūra, žiemos tarnyba Kidulių seniūnijoje</t>
  </si>
  <si>
    <t>94,69</t>
  </si>
  <si>
    <t>12.03.01.05.01.</t>
  </si>
  <si>
    <t>12.03.01.06</t>
  </si>
  <si>
    <t>Priemonė. Vietinės reikšmės kelių priežiūra, žiemos tarnyba Kriūkų seniūnijoje</t>
  </si>
  <si>
    <t>90,55</t>
  </si>
  <si>
    <t>12.03.01.06.01.</t>
  </si>
  <si>
    <t>12.03.01.07</t>
  </si>
  <si>
    <t>Priemonė. Vietinės reikšmės kelių priežiūra, žiemos tarnyba Kudirkos Naumiesčio seniūnijoje</t>
  </si>
  <si>
    <t>64,98</t>
  </si>
  <si>
    <t>12.03.01.07.01.</t>
  </si>
  <si>
    <t>12.03.01.08</t>
  </si>
  <si>
    <t>Priemonė. Vietinės reikšmės kelių priežiūra, žiemos tarnyba Lekėčių seniūnijoje</t>
  </si>
  <si>
    <t>47,95</t>
  </si>
  <si>
    <t>12.03.01.08.01.</t>
  </si>
  <si>
    <t>12.03.01.09</t>
  </si>
  <si>
    <t>Priemonė. Vietinės reikšmės kelių priežiūra, žiemos tarnyba Lukšių seniūnijoje</t>
  </si>
  <si>
    <t>109,15</t>
  </si>
  <si>
    <t>12.03.01.09.01.</t>
  </si>
  <si>
    <t>12.03.01.10</t>
  </si>
  <si>
    <t>Priemonė. Vietinės reikšmės kelių priežiūra, žiemos tarnyba Plokščių seniūnijoje</t>
  </si>
  <si>
    <t>78,86</t>
  </si>
  <si>
    <t>12.03.01.10.01.</t>
  </si>
  <si>
    <t>12.03.01.11</t>
  </si>
  <si>
    <t>Priemonė. Vietinės reikšmės kelių priežiūra, žiemos tarnyba Sintautų seniūnijoje</t>
  </si>
  <si>
    <t>69,19</t>
  </si>
  <si>
    <t>12.03.01.11.01.</t>
  </si>
  <si>
    <t>12.03.01.12</t>
  </si>
  <si>
    <t>Priemonė. Vietinės reikšmės kelių priežiūra, žiemos tarnyba Slavikų seniūnijoje</t>
  </si>
  <si>
    <t>36,28</t>
  </si>
  <si>
    <t>12.03.01.12.01.</t>
  </si>
  <si>
    <t>12.03.01.13</t>
  </si>
  <si>
    <t>Priemonė. Vietinės reikšmės kelių priežiūra, žiemos tarnyba Sudargo seniūnijoje</t>
  </si>
  <si>
    <t>52,11</t>
  </si>
  <si>
    <t>12.03.01.13.01.</t>
  </si>
  <si>
    <t>12.03.01.14</t>
  </si>
  <si>
    <t>Priemonė. Vietinės reikšmės kelių priežiūra, žiemos tarnyba Šakių seniūnijoje</t>
  </si>
  <si>
    <t>154,45</t>
  </si>
  <si>
    <t>12.03.01.14.01.</t>
  </si>
  <si>
    <t>12.03.01.15</t>
  </si>
  <si>
    <t>Priemonė. Vietinės reikšmės kelių priežiūra, žiemos tarnyba Žvirgždaičių seniūnijoje</t>
  </si>
  <si>
    <t>38,14</t>
  </si>
  <si>
    <t>12.03.01.15.01.</t>
  </si>
  <si>
    <t>12.03.01.16.</t>
  </si>
  <si>
    <t>Priemonė: Susisiekimo komunikacijų statybos, rekonstravimo ir remonto darbai, dalyvaujant juridiniams asmenims ir ūkininkams</t>
  </si>
  <si>
    <t>Įgyvendintų projektų skaičius</t>
  </si>
  <si>
    <t>12.03.01.16.01.</t>
  </si>
  <si>
    <t>Veikla: atlikti kelių remonto darbus</t>
  </si>
  <si>
    <t>12.03.02.</t>
  </si>
  <si>
    <t>Uždavinys. Modernizuoti esamus, įrengti naujus pėsčiųjų ir dviračių takus</t>
  </si>
  <si>
    <t>Modernizuotų ir įrengtų takų ilgis kilometrais</t>
  </si>
  <si>
    <t>12.03.02.01</t>
  </si>
  <si>
    <t>Priemonė: Pėsčiųjų ir dviračių takų rekonstravimo ir įrengimo darbai Šakių m.</t>
  </si>
  <si>
    <t>Modernizuotų pėsčiųjų ir dviračių takų ilgis, kilometrais</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</si>
  <si>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</si>
  <si>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</si>
  <si>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</si>
  <si>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</si>
  <si>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 kilometrais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</si>
  <si>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</si>
  <si>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</si>
  <si>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</si>
  <si>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</si>
  <si>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</si>
  <si>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</si>
  <si>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</si>
  <si>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Įrengtų automobilių stovėjimo aikštelių skaičius</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</si>
  <si>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</si>
  <si>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</si>
  <si>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</si>
  <si>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</si>
  <si>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</si>
  <si>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</si>
  <si>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</si>
  <si>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</si>
  <si>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</si>
  <si>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</si>
  <si>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</si>
  <si>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</si>
  <si>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Įdiegtų eismo saugumo priemonių skaičius</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</si>
  <si>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</si>
  <si>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</si>
  <si>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</si>
  <si>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</si>
  <si>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</si>
  <si>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</si>
  <si>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</si>
  <si>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12.03.05.02.01.</t>
  </si>
  <si>
    <t>12.05.</t>
  </si>
  <si>
    <t>12.05.01.</t>
  </si>
  <si>
    <t>Uždavinys. Atlikti melioracijos statinių remonto rekonstrukcijos ir priežiūros darbus</t>
  </si>
  <si>
    <t>Irena  Žemaitienė</t>
  </si>
  <si>
    <t>Pagerintos žemės plotas hektarais</t>
  </si>
  <si>
    <t>2 400,00</t>
  </si>
  <si>
    <t>12.05.01.01</t>
  </si>
  <si>
    <t>Priemonė: Melioracijos statinių remonto priežiūros darbai</t>
  </si>
  <si>
    <t>Suremontuotų griovių ilgis kilometrais</t>
  </si>
  <si>
    <t>12.05.01.01.06.</t>
  </si>
  <si>
    <t>Veikla: Atlikti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</si>
  <si>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</si>
  <si>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</si>
  <si>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</si>
  <si>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</si>
  <si>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12.05.01.02.06.</t>
  </si>
  <si>
    <t>Veikla: Atlikti Šakių rajone esančių Barzdų, Voverių, Plynių ir Veršių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</si>
  <si>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</si>
  <si>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</si>
  <si>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</si>
  <si>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 procentais</t>
  </si>
  <si>
    <t>23,00</t>
  </si>
  <si>
    <t>12.06.02.</t>
  </si>
  <si>
    <t>Uždavinys: Teikti paslaugas, konsultuoti žemės ūkio subjektus ES ir nacionalinės paramos investicijų bei kitais žemės ūkio veiklos klausimais</t>
  </si>
  <si>
    <t>Suteiktų paslaugų  skaičius</t>
  </si>
  <si>
    <t>4 900,00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</si>
  <si>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</si>
  <si>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</si>
  <si>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</si>
  <si>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</si>
  <si>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</si>
  <si>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</si>
  <si>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13.</t>
  </si>
  <si>
    <t>Socialinės ir sveikatos apsaugos programa</t>
  </si>
  <si>
    <t>Socialinės paramos skyrius</t>
  </si>
  <si>
    <t>13.01.</t>
  </si>
  <si>
    <t>Tikslas: Socialinių paslaugų prieinamumo  ir pasirinkimo užtikrinimas.</t>
  </si>
  <si>
    <t>Daiva  Pilypaitytė</t>
  </si>
  <si>
    <t>Patenkintų prašymų dalis, procentais</t>
  </si>
  <si>
    <t>13.01.01.</t>
  </si>
  <si>
    <t>Uždavinys.Teikti socialinės globos paslaugas</t>
  </si>
  <si>
    <t>Asmenų, gavusių socialinės globos  paslaugas skaičius</t>
  </si>
  <si>
    <t>468,00</t>
  </si>
  <si>
    <t>13.01.01.02.</t>
  </si>
  <si>
    <t>Priemonė:Teikti dienos socialinės globos  paslaugas institucijoje. D. C.</t>
  </si>
  <si>
    <t>Edita Macevičiūtė-Orentienė</t>
  </si>
  <si>
    <t>Asmenų, gavusių darbinio užimtumo iš VšĮ Šakių Diakonijos dienos užimtumo centro, skaičius</t>
  </si>
  <si>
    <t>Asmenų, gavusių darbinio užimtumo paslaugas  iš  Gelgaudiškio "Šaltinio ugdymo centro" dienos centro, skaičius</t>
  </si>
  <si>
    <t>13.01.01.02.01</t>
  </si>
  <si>
    <t>Veikla: Teikti socialinės globos paslaugas. Paslaugų teikėjas-Šakių socialinių paslaugų centras (neįgaliųjų dienos centras)</t>
  </si>
  <si>
    <t>13.01.01.02.02</t>
  </si>
  <si>
    <t>Veikla: Teikti socialinės globos paslaugas. Paslaugų teikėjas - VšĮ Šakių diakonija (užimtumo centras)</t>
  </si>
  <si>
    <t>13.01.01.02.03</t>
  </si>
  <si>
    <t>Veikla: Teikti socialinės globos paslaugas. Paslaugų teikėjas - Gelgaudiškio "Šaltinio ugdymo centras" (socialinių paslaugų skyrius)</t>
  </si>
  <si>
    <t>13.01.01.04.</t>
  </si>
  <si>
    <t>Priemonė.Teikti trumpalaikės globos paslaugas vaikams, likusiems be tėvų globos.</t>
  </si>
  <si>
    <t>Milda Savukaitienė</t>
  </si>
  <si>
    <t>Vaikų, likusių be tėvų globos, gavusių trumpalaikės globos paslaugas, skaičius</t>
  </si>
  <si>
    <t>70,00</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</si>
  <si>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</si>
  <si>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</si>
  <si>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</si>
  <si>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</si>
  <si>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</si>
  <si>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</si>
  <si>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</si>
  <si>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diakonija</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</si>
  <si>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</si>
  <si>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</si>
  <si>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</si>
  <si>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</si>
  <si>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</si>
  <si>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</si>
  <si>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</si>
  <si>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</si>
  <si>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</si>
  <si>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</si>
  <si>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</si>
  <si>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</si>
  <si>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110,00</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</si>
  <si>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</si>
  <si>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</si>
  <si>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</si>
  <si>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</si>
  <si>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</si>
  <si>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</si>
  <si>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</si>
  <si>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</si>
  <si>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</si>
  <si>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</si>
  <si>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1 067,00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</si>
  <si>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</si>
  <si>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</si>
  <si>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</si>
  <si>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</si>
  <si>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</si>
  <si>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</si>
  <si>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</si>
  <si>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</si>
  <si>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266,00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</si>
  <si>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</si>
  <si>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</si>
  <si>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</si>
  <si>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</si>
  <si>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</si>
  <si>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</si>
  <si>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301,00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</si>
  <si>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</si>
  <si>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</si>
  <si>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</si>
  <si>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</si>
  <si>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</si>
  <si>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</si>
  <si>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</si>
  <si>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</si>
  <si>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</si>
  <si>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</si>
  <si>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</si>
  <si>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</si>
  <si>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</si>
  <si>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</si>
  <si>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</si>
  <si>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</si>
  <si>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</si>
  <si>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</si>
  <si>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</si>
  <si>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</si>
  <si>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</si>
  <si>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6,00</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</si>
  <si>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</si>
  <si>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</si>
  <si>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</si>
  <si>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</si>
  <si>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</si>
  <si>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</si>
  <si>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</si>
  <si>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</si>
  <si>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</si>
  <si>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</si>
  <si>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</si>
  <si>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</si>
  <si>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</si>
  <si>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</si>
  <si>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</si>
  <si>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</si>
  <si>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Teikti asmeninę pagalbą. Paslaugų teikėjas - VšĮ Šakių šeimos centras vaikų dienos centras.</t>
  </si>
  <si>
    <t>13.01.03.05.01</t>
  </si>
  <si>
    <t>Veikla: Organizuoti asmeninės pagalbos teikimą pasirašant sutartis (tarp paslaugų teikėjų ir gavėjų).</t>
  </si>
  <si>
    <t>13.01.03.05.02.</t>
  </si>
  <si>
    <t>Veikla: Teikti asmeninę pagalbą. Paslaugų teikėjas - VšĮ "Namai visiems".</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</si>
  <si>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</si>
  <si>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</si>
  <si>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</si>
  <si>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</si>
  <si>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</si>
  <si>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</si>
  <si>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</si>
  <si>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</si>
  <si>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</si>
  <si>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</si>
  <si>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</si>
  <si>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</si>
  <si>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</si>
  <si>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71,00</t>
  </si>
  <si>
    <t>13.01.04.02.</t>
  </si>
  <si>
    <t>Priemonė: Žmogaus palaikų patologinės anatomijos tyrimams ar teismo ekspertizei vežimo, saugojimo ir laidojimo paslaugos teikimas</t>
  </si>
  <si>
    <t>Jolita Žemaitienė</t>
  </si>
  <si>
    <t>Gavusių paslaugas asmenų skaičius</t>
  </si>
  <si>
    <t>13.01.04.02.01.</t>
  </si>
  <si>
    <t>Veikla: Pervežti ekspertizei atlikti žuvusius ar mirusius asmenis</t>
  </si>
  <si>
    <t>13.02.</t>
  </si>
  <si>
    <t>Tikslas: Socialinių paslaugų aprėpties didinimas.</t>
  </si>
  <si>
    <t>Naujai gavusių socialines paslaugas asmenų skaičius</t>
  </si>
  <si>
    <t>13.02.02.</t>
  </si>
  <si>
    <t>Uždavinys. Socialinės globos ir priežiūros paslaugų plėtra</t>
  </si>
  <si>
    <t>Ūkio ir investicijų skyrius; Socialinės paramos skyrius</t>
  </si>
  <si>
    <t>Miglė Kriaučiūnienė; Milda Savukaitienė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</si>
  <si>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</si>
  <si>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</si>
  <si>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</si>
  <si>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</si>
  <si>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</si>
  <si>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13.02.02.02.06</t>
  </si>
  <si>
    <t>Veikla: Įveiklinti bendruomeninius vaikų globos namus</t>
  </si>
  <si>
    <t>13.02.02.03.</t>
  </si>
  <si>
    <t>Priemonė. Įgyvendinti projektą „Bendruomeninių apgyvendinimo bei užimtumo paslaugų asmenims su proto (arba) psichikos negalia plėtra Šakių rajone“ (V-427)</t>
  </si>
  <si>
    <t>13.02.02.03.04</t>
  </si>
  <si>
    <t>Veikla: Įveiklinti grupinio gyvenimo namus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</si>
  <si>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</si>
  <si>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</si>
  <si>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</si>
  <si>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</si>
  <si>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</si>
  <si>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</si>
  <si>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</si>
  <si>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</si>
  <si>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</si>
  <si>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</si>
  <si>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</si>
  <si>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</si>
  <si>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</si>
  <si>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</si>
  <si>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</si>
  <si>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</si>
  <si>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</si>
  <si>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</si>
  <si>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</si>
  <si>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</si>
  <si>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Justė Grumulaitienė; Ugnė Mikštienė</t>
  </si>
  <si>
    <t>Rajono gyventojų, gavusių socialinę pašalpą, skaičius</t>
  </si>
  <si>
    <t>1 814,00</t>
  </si>
  <si>
    <t>13.02.06.01.01</t>
  </si>
  <si>
    <t>Veikla: Mokėti socialines pašalpas rajono gyventojams.</t>
  </si>
  <si>
    <t>13.02.06.02.</t>
  </si>
  <si>
    <t>Priemonė: Mokėti vienkartines pašalpas rajono gyventojams (susidarius sunkiai mat. padėčiai, ligos atveju, nukentėjus nuo gaisro ir kt.)</t>
  </si>
  <si>
    <t>Justė Grumulaitienė</t>
  </si>
  <si>
    <t>Rajono gyventojų, gavusių vienkartines tikslines išmokas, skaičius</t>
  </si>
  <si>
    <t>263,00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</si>
  <si>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</si>
  <si>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</si>
  <si>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</si>
  <si>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</si>
  <si>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</si>
  <si>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96,00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</si>
  <si>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</si>
  <si>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</si>
  <si>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</si>
  <si>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</si>
  <si>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</si>
  <si>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</si>
  <si>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</si>
  <si>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</si>
  <si>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</si>
  <si>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</si>
  <si>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25 506,00</t>
  </si>
  <si>
    <t>13.02.06.04.01</t>
  </si>
  <si>
    <t>Veikla: Teikti transporto išlaidų dalies kompensavimą 50 proc. neįgaliems asmenims</t>
  </si>
  <si>
    <t>13.02.06.04</t>
  </si>
  <si>
    <t>Priemonė: Teikti transporto išlaidų 80 proc. kompensacijas.</t>
  </si>
  <si>
    <t>Kompensacijų skaičius (80 proc.)</t>
  </si>
  <si>
    <t>10 097,00</t>
  </si>
  <si>
    <t>13.02.06.04.01.</t>
  </si>
  <si>
    <t>Veikla: Teikti transporto išlaidų dalies kompensavimą 80 proc. neįgaliems asmenims</t>
  </si>
  <si>
    <t>13.02.06.05.</t>
  </si>
  <si>
    <t>Priemonė: Socialinės paramos programa mokiniams (Administracija).</t>
  </si>
  <si>
    <t>Sintautų pagrindinė mokykla; Gelgaudiškio pagrindinė mokykla; Griškabūdžio gimnazija; Kidulių pagrindinė mokykla; Lukšių Vinco Grybo gimnazija; Gelgaudiškio ,,Šaltinio” ugdymo centras; Šakių „Žiburio” gimnazija; Kudirkos Naumiesčio Vinco Kudirkos gimnazija; Panemunių mokykla-daugiafunkcis centras; Šakių ikimokyklinio ugdymo mokykla "Maži žingsneliai"</t>
  </si>
  <si>
    <t>Rima Valaitienė</t>
  </si>
  <si>
    <t>Nemokamą maitinimą gavusių mokinių skaičius (Administracija)</t>
  </si>
  <si>
    <t>1 155,00</t>
  </si>
  <si>
    <t>Nemokamų mokymo reikmenų gavusių mokinių skaičius (Administracija)</t>
  </si>
  <si>
    <t>770,00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</si>
  <si>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</si>
  <si>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</si>
  <si>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</si>
  <si>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</si>
  <si>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</si>
  <si>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</si>
  <si>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</si>
  <si>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</si>
  <si>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</si>
  <si>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</si>
  <si>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</si>
  <si>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420,00</t>
  </si>
  <si>
    <t>13.02.06.06.01.</t>
  </si>
  <si>
    <t>Veikla: Išmokėti laidojimo pašalpas (paramą mirties atveju)</t>
  </si>
  <si>
    <t>13.02.06.09.</t>
  </si>
  <si>
    <t>Priemonė: Mokėti būsto išlaidų  kompensacijas  rajono gyventojams  už šildymą (UAB).</t>
  </si>
  <si>
    <t>Rajono gyventojų, gavusių kompensacijas už šildymą, skaičius</t>
  </si>
  <si>
    <t>1 225,00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</si>
  <si>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</si>
  <si>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</si>
  <si>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</si>
  <si>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</si>
  <si>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</si>
  <si>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1 538,00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</si>
  <si>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</si>
  <si>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</si>
  <si>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</si>
  <si>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</si>
  <si>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</si>
  <si>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848,00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</si>
  <si>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</si>
  <si>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</si>
  <si>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</si>
  <si>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</si>
  <si>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Aistė Būdvytienė; Ugnė Mikštienė</t>
  </si>
  <si>
    <t>Rajono gyventojų, gavusių kompensacijas už kreditus ir palūkanas asmenims, turintiems teisę į būsto šildymo išlaidų kompensaciją, skaičius</t>
  </si>
  <si>
    <t>361,00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</si>
  <si>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</si>
  <si>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</si>
  <si>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</si>
  <si>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</si>
  <si>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</si>
  <si>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5 672,00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</si>
  <si>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</si>
  <si>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</si>
  <si>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</si>
  <si>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</si>
  <si>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</si>
  <si>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</si>
  <si>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</si>
  <si>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</si>
  <si>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</si>
  <si>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</si>
  <si>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4 553,00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</si>
  <si>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</si>
  <si>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</si>
  <si>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</si>
  <si>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</si>
  <si>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</si>
  <si>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</si>
  <si>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</si>
  <si>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</si>
  <si>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</si>
  <si>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</si>
  <si>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</si>
  <si>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</si>
  <si>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</si>
  <si>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</si>
  <si>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</si>
  <si>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26,00</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</si>
  <si>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</si>
  <si>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</si>
  <si>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</si>
  <si>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</si>
  <si>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</si>
  <si>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36,00</t>
  </si>
  <si>
    <t>13.02.06.19.01.</t>
  </si>
  <si>
    <t>Veikla: Išmokėti rajono gyventojoms skirtas vienkartines išmokas nėščiai moteriai</t>
  </si>
  <si>
    <t>13.02.06.20.</t>
  </si>
  <si>
    <t>Priemonė: Mokėti globos (rūpybos) išmokas</t>
  </si>
  <si>
    <t>Rajono gyventojų, gavusių globos (rūpybos) išmokas, skaičius</t>
  </si>
  <si>
    <t>99,00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</si>
  <si>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</si>
  <si>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</si>
  <si>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</si>
  <si>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</si>
  <si>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</si>
  <si>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88,00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</si>
  <si>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</si>
  <si>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</si>
  <si>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</si>
  <si>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</si>
  <si>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</si>
  <si>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</si>
  <si>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</si>
  <si>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</si>
  <si>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</si>
  <si>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</si>
  <si>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</si>
  <si>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</si>
  <si>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</si>
  <si>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</si>
  <si>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</si>
  <si>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</si>
  <si>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</si>
  <si>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</si>
  <si>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</si>
  <si>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</si>
  <si>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494,00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</si>
  <si>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</si>
  <si>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</si>
  <si>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</si>
  <si>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</si>
  <si>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</si>
  <si>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746,00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</si>
  <si>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</si>
  <si>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</si>
  <si>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</si>
  <si>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</si>
  <si>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</si>
  <si>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</si>
  <si>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</si>
  <si>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</si>
  <si>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</si>
  <si>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Aistė Būdvytienė; Jolita Žemaitienė; Ugnė Mikštienė</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</si>
  <si>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</si>
  <si>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</si>
  <si>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</si>
  <si>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</si>
  <si>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</si>
  <si>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</si>
  <si>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</si>
  <si>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</si>
  <si>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</si>
  <si>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</si>
  <si>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</si>
  <si>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</si>
  <si>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</si>
  <si>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</si>
  <si>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</si>
  <si>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</si>
  <si>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</si>
  <si>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</si>
  <si>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</si>
  <si>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</si>
  <si>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</si>
  <si>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</si>
  <si>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</si>
  <si>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</si>
  <si>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</si>
  <si>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</si>
  <si>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</si>
  <si>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</si>
  <si>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</si>
  <si>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</si>
  <si>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</si>
  <si>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</si>
  <si>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</si>
  <si>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</si>
  <si>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</si>
  <si>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</si>
  <si>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</si>
  <si>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</si>
  <si>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</si>
  <si>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</si>
  <si>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</si>
  <si>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</si>
  <si>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42,00</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</si>
  <si>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</si>
  <si>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</si>
  <si>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</si>
  <si>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</si>
  <si>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</si>
  <si>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</si>
  <si>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</si>
  <si>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</si>
  <si>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</si>
  <si>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</si>
  <si>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</si>
  <si>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</si>
  <si>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</si>
  <si>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</si>
  <si>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</si>
  <si>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</si>
  <si>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</si>
  <si>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</si>
  <si>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</si>
  <si>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</si>
  <si>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13.02.09.03.</t>
  </si>
  <si>
    <t>Priemonė: Socialinio būsto remontas Šakių seniūnijoje</t>
  </si>
  <si>
    <t>Suremontuotų socialinių būstų, skaičius</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</si>
  <si>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</si>
  <si>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</si>
  <si>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</si>
  <si>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</si>
  <si>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</si>
  <si>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</si>
  <si>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</si>
  <si>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</si>
  <si>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</si>
  <si>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</si>
  <si>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</si>
  <si>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</si>
  <si>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</si>
  <si>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</si>
  <si>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</si>
  <si>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</si>
  <si>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</si>
  <si>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</si>
  <si>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</si>
  <si>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</si>
  <si>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</si>
  <si>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</si>
  <si>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</si>
  <si>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</si>
  <si>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</si>
  <si>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</si>
  <si>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</si>
  <si>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</si>
  <si>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</si>
  <si>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</si>
  <si>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</si>
  <si>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</si>
  <si>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</si>
  <si>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</si>
  <si>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</si>
  <si>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</si>
  <si>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</si>
  <si>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</si>
  <si>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</si>
  <si>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 procentais</t>
  </si>
  <si>
    <t>13.03.04.</t>
  </si>
  <si>
    <t>Uždavinys. Įgyvendinti prevencines programas</t>
  </si>
  <si>
    <t>Įgyvendinti prevencinių programų skaičius</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</si>
  <si>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</si>
  <si>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</si>
  <si>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</si>
  <si>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</si>
  <si>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</si>
  <si>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</si>
  <si>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</si>
  <si>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</si>
  <si>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</si>
  <si>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</si>
  <si>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</si>
  <si>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</si>
  <si>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</si>
  <si>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</si>
  <si>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</si>
  <si>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13.06.</t>
  </si>
  <si>
    <t>Tikslas: Gyventojų užimtumo didinimas.</t>
  </si>
  <si>
    <t>Užimtumo programoje įdarbintų asmenų skaičius</t>
  </si>
  <si>
    <t>29,00</t>
  </si>
  <si>
    <t>13.06.01.</t>
  </si>
  <si>
    <t>Uždavinys. Organizuoti užimtumo didinimo programą</t>
  </si>
  <si>
    <t>Įdarbintų asmenų skaičius</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</si>
  <si>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</si>
  <si>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</si>
  <si>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</si>
  <si>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</si>
  <si>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</si>
  <si>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</si>
  <si>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</si>
  <si>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</si>
  <si>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</si>
  <si>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</si>
  <si>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</si>
  <si>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</si>
  <si>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</si>
  <si>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</si>
  <si>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</si>
  <si>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</si>
  <si>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</si>
  <si>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</si>
  <si>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</si>
  <si>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</si>
  <si>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</si>
  <si>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</si>
  <si>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</si>
  <si>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</si>
  <si>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</si>
  <si>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</si>
  <si>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</si>
  <si>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</si>
  <si>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</si>
  <si>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</si>
  <si>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</si>
  <si>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</si>
  <si>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</si>
  <si>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</si>
  <si>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</si>
  <si>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</si>
  <si>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</si>
  <si>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</si>
  <si>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</si>
  <si>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</si>
  <si>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</si>
  <si>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</si>
  <si>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</si>
  <si>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</si>
  <si>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</si>
  <si>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24,30</t>
  </si>
  <si>
    <t>13.07.02.</t>
  </si>
  <si>
    <t>Socialines paslaugas gaunančių tikslinės grupės asmenų dalis nuo bendro su skurdo rizika ar socialine atskirtimi susiduriančių gyventojų skaičiaus, procentais</t>
  </si>
  <si>
    <t>16,40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</si>
  <si>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</si>
  <si>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</si>
  <si>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</si>
  <si>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</si>
  <si>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</si>
  <si>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13.07.02.03.</t>
  </si>
  <si>
    <t>Priemonė. Įgyvendinti projektą "Perėjimas nuo institucinės globos prie bendruomeninių paslaugų sostinės regione, vidurio ir vakarų Lietuvos regione"</t>
  </si>
  <si>
    <t>Gelgaudiškio ,,Šaltinio” ugdymo centras; VšĮ Šakių diakonija</t>
  </si>
  <si>
    <t>Asmenų gavusių paslaugą VšĮ Šakių Diakonijos socialinėse dirbtuvėse skaičius</t>
  </si>
  <si>
    <t>Asmenų gavusių paslaugą Gelgaudiškio "Šaltinio" ugdymo centro socialinėse dirbtuvėse skaičius</t>
  </si>
  <si>
    <t>Įsteigtų ir palaikomų etatų skaičius</t>
  </si>
  <si>
    <t>13.07.02.03.01.</t>
  </si>
  <si>
    <t>Veikla: Teikti socialinių įgūdžių ugdymo, palaikymo ir (ar) atkūrimo paslaugą (socialinių dirbtuvių veikla) proto ir (ar) psichikos negalią, turintiems suaugusiems asmenims.</t>
  </si>
  <si>
    <t>13.08.</t>
  </si>
  <si>
    <t>Tikslas. Stiprinti ryšius su diaspora.</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</si>
  <si>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</si>
  <si>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</si>
  <si>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</si>
  <si>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</si>
  <si>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</si>
  <si>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</si>
  <si>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</si>
  <si>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</si>
  <si>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</si>
  <si>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</si>
  <si>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</si>
  <si>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</si>
  <si>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</si>
  <si>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</si>
  <si>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</si>
  <si>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</si>
  <si>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</si>
  <si>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</si>
  <si>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</si>
  <si>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</si>
  <si>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</si>
  <si>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</si>
  <si>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</si>
  <si>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</si>
  <si>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</si>
  <si>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</si>
  <si>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</si>
  <si>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</si>
  <si>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</si>
  <si>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</si>
  <si>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</si>
  <si>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2. ES ir kitos tarptautinės finansinės paramos lėšos</t>
  </si>
  <si>
    <t>3*. Nacionalinio biudžeto (bendrojo finansavimo, valstybės investicijų programos (VIP) ir  kt.) lėšos;</t>
  </si>
  <si>
    <t>IŠ VISO programai finansuoti pagal finansavimo šaltinius:</t>
  </si>
  <si>
    <t>PATVIRTINTA           
Šakių rajono savivaldybės
administracijos direktoriaus
2024 m. kovo    d. įsakymu Nr. AT-</t>
  </si>
  <si>
    <t>12.02.01.02.01.</t>
  </si>
  <si>
    <t xml:space="preserve"> c</t>
  </si>
  <si>
    <t>Daiva  Pilypaitytė;  Aistė Būdvytienė</t>
  </si>
  <si>
    <t>Eglė Plančiūnienė;  Asta  Kėvelaitytė</t>
  </si>
  <si>
    <t>Martynas Remeikis; Iveta Ignatjevaitė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</si>
</sst>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EBEBEB"/>
        <bgColor rgb="FFEBEBEB"/>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1">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6" borderId="5" xfId="0" applyFont="1" applyFill="1" applyBorder="1" applyAlignment="1" applyProtection="1">
      <alignment vertical="center" wrapText="1" readingOrder="1"/>
      <protection locked="0"/>
    </xf>
    <xf numFmtId="0" fontId="1" fillId="6" borderId="6" xfId="0" applyFont="1" applyFill="1" applyBorder="1" applyAlignment="1" applyProtection="1">
      <alignment vertical="center" wrapText="1" readingOrder="1"/>
      <protection locked="0"/>
    </xf>
    <xf numFmtId="0" fontId="1" fillId="6" borderId="6" xfId="0" applyFont="1" applyFill="1" applyBorder="1" applyAlignment="1" applyProtection="1">
      <alignment horizontal="left" vertical="center" wrapText="1" readingOrder="1"/>
      <protection locked="0"/>
    </xf>
    <xf numFmtId="164" fontId="1" fillId="6" borderId="6" xfId="0" applyNumberFormat="1" applyFont="1" applyFill="1" applyBorder="1" applyAlignment="1">
      <alignment horizontal="right" vertical="center" wrapText="1" readingOrder="1"/>
    </xf>
    <xf numFmtId="0" fontId="1" fillId="6" borderId="6" xfId="0" applyFont="1" applyFill="1" applyBorder="1" applyAlignment="1" applyProtection="1">
      <alignment horizontal="center" vertical="center" wrapText="1" readingOrder="1"/>
      <protection locked="0"/>
    </xf>
    <xf numFmtId="0" fontId="1" fillId="6" borderId="7" xfId="0" applyFont="1" applyFill="1" applyBorder="1" applyAlignment="1" applyProtection="1">
      <alignment horizontal="right" vertical="center" wrapText="1" readingOrder="1"/>
      <protection locked="0"/>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164" fontId="2" fillId="0" borderId="1" xfId="0" applyNumberFormat="1" applyFont="1" applyBorder="1" applyAlignment="1">
      <alignment horizontal="right" vertical="center" wrapText="1" readingOrder="1"/>
    </xf>
    <xf numFmtId="0" fontId="1" fillId="3" borderId="1" xfId="0" applyFont="1" applyFill="1" applyBorder="1" applyAlignment="1" applyProtection="1">
      <alignment vertical="center" wrapText="1" readingOrder="1"/>
      <protection locked="0"/>
    </xf>
    <xf numFmtId="0" fontId="1" fillId="3" borderId="1" xfId="0" applyFont="1" applyFill="1" applyBorder="1" applyAlignment="1" applyProtection="1">
      <alignment horizontal="right" vertical="center" wrapText="1" readingOrder="1"/>
      <protection locked="0"/>
    </xf>
    <xf numFmtId="164" fontId="1" fillId="3" borderId="1" xfId="0" applyNumberFormat="1" applyFont="1" applyFill="1" applyBorder="1" applyAlignment="1">
      <alignment horizontal="right" vertical="center" wrapText="1" readingOrder="1"/>
    </xf>
    <xf numFmtId="0" fontId="1" fillId="2" borderId="0" xfId="0" applyFont="1" applyFill="1" applyAlignment="1" applyProtection="1">
      <alignment vertical="center" wrapText="1" readingOrder="1"/>
      <protection locked="0"/>
    </xf>
    <xf numFmtId="0" fontId="1" fillId="2" borderId="0" xfId="0" applyFont="1" applyFill="1" applyAlignment="1" applyProtection="1">
      <alignment horizontal="right" vertical="center" wrapText="1" readingOrder="1"/>
      <protection locked="0"/>
    </xf>
    <xf numFmtId="164" fontId="1" fillId="2" borderId="0" xfId="0" applyNumberFormat="1" applyFont="1" applyFill="1" applyAlignment="1">
      <alignment horizontal="right" vertical="center" wrapText="1" readingOrder="1"/>
    </xf>
    <xf numFmtId="14" fontId="2" fillId="2" borderId="0" xfId="0" applyNumberFormat="1" applyFont="1" applyFill="1" applyAlignment="1">
      <alignment vertical="center" wrapText="1"/>
    </xf>
    <xf numFmtId="0" fontId="1" fillId="2" borderId="0" xfId="0" applyFont="1" applyFill="1" applyAlignment="1">
      <alignment vertical="center" wrapText="1"/>
    </xf>
    <xf numFmtId="0" fontId="1" fillId="0" borderId="1" xfId="0" applyFont="1" applyBorder="1" applyAlignment="1">
      <alignment horizontal="center" vertical="center" wrapText="1" readingOrder="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readingOrder="1"/>
    </xf>
    <xf numFmtId="0" fontId="1" fillId="0" borderId="8"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2" fillId="2" borderId="0" xfId="0" applyFont="1" applyFill="1" applyAlignment="1">
      <alignment horizontal="left" vertical="center" wrapText="1"/>
    </xf>
    <xf numFmtId="0" fontId="2" fillId="2" borderId="13" xfId="0" applyFont="1" applyFill="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773"/>
  <sheetViews>
    <sheetView tabSelected="1" zoomScale="55" zoomScaleNormal="55" workbookViewId="0">
      <selection activeCell="A2" sqref="A2"/>
    </sheetView>
  </sheetViews>
  <sheetFormatPr defaultRowHeight="23.25" x14ac:dyDescent="0.25"/>
  <cols>
    <col min="1" max="1" width="23.5703125" style="3" customWidth="1"/>
    <col min="2" max="2" width="50.7109375" style="3" customWidth="1"/>
    <col min="3" max="3" width="43" style="3" customWidth="1"/>
    <col min="4" max="4" width="35.140625" style="3" customWidth="1"/>
    <col min="5" max="14" width="23.140625" style="3" customWidth="1"/>
    <col min="15" max="15" width="50.7109375" style="3" customWidth="1"/>
    <col min="16" max="16" width="14.5703125" style="3" customWidth="1"/>
    <col min="17" max="17" width="17.42578125" style="3" customWidth="1"/>
    <col min="18" max="16384" width="9.140625" style="3"/>
  </cols>
  <sheetData>
    <row r="1" spans="1:17" s="1" customFormat="1" ht="22.5" x14ac:dyDescent="0.25">
      <c r="A1" s="58"/>
      <c r="B1" s="58"/>
      <c r="C1" s="58"/>
      <c r="D1" s="58"/>
      <c r="E1" s="58"/>
      <c r="F1" s="58"/>
      <c r="G1" s="58"/>
      <c r="H1" s="58"/>
      <c r="I1" s="58"/>
      <c r="J1" s="58"/>
      <c r="K1" s="58"/>
      <c r="L1" s="58"/>
      <c r="M1" s="58"/>
      <c r="N1" s="58"/>
      <c r="O1" s="66" t="s">
        <v>1927</v>
      </c>
      <c r="P1" s="66"/>
      <c r="Q1" s="66"/>
    </row>
    <row r="2" spans="1:17" s="2" customFormat="1" x14ac:dyDescent="0.25">
      <c r="A2" s="57"/>
      <c r="B2" s="49"/>
      <c r="C2" s="49"/>
      <c r="D2" s="49"/>
      <c r="E2" s="49"/>
      <c r="F2" s="49"/>
      <c r="G2" s="49"/>
      <c r="H2" s="49"/>
      <c r="I2" s="49"/>
      <c r="J2" s="49"/>
      <c r="K2" s="49"/>
      <c r="L2" s="49"/>
      <c r="M2" s="49"/>
      <c r="N2" s="49"/>
      <c r="O2" s="66"/>
      <c r="P2" s="66"/>
      <c r="Q2" s="66"/>
    </row>
    <row r="3" spans="1:17" ht="23.25" customHeight="1" x14ac:dyDescent="0.25">
      <c r="D3" s="70" t="s">
        <v>0</v>
      </c>
      <c r="E3" s="70"/>
      <c r="F3" s="70"/>
      <c r="G3" s="70"/>
      <c r="H3" s="70"/>
      <c r="I3" s="70"/>
      <c r="J3" s="70"/>
      <c r="K3" s="70"/>
      <c r="L3" s="70"/>
      <c r="O3" s="66"/>
      <c r="P3" s="66"/>
      <c r="Q3" s="66"/>
    </row>
    <row r="4" spans="1:17" x14ac:dyDescent="0.25">
      <c r="O4" s="66"/>
      <c r="P4" s="66"/>
      <c r="Q4" s="66"/>
    </row>
    <row r="5" spans="1:17" ht="24" thickBot="1" x14ac:dyDescent="0.3">
      <c r="O5" s="67"/>
      <c r="P5" s="67"/>
      <c r="Q5" s="67"/>
    </row>
    <row r="6" spans="1:17" x14ac:dyDescent="0.25">
      <c r="A6" s="61" t="s">
        <v>1</v>
      </c>
      <c r="B6" s="64" t="s">
        <v>0</v>
      </c>
      <c r="C6" s="64" t="s">
        <v>3</v>
      </c>
      <c r="D6" s="64" t="s">
        <v>4</v>
      </c>
      <c r="E6" s="64" t="s">
        <v>5</v>
      </c>
      <c r="F6" s="64" t="s">
        <v>6</v>
      </c>
      <c r="G6" s="68"/>
      <c r="H6" s="68"/>
      <c r="I6" s="68"/>
      <c r="J6" s="68"/>
      <c r="K6" s="68"/>
      <c r="L6" s="68"/>
      <c r="M6" s="68"/>
      <c r="N6" s="68"/>
      <c r="O6" s="64" t="s">
        <v>7</v>
      </c>
      <c r="P6" s="68"/>
      <c r="Q6" s="69"/>
    </row>
    <row r="7" spans="1:17" x14ac:dyDescent="0.25">
      <c r="A7" s="62"/>
      <c r="B7" s="59"/>
      <c r="C7" s="59"/>
      <c r="D7" s="59"/>
      <c r="E7" s="59"/>
      <c r="F7" s="59" t="s">
        <v>8</v>
      </c>
      <c r="G7" s="59" t="s">
        <v>9</v>
      </c>
      <c r="H7" s="59" t="s">
        <v>10</v>
      </c>
      <c r="I7" s="59" t="s">
        <v>11</v>
      </c>
      <c r="J7" s="59" t="s">
        <v>12</v>
      </c>
      <c r="K7" s="59" t="s">
        <v>13</v>
      </c>
      <c r="L7" s="59" t="s">
        <v>14</v>
      </c>
      <c r="M7" s="59" t="s">
        <v>15</v>
      </c>
      <c r="N7" s="59" t="s">
        <v>16</v>
      </c>
      <c r="O7" s="59" t="s">
        <v>17</v>
      </c>
      <c r="P7" s="59" t="s">
        <v>18</v>
      </c>
      <c r="Q7" s="5" t="s">
        <v>19</v>
      </c>
    </row>
    <row r="8" spans="1:17" ht="27.75" customHeight="1" x14ac:dyDescent="0.25">
      <c r="A8" s="63"/>
      <c r="B8" s="65"/>
      <c r="C8" s="65"/>
      <c r="D8" s="65"/>
      <c r="E8" s="65"/>
      <c r="F8" s="65"/>
      <c r="G8" s="65"/>
      <c r="H8" s="65"/>
      <c r="I8" s="65"/>
      <c r="J8" s="65"/>
      <c r="K8" s="65"/>
      <c r="L8" s="65"/>
      <c r="M8" s="65"/>
      <c r="N8" s="65"/>
      <c r="O8" s="65"/>
      <c r="P8" s="65"/>
      <c r="Q8" s="6" t="s">
        <v>20</v>
      </c>
    </row>
    <row r="9" spans="1:17" ht="53.25" customHeight="1" x14ac:dyDescent="0.25">
      <c r="A9" s="7" t="s">
        <v>21</v>
      </c>
      <c r="B9" s="8" t="s">
        <v>22</v>
      </c>
      <c r="C9" s="9" t="s">
        <v>23</v>
      </c>
      <c r="D9" s="9" t="s">
        <v>24</v>
      </c>
      <c r="E9" s="10">
        <f t="shared" ref="E9:N9" si="0">E10+E45+E49+E53+E66+E72+E78+E82</f>
        <v>773416.65999999992</v>
      </c>
      <c r="F9" s="10">
        <f t="shared" si="0"/>
        <v>524443</v>
      </c>
      <c r="G9" s="10">
        <f t="shared" si="0"/>
        <v>0</v>
      </c>
      <c r="H9" s="10">
        <f t="shared" si="0"/>
        <v>0</v>
      </c>
      <c r="I9" s="10">
        <f t="shared" si="0"/>
        <v>214728</v>
      </c>
      <c r="J9" s="10">
        <f t="shared" si="0"/>
        <v>0</v>
      </c>
      <c r="K9" s="10">
        <f t="shared" si="0"/>
        <v>48.66</v>
      </c>
      <c r="L9" s="10">
        <f t="shared" si="0"/>
        <v>34197</v>
      </c>
      <c r="M9" s="10">
        <f t="shared" si="0"/>
        <v>0</v>
      </c>
      <c r="N9" s="10">
        <f t="shared" si="0"/>
        <v>0</v>
      </c>
      <c r="O9" s="9"/>
      <c r="P9" s="11"/>
      <c r="Q9" s="12"/>
    </row>
    <row r="10" spans="1:17" ht="67.5" x14ac:dyDescent="0.25">
      <c r="A10" s="13" t="s">
        <v>25</v>
      </c>
      <c r="B10" s="14" t="s">
        <v>26</v>
      </c>
      <c r="C10" s="15" t="s">
        <v>23</v>
      </c>
      <c r="D10" s="15" t="s">
        <v>27</v>
      </c>
      <c r="E10" s="16">
        <f t="shared" ref="E10:N10" si="1">E11+E40</f>
        <v>538745.65999999992</v>
      </c>
      <c r="F10" s="16">
        <f t="shared" si="1"/>
        <v>323969</v>
      </c>
      <c r="G10" s="16">
        <f t="shared" si="1"/>
        <v>0</v>
      </c>
      <c r="H10" s="16">
        <f t="shared" si="1"/>
        <v>0</v>
      </c>
      <c r="I10" s="16">
        <f t="shared" si="1"/>
        <v>214728</v>
      </c>
      <c r="J10" s="16">
        <f t="shared" si="1"/>
        <v>0</v>
      </c>
      <c r="K10" s="16">
        <f t="shared" si="1"/>
        <v>48.66</v>
      </c>
      <c r="L10" s="16">
        <f t="shared" si="1"/>
        <v>0</v>
      </c>
      <c r="M10" s="16">
        <f t="shared" si="1"/>
        <v>0</v>
      </c>
      <c r="N10" s="16">
        <f t="shared" si="1"/>
        <v>0</v>
      </c>
      <c r="O10" s="15" t="s">
        <v>28</v>
      </c>
      <c r="P10" s="17" t="s">
        <v>29</v>
      </c>
      <c r="Q10" s="18" t="s">
        <v>30</v>
      </c>
    </row>
    <row r="11" spans="1:17" ht="157.5" x14ac:dyDescent="0.25">
      <c r="A11" s="19" t="s">
        <v>31</v>
      </c>
      <c r="B11" s="20" t="s">
        <v>32</v>
      </c>
      <c r="C11" s="21" t="s">
        <v>23</v>
      </c>
      <c r="D11" s="21" t="s">
        <v>27</v>
      </c>
      <c r="E11" s="22">
        <f t="shared" ref="E11:N11" si="2">E12+E14+E16+E18+E22+E24+E26+E28+E30+E32+E34+E36+E38</f>
        <v>530745.65999999992</v>
      </c>
      <c r="F11" s="22">
        <f t="shared" si="2"/>
        <v>315969</v>
      </c>
      <c r="G11" s="22">
        <f t="shared" si="2"/>
        <v>0</v>
      </c>
      <c r="H11" s="22">
        <f t="shared" si="2"/>
        <v>0</v>
      </c>
      <c r="I11" s="22">
        <f t="shared" si="2"/>
        <v>214728</v>
      </c>
      <c r="J11" s="22">
        <f t="shared" si="2"/>
        <v>0</v>
      </c>
      <c r="K11" s="22">
        <f t="shared" si="2"/>
        <v>48.66</v>
      </c>
      <c r="L11" s="22">
        <f t="shared" si="2"/>
        <v>0</v>
      </c>
      <c r="M11" s="22">
        <f t="shared" si="2"/>
        <v>0</v>
      </c>
      <c r="N11" s="22">
        <f t="shared" si="2"/>
        <v>0</v>
      </c>
      <c r="O11" s="21" t="s">
        <v>33</v>
      </c>
      <c r="P11" s="23" t="s">
        <v>34</v>
      </c>
      <c r="Q11" s="24" t="s">
        <v>35</v>
      </c>
    </row>
    <row r="12" spans="1:17" ht="69.75" x14ac:dyDescent="0.25">
      <c r="A12" s="25" t="s">
        <v>36</v>
      </c>
      <c r="B12" s="26" t="s">
        <v>37</v>
      </c>
      <c r="C12" s="27" t="s">
        <v>23</v>
      </c>
      <c r="D12" s="27" t="s">
        <v>38</v>
      </c>
      <c r="E12" s="28">
        <f>SUM(E13:E13)+5000</f>
        <v>5000</v>
      </c>
      <c r="F12" s="28">
        <f>SUM(F13:F13)+5000</f>
        <v>5000</v>
      </c>
      <c r="G12" s="28">
        <f t="shared" ref="G12:N12" si="3">SUM(G13:G13)</f>
        <v>0</v>
      </c>
      <c r="H12" s="28">
        <f t="shared" si="3"/>
        <v>0</v>
      </c>
      <c r="I12" s="28">
        <f t="shared" si="3"/>
        <v>0</v>
      </c>
      <c r="J12" s="28">
        <f t="shared" si="3"/>
        <v>0</v>
      </c>
      <c r="K12" s="28">
        <f t="shared" si="3"/>
        <v>0</v>
      </c>
      <c r="L12" s="28">
        <f t="shared" si="3"/>
        <v>0</v>
      </c>
      <c r="M12" s="28">
        <f t="shared" si="3"/>
        <v>0</v>
      </c>
      <c r="N12" s="28">
        <f t="shared" si="3"/>
        <v>0</v>
      </c>
      <c r="O12" s="27" t="s">
        <v>39</v>
      </c>
      <c r="P12" s="29" t="s">
        <v>34</v>
      </c>
      <c r="Q12" s="30" t="s">
        <v>30</v>
      </c>
    </row>
    <row r="13" spans="1:17" ht="46.5" x14ac:dyDescent="0.25">
      <c r="A13" s="25" t="s">
        <v>40</v>
      </c>
      <c r="B13" s="26" t="s">
        <v>41</v>
      </c>
      <c r="C13" s="27"/>
      <c r="D13" s="27"/>
      <c r="E13" s="31">
        <v>0</v>
      </c>
      <c r="F13" s="31">
        <v>0</v>
      </c>
      <c r="G13" s="31">
        <v>0</v>
      </c>
      <c r="H13" s="31">
        <v>0</v>
      </c>
      <c r="I13" s="31">
        <v>0</v>
      </c>
      <c r="J13" s="31">
        <v>0</v>
      </c>
      <c r="K13" s="31">
        <v>0</v>
      </c>
      <c r="L13" s="31">
        <v>0</v>
      </c>
      <c r="M13" s="31">
        <v>0</v>
      </c>
      <c r="N13" s="31">
        <v>0</v>
      </c>
      <c r="O13" s="27"/>
      <c r="P13" s="29"/>
      <c r="Q13" s="30"/>
    </row>
    <row r="14" spans="1:17" ht="69.75" x14ac:dyDescent="0.25">
      <c r="A14" s="25" t="s">
        <v>42</v>
      </c>
      <c r="B14" s="26" t="s">
        <v>43</v>
      </c>
      <c r="C14" s="27" t="s">
        <v>23</v>
      </c>
      <c r="D14" s="27" t="s">
        <v>27</v>
      </c>
      <c r="E14" s="28">
        <f>SUM(E15:E15)+214728</f>
        <v>214728</v>
      </c>
      <c r="F14" s="28">
        <f>SUM(F15:F15)</f>
        <v>0</v>
      </c>
      <c r="G14" s="28">
        <f>SUM(G15:G15)</f>
        <v>0</v>
      </c>
      <c r="H14" s="28">
        <f>SUM(H15:H15)</f>
        <v>0</v>
      </c>
      <c r="I14" s="28">
        <f>SUM(I15:I15)+214728</f>
        <v>214728</v>
      </c>
      <c r="J14" s="28">
        <f>SUM(J15:J15)</f>
        <v>0</v>
      </c>
      <c r="K14" s="28">
        <f>SUM(K15:K15)</f>
        <v>0</v>
      </c>
      <c r="L14" s="28">
        <f>SUM(L15:L15)</f>
        <v>0</v>
      </c>
      <c r="M14" s="28">
        <f>SUM(M15:M15)</f>
        <v>0</v>
      </c>
      <c r="N14" s="28">
        <f>SUM(N15:N15)</f>
        <v>0</v>
      </c>
      <c r="O14" s="27" t="s">
        <v>44</v>
      </c>
      <c r="P14" s="29" t="s">
        <v>34</v>
      </c>
      <c r="Q14" s="30" t="s">
        <v>45</v>
      </c>
    </row>
    <row r="15" spans="1:17" ht="116.25" x14ac:dyDescent="0.25">
      <c r="A15" s="25" t="s">
        <v>46</v>
      </c>
      <c r="B15" s="26" t="s">
        <v>47</v>
      </c>
      <c r="C15" s="27"/>
      <c r="D15" s="27"/>
      <c r="E15" s="31">
        <v>0</v>
      </c>
      <c r="F15" s="31">
        <v>0</v>
      </c>
      <c r="G15" s="31">
        <v>0</v>
      </c>
      <c r="H15" s="31">
        <v>0</v>
      </c>
      <c r="I15" s="31">
        <v>0</v>
      </c>
      <c r="J15" s="31">
        <v>0</v>
      </c>
      <c r="K15" s="31">
        <v>0</v>
      </c>
      <c r="L15" s="31">
        <v>0</v>
      </c>
      <c r="M15" s="31">
        <v>0</v>
      </c>
      <c r="N15" s="31">
        <v>0</v>
      </c>
      <c r="O15" s="27"/>
      <c r="P15" s="29"/>
      <c r="Q15" s="30"/>
    </row>
    <row r="16" spans="1:17" ht="46.5" x14ac:dyDescent="0.25">
      <c r="A16" s="25" t="s">
        <v>48</v>
      </c>
      <c r="B16" s="26" t="s">
        <v>49</v>
      </c>
      <c r="C16" s="27" t="s">
        <v>23</v>
      </c>
      <c r="D16" s="27" t="s">
        <v>38</v>
      </c>
      <c r="E16" s="28">
        <f>SUM(E17:E17)+187000</f>
        <v>187000</v>
      </c>
      <c r="F16" s="28">
        <f>SUM(F17:F17)+187000</f>
        <v>187000</v>
      </c>
      <c r="G16" s="28">
        <f t="shared" ref="G16:N16" si="4">SUM(G17:G17)</f>
        <v>0</v>
      </c>
      <c r="H16" s="28">
        <f t="shared" si="4"/>
        <v>0</v>
      </c>
      <c r="I16" s="28">
        <f t="shared" si="4"/>
        <v>0</v>
      </c>
      <c r="J16" s="28">
        <f t="shared" si="4"/>
        <v>0</v>
      </c>
      <c r="K16" s="28">
        <f t="shared" si="4"/>
        <v>0</v>
      </c>
      <c r="L16" s="28">
        <f t="shared" si="4"/>
        <v>0</v>
      </c>
      <c r="M16" s="28">
        <f t="shared" si="4"/>
        <v>0</v>
      </c>
      <c r="N16" s="28">
        <f t="shared" si="4"/>
        <v>0</v>
      </c>
      <c r="O16" s="27" t="s">
        <v>50</v>
      </c>
      <c r="P16" s="29" t="s">
        <v>34</v>
      </c>
      <c r="Q16" s="30" t="s">
        <v>51</v>
      </c>
    </row>
    <row r="17" spans="1:17" ht="69.75" x14ac:dyDescent="0.25">
      <c r="A17" s="25" t="s">
        <v>52</v>
      </c>
      <c r="B17" s="26" t="s">
        <v>53</v>
      </c>
      <c r="C17" s="27"/>
      <c r="D17" s="27"/>
      <c r="E17" s="31">
        <v>0</v>
      </c>
      <c r="F17" s="31">
        <v>0</v>
      </c>
      <c r="G17" s="31">
        <v>0</v>
      </c>
      <c r="H17" s="31">
        <v>0</v>
      </c>
      <c r="I17" s="31">
        <v>0</v>
      </c>
      <c r="J17" s="31">
        <v>0</v>
      </c>
      <c r="K17" s="31">
        <v>0</v>
      </c>
      <c r="L17" s="31">
        <v>0</v>
      </c>
      <c r="M17" s="31">
        <v>0</v>
      </c>
      <c r="N17" s="31">
        <v>0</v>
      </c>
      <c r="O17" s="27"/>
      <c r="P17" s="29"/>
      <c r="Q17" s="30"/>
    </row>
    <row r="18" spans="1:17" ht="116.25" x14ac:dyDescent="0.25">
      <c r="A18" s="25" t="s">
        <v>54</v>
      </c>
      <c r="B18" s="26" t="s">
        <v>55</v>
      </c>
      <c r="C18" s="27" t="s">
        <v>23</v>
      </c>
      <c r="D18" s="27" t="s">
        <v>27</v>
      </c>
      <c r="E18" s="28">
        <f>SUM(E19:E21)+20000</f>
        <v>20000</v>
      </c>
      <c r="F18" s="28">
        <f>SUM(F19:F21)+20000</f>
        <v>20000</v>
      </c>
      <c r="G18" s="28">
        <f t="shared" ref="G18:N18" si="5">SUM(G19:G21)</f>
        <v>0</v>
      </c>
      <c r="H18" s="28">
        <f t="shared" si="5"/>
        <v>0</v>
      </c>
      <c r="I18" s="28">
        <f t="shared" si="5"/>
        <v>0</v>
      </c>
      <c r="J18" s="28">
        <f t="shared" si="5"/>
        <v>0</v>
      </c>
      <c r="K18" s="28">
        <f t="shared" si="5"/>
        <v>0</v>
      </c>
      <c r="L18" s="28">
        <f t="shared" si="5"/>
        <v>0</v>
      </c>
      <c r="M18" s="28">
        <f t="shared" si="5"/>
        <v>0</v>
      </c>
      <c r="N18" s="28">
        <f t="shared" si="5"/>
        <v>0</v>
      </c>
      <c r="O18" s="27" t="s">
        <v>56</v>
      </c>
      <c r="P18" s="29" t="s">
        <v>34</v>
      </c>
      <c r="Q18" s="30" t="s">
        <v>57</v>
      </c>
    </row>
    <row r="19" spans="1:17" ht="46.5" x14ac:dyDescent="0.25">
      <c r="A19" s="32"/>
      <c r="B19" s="33"/>
      <c r="C19" s="34"/>
      <c r="D19" s="34"/>
      <c r="E19" s="35">
        <v>0</v>
      </c>
      <c r="F19" s="35">
        <v>0</v>
      </c>
      <c r="G19" s="35">
        <v>0</v>
      </c>
      <c r="H19" s="35">
        <v>0</v>
      </c>
      <c r="I19" s="35">
        <v>0</v>
      </c>
      <c r="J19" s="35">
        <v>0</v>
      </c>
      <c r="K19" s="35">
        <v>0</v>
      </c>
      <c r="L19" s="35">
        <v>0</v>
      </c>
      <c r="M19" s="35">
        <v>0</v>
      </c>
      <c r="N19" s="35">
        <v>0</v>
      </c>
      <c r="O19" s="34" t="s">
        <v>58</v>
      </c>
      <c r="P19" s="36" t="s">
        <v>34</v>
      </c>
      <c r="Q19" s="37" t="s">
        <v>59</v>
      </c>
    </row>
    <row r="20" spans="1:17" ht="46.5" x14ac:dyDescent="0.25">
      <c r="A20" s="32"/>
      <c r="B20" s="33"/>
      <c r="C20" s="34"/>
      <c r="D20" s="34"/>
      <c r="E20" s="35">
        <v>0</v>
      </c>
      <c r="F20" s="35">
        <v>0</v>
      </c>
      <c r="G20" s="35">
        <v>0</v>
      </c>
      <c r="H20" s="35">
        <v>0</v>
      </c>
      <c r="I20" s="35">
        <v>0</v>
      </c>
      <c r="J20" s="35">
        <v>0</v>
      </c>
      <c r="K20" s="35">
        <v>0</v>
      </c>
      <c r="L20" s="35">
        <v>0</v>
      </c>
      <c r="M20" s="35">
        <v>0</v>
      </c>
      <c r="N20" s="35">
        <v>0</v>
      </c>
      <c r="O20" s="34" t="s">
        <v>60</v>
      </c>
      <c r="P20" s="36" t="s">
        <v>34</v>
      </c>
      <c r="Q20" s="37" t="s">
        <v>61</v>
      </c>
    </row>
    <row r="21" spans="1:17" ht="139.5" x14ac:dyDescent="0.25">
      <c r="A21" s="25" t="s">
        <v>62</v>
      </c>
      <c r="B21" s="26" t="s">
        <v>63</v>
      </c>
      <c r="C21" s="27"/>
      <c r="D21" s="27"/>
      <c r="E21" s="31">
        <v>0</v>
      </c>
      <c r="F21" s="31">
        <v>0</v>
      </c>
      <c r="G21" s="31">
        <v>0</v>
      </c>
      <c r="H21" s="31">
        <v>0</v>
      </c>
      <c r="I21" s="31">
        <v>0</v>
      </c>
      <c r="J21" s="31">
        <v>0</v>
      </c>
      <c r="K21" s="31">
        <v>0</v>
      </c>
      <c r="L21" s="31">
        <v>0</v>
      </c>
      <c r="M21" s="31">
        <v>0</v>
      </c>
      <c r="N21" s="31">
        <v>0</v>
      </c>
      <c r="O21" s="27"/>
      <c r="P21" s="29"/>
      <c r="Q21" s="30"/>
    </row>
    <row r="22" spans="1:17" ht="162.75" x14ac:dyDescent="0.25">
      <c r="A22" s="25" t="s">
        <v>64</v>
      </c>
      <c r="B22" s="26" t="s">
        <v>65</v>
      </c>
      <c r="C22" s="27" t="s">
        <v>66</v>
      </c>
      <c r="D22" s="27" t="s">
        <v>67</v>
      </c>
      <c r="E22" s="28">
        <f>SUM(E23:E23)+35000</f>
        <v>35000</v>
      </c>
      <c r="F22" s="28">
        <f>SUM(F23:F23)+35000</f>
        <v>35000</v>
      </c>
      <c r="G22" s="28">
        <f t="shared" ref="G22:N22" si="6">SUM(G23:G23)</f>
        <v>0</v>
      </c>
      <c r="H22" s="28">
        <f t="shared" si="6"/>
        <v>0</v>
      </c>
      <c r="I22" s="28">
        <f t="shared" si="6"/>
        <v>0</v>
      </c>
      <c r="J22" s="28">
        <f t="shared" si="6"/>
        <v>0</v>
      </c>
      <c r="K22" s="28">
        <f t="shared" si="6"/>
        <v>0</v>
      </c>
      <c r="L22" s="28">
        <f t="shared" si="6"/>
        <v>0</v>
      </c>
      <c r="M22" s="28">
        <f t="shared" si="6"/>
        <v>0</v>
      </c>
      <c r="N22" s="28">
        <f t="shared" si="6"/>
        <v>0</v>
      </c>
      <c r="O22" s="27" t="s">
        <v>68</v>
      </c>
      <c r="P22" s="29" t="s">
        <v>34</v>
      </c>
      <c r="Q22" s="30" t="s">
        <v>69</v>
      </c>
    </row>
    <row r="23" spans="1:17" ht="46.5" x14ac:dyDescent="0.25">
      <c r="A23" s="25" t="s">
        <v>70</v>
      </c>
      <c r="B23" s="26" t="s">
        <v>71</v>
      </c>
      <c r="C23" s="27"/>
      <c r="D23" s="27"/>
      <c r="E23" s="31">
        <v>0</v>
      </c>
      <c r="F23" s="31">
        <v>0</v>
      </c>
      <c r="G23" s="31">
        <v>0</v>
      </c>
      <c r="H23" s="31">
        <v>0</v>
      </c>
      <c r="I23" s="31">
        <v>0</v>
      </c>
      <c r="J23" s="31">
        <v>0</v>
      </c>
      <c r="K23" s="31">
        <v>0</v>
      </c>
      <c r="L23" s="31">
        <v>0</v>
      </c>
      <c r="M23" s="31">
        <v>0</v>
      </c>
      <c r="N23" s="31">
        <v>0</v>
      </c>
      <c r="O23" s="27"/>
      <c r="P23" s="29"/>
      <c r="Q23" s="30"/>
    </row>
    <row r="24" spans="1:17" ht="46.5" x14ac:dyDescent="0.25">
      <c r="A24" s="25" t="s">
        <v>72</v>
      </c>
      <c r="B24" s="26" t="s">
        <v>73</v>
      </c>
      <c r="C24" s="27" t="s">
        <v>23</v>
      </c>
      <c r="D24" s="27" t="s">
        <v>38</v>
      </c>
      <c r="E24" s="28">
        <f>SUM(E25:E25)+48.66</f>
        <v>48.66</v>
      </c>
      <c r="F24" s="28">
        <f>SUM(F25:F25)</f>
        <v>0</v>
      </c>
      <c r="G24" s="28">
        <f>SUM(G25:G25)</f>
        <v>0</v>
      </c>
      <c r="H24" s="28">
        <f>SUM(H25:H25)</f>
        <v>0</v>
      </c>
      <c r="I24" s="28">
        <f>SUM(I25:I25)</f>
        <v>0</v>
      </c>
      <c r="J24" s="28">
        <f>SUM(J25:J25)</f>
        <v>0</v>
      </c>
      <c r="K24" s="28">
        <f>SUM(K25:K25)+48.66</f>
        <v>48.66</v>
      </c>
      <c r="L24" s="28">
        <f>SUM(L25:L25)</f>
        <v>0</v>
      </c>
      <c r="M24" s="28">
        <f>SUM(M25:M25)</f>
        <v>0</v>
      </c>
      <c r="N24" s="28">
        <f>SUM(N25:N25)</f>
        <v>0</v>
      </c>
      <c r="O24" s="27" t="s">
        <v>74</v>
      </c>
      <c r="P24" s="29" t="s">
        <v>34</v>
      </c>
      <c r="Q24" s="30" t="s">
        <v>75</v>
      </c>
    </row>
    <row r="25" spans="1:17" ht="46.5" x14ac:dyDescent="0.25">
      <c r="A25" s="25" t="s">
        <v>76</v>
      </c>
      <c r="B25" s="26" t="s">
        <v>77</v>
      </c>
      <c r="C25" s="27"/>
      <c r="D25" s="27"/>
      <c r="E25" s="31">
        <v>0</v>
      </c>
      <c r="F25" s="31">
        <v>0</v>
      </c>
      <c r="G25" s="31">
        <v>0</v>
      </c>
      <c r="H25" s="31">
        <v>0</v>
      </c>
      <c r="I25" s="31">
        <v>0</v>
      </c>
      <c r="J25" s="31">
        <v>0</v>
      </c>
      <c r="K25" s="31">
        <v>0</v>
      </c>
      <c r="L25" s="31">
        <v>0</v>
      </c>
      <c r="M25" s="31">
        <v>0</v>
      </c>
      <c r="N25" s="31">
        <v>0</v>
      </c>
      <c r="O25" s="27"/>
      <c r="P25" s="29"/>
      <c r="Q25" s="30"/>
    </row>
    <row r="26" spans="1:17" ht="69.75" x14ac:dyDescent="0.25">
      <c r="A26" s="25" t="s">
        <v>78</v>
      </c>
      <c r="B26" s="26" t="s">
        <v>79</v>
      </c>
      <c r="C26" s="27" t="s">
        <v>23</v>
      </c>
      <c r="D26" s="27" t="s">
        <v>27</v>
      </c>
      <c r="E26" s="28">
        <f>SUM(E27:E27)+17000</f>
        <v>17000</v>
      </c>
      <c r="F26" s="28">
        <f>SUM(F27:F27)+17000</f>
        <v>17000</v>
      </c>
      <c r="G26" s="28">
        <f t="shared" ref="G26:N26" si="7">SUM(G27:G27)</f>
        <v>0</v>
      </c>
      <c r="H26" s="28">
        <f t="shared" si="7"/>
        <v>0</v>
      </c>
      <c r="I26" s="28">
        <f t="shared" si="7"/>
        <v>0</v>
      </c>
      <c r="J26" s="28">
        <f t="shared" si="7"/>
        <v>0</v>
      </c>
      <c r="K26" s="28">
        <f t="shared" si="7"/>
        <v>0</v>
      </c>
      <c r="L26" s="28">
        <f t="shared" si="7"/>
        <v>0</v>
      </c>
      <c r="M26" s="28">
        <f t="shared" si="7"/>
        <v>0</v>
      </c>
      <c r="N26" s="28">
        <f t="shared" si="7"/>
        <v>0</v>
      </c>
      <c r="O26" s="27" t="s">
        <v>80</v>
      </c>
      <c r="P26" s="29" t="s">
        <v>34</v>
      </c>
      <c r="Q26" s="30" t="s">
        <v>75</v>
      </c>
    </row>
    <row r="27" spans="1:17" ht="69.75" x14ac:dyDescent="0.25">
      <c r="A27" s="25" t="s">
        <v>81</v>
      </c>
      <c r="B27" s="26" t="s">
        <v>82</v>
      </c>
      <c r="C27" s="27"/>
      <c r="D27" s="27"/>
      <c r="E27" s="31">
        <v>0</v>
      </c>
      <c r="F27" s="31">
        <v>0</v>
      </c>
      <c r="G27" s="31">
        <v>0</v>
      </c>
      <c r="H27" s="31">
        <v>0</v>
      </c>
      <c r="I27" s="31">
        <v>0</v>
      </c>
      <c r="J27" s="31">
        <v>0</v>
      </c>
      <c r="K27" s="31">
        <v>0</v>
      </c>
      <c r="L27" s="31">
        <v>0</v>
      </c>
      <c r="M27" s="31">
        <v>0</v>
      </c>
      <c r="N27" s="31">
        <v>0</v>
      </c>
      <c r="O27" s="27"/>
      <c r="P27" s="29"/>
      <c r="Q27" s="30"/>
    </row>
    <row r="28" spans="1:17" ht="69.75" x14ac:dyDescent="0.25">
      <c r="A28" s="25" t="s">
        <v>83</v>
      </c>
      <c r="B28" s="26" t="s">
        <v>84</v>
      </c>
      <c r="C28" s="27" t="s">
        <v>85</v>
      </c>
      <c r="D28" s="27" t="s">
        <v>27</v>
      </c>
      <c r="E28" s="28">
        <f>SUM(E29:E29)+6289</f>
        <v>6289</v>
      </c>
      <c r="F28" s="28">
        <f>SUM(F29:F29)+6289</f>
        <v>6289</v>
      </c>
      <c r="G28" s="28">
        <f t="shared" ref="G28:N28" si="8">SUM(G29:G29)</f>
        <v>0</v>
      </c>
      <c r="H28" s="28">
        <f t="shared" si="8"/>
        <v>0</v>
      </c>
      <c r="I28" s="28">
        <f t="shared" si="8"/>
        <v>0</v>
      </c>
      <c r="J28" s="28">
        <f t="shared" si="8"/>
        <v>0</v>
      </c>
      <c r="K28" s="28">
        <f t="shared" si="8"/>
        <v>0</v>
      </c>
      <c r="L28" s="28">
        <f t="shared" si="8"/>
        <v>0</v>
      </c>
      <c r="M28" s="28">
        <f t="shared" si="8"/>
        <v>0</v>
      </c>
      <c r="N28" s="28">
        <f t="shared" si="8"/>
        <v>0</v>
      </c>
      <c r="O28" s="27" t="s">
        <v>86</v>
      </c>
      <c r="P28" s="29" t="s">
        <v>34</v>
      </c>
      <c r="Q28" s="30" t="s">
        <v>87</v>
      </c>
    </row>
    <row r="29" spans="1:17" ht="46.5" x14ac:dyDescent="0.25">
      <c r="A29" s="25" t="s">
        <v>88</v>
      </c>
      <c r="B29" s="26" t="s">
        <v>89</v>
      </c>
      <c r="C29" s="27"/>
      <c r="D29" s="27"/>
      <c r="E29" s="31">
        <v>0</v>
      </c>
      <c r="F29" s="31">
        <v>0</v>
      </c>
      <c r="G29" s="31">
        <v>0</v>
      </c>
      <c r="H29" s="31">
        <v>0</v>
      </c>
      <c r="I29" s="31">
        <v>0</v>
      </c>
      <c r="J29" s="31">
        <v>0</v>
      </c>
      <c r="K29" s="31">
        <v>0</v>
      </c>
      <c r="L29" s="31">
        <v>0</v>
      </c>
      <c r="M29" s="31">
        <v>0</v>
      </c>
      <c r="N29" s="31">
        <v>0</v>
      </c>
      <c r="O29" s="27"/>
      <c r="P29" s="29"/>
      <c r="Q29" s="30"/>
    </row>
    <row r="30" spans="1:17" ht="69.75" x14ac:dyDescent="0.25">
      <c r="A30" s="25" t="s">
        <v>90</v>
      </c>
      <c r="B30" s="26" t="s">
        <v>91</v>
      </c>
      <c r="C30" s="27" t="s">
        <v>92</v>
      </c>
      <c r="D30" s="27" t="s">
        <v>27</v>
      </c>
      <c r="E30" s="28">
        <f>SUM(E31:E31)+2300</f>
        <v>2300</v>
      </c>
      <c r="F30" s="28">
        <f>SUM(F31:F31)+2300</f>
        <v>2300</v>
      </c>
      <c r="G30" s="28">
        <f t="shared" ref="G30:N30" si="9">SUM(G31:G31)</f>
        <v>0</v>
      </c>
      <c r="H30" s="28">
        <f t="shared" si="9"/>
        <v>0</v>
      </c>
      <c r="I30" s="28">
        <f t="shared" si="9"/>
        <v>0</v>
      </c>
      <c r="J30" s="28">
        <f t="shared" si="9"/>
        <v>0</v>
      </c>
      <c r="K30" s="28">
        <f t="shared" si="9"/>
        <v>0</v>
      </c>
      <c r="L30" s="28">
        <f t="shared" si="9"/>
        <v>0</v>
      </c>
      <c r="M30" s="28">
        <f t="shared" si="9"/>
        <v>0</v>
      </c>
      <c r="N30" s="28">
        <f t="shared" si="9"/>
        <v>0</v>
      </c>
      <c r="O30" s="27" t="s">
        <v>86</v>
      </c>
      <c r="P30" s="29" t="s">
        <v>34</v>
      </c>
      <c r="Q30" s="30" t="s">
        <v>93</v>
      </c>
    </row>
    <row r="31" spans="1:17" ht="46.5" x14ac:dyDescent="0.25">
      <c r="A31" s="25" t="s">
        <v>94</v>
      </c>
      <c r="B31" s="26" t="s">
        <v>89</v>
      </c>
      <c r="C31" s="27"/>
      <c r="D31" s="27"/>
      <c r="E31" s="31">
        <v>0</v>
      </c>
      <c r="F31" s="31">
        <v>0</v>
      </c>
      <c r="G31" s="31">
        <v>0</v>
      </c>
      <c r="H31" s="31">
        <v>0</v>
      </c>
      <c r="I31" s="31">
        <v>0</v>
      </c>
      <c r="J31" s="31">
        <v>0</v>
      </c>
      <c r="K31" s="31">
        <v>0</v>
      </c>
      <c r="L31" s="31">
        <v>0</v>
      </c>
      <c r="M31" s="31">
        <v>0</v>
      </c>
      <c r="N31" s="31">
        <v>0</v>
      </c>
      <c r="O31" s="27"/>
      <c r="P31" s="29"/>
      <c r="Q31" s="30"/>
    </row>
    <row r="32" spans="1:17" ht="69.75" x14ac:dyDescent="0.25">
      <c r="A32" s="25" t="s">
        <v>95</v>
      </c>
      <c r="B32" s="26" t="s">
        <v>96</v>
      </c>
      <c r="C32" s="27" t="s">
        <v>97</v>
      </c>
      <c r="D32" s="27" t="s">
        <v>27</v>
      </c>
      <c r="E32" s="28">
        <f>SUM(E33:E33)+12080</f>
        <v>12080</v>
      </c>
      <c r="F32" s="28">
        <f>SUM(F33:F33)+12080</f>
        <v>12080</v>
      </c>
      <c r="G32" s="28">
        <f t="shared" ref="G32:N32" si="10">SUM(G33:G33)</f>
        <v>0</v>
      </c>
      <c r="H32" s="28">
        <f t="shared" si="10"/>
        <v>0</v>
      </c>
      <c r="I32" s="28">
        <f t="shared" si="10"/>
        <v>0</v>
      </c>
      <c r="J32" s="28">
        <f t="shared" si="10"/>
        <v>0</v>
      </c>
      <c r="K32" s="28">
        <f t="shared" si="10"/>
        <v>0</v>
      </c>
      <c r="L32" s="28">
        <f t="shared" si="10"/>
        <v>0</v>
      </c>
      <c r="M32" s="28">
        <f t="shared" si="10"/>
        <v>0</v>
      </c>
      <c r="N32" s="28">
        <f t="shared" si="10"/>
        <v>0</v>
      </c>
      <c r="O32" s="27" t="s">
        <v>86</v>
      </c>
      <c r="P32" s="29" t="s">
        <v>34</v>
      </c>
      <c r="Q32" s="30" t="s">
        <v>98</v>
      </c>
    </row>
    <row r="33" spans="1:17" ht="46.5" x14ac:dyDescent="0.25">
      <c r="A33" s="25" t="s">
        <v>99</v>
      </c>
      <c r="B33" s="26" t="s">
        <v>89</v>
      </c>
      <c r="C33" s="27"/>
      <c r="D33" s="27"/>
      <c r="E33" s="31">
        <v>0</v>
      </c>
      <c r="F33" s="31">
        <v>0</v>
      </c>
      <c r="G33" s="31">
        <v>0</v>
      </c>
      <c r="H33" s="31">
        <v>0</v>
      </c>
      <c r="I33" s="31">
        <v>0</v>
      </c>
      <c r="J33" s="31">
        <v>0</v>
      </c>
      <c r="K33" s="31">
        <v>0</v>
      </c>
      <c r="L33" s="31">
        <v>0</v>
      </c>
      <c r="M33" s="31">
        <v>0</v>
      </c>
      <c r="N33" s="31">
        <v>0</v>
      </c>
      <c r="O33" s="27"/>
      <c r="P33" s="29"/>
      <c r="Q33" s="30"/>
    </row>
    <row r="34" spans="1:17" ht="69.75" x14ac:dyDescent="0.25">
      <c r="A34" s="25" t="s">
        <v>100</v>
      </c>
      <c r="B34" s="26" t="s">
        <v>101</v>
      </c>
      <c r="C34" s="27" t="s">
        <v>102</v>
      </c>
      <c r="D34" s="27" t="s">
        <v>27</v>
      </c>
      <c r="E34" s="28">
        <f>SUM(E35:E35)+5300</f>
        <v>5300</v>
      </c>
      <c r="F34" s="28">
        <f>SUM(F35:F35)+5300</f>
        <v>5300</v>
      </c>
      <c r="G34" s="28">
        <f t="shared" ref="G34:N34" si="11">SUM(G35:G35)</f>
        <v>0</v>
      </c>
      <c r="H34" s="28">
        <f t="shared" si="11"/>
        <v>0</v>
      </c>
      <c r="I34" s="28">
        <f t="shared" si="11"/>
        <v>0</v>
      </c>
      <c r="J34" s="28">
        <f t="shared" si="11"/>
        <v>0</v>
      </c>
      <c r="K34" s="28">
        <f t="shared" si="11"/>
        <v>0</v>
      </c>
      <c r="L34" s="28">
        <f t="shared" si="11"/>
        <v>0</v>
      </c>
      <c r="M34" s="28">
        <f t="shared" si="11"/>
        <v>0</v>
      </c>
      <c r="N34" s="28">
        <f t="shared" si="11"/>
        <v>0</v>
      </c>
      <c r="O34" s="27" t="s">
        <v>86</v>
      </c>
      <c r="P34" s="29" t="s">
        <v>34</v>
      </c>
      <c r="Q34" s="30" t="s">
        <v>103</v>
      </c>
    </row>
    <row r="35" spans="1:17" ht="46.5" x14ac:dyDescent="0.25">
      <c r="A35" s="25" t="s">
        <v>104</v>
      </c>
      <c r="B35" s="26" t="s">
        <v>89</v>
      </c>
      <c r="C35" s="27"/>
      <c r="D35" s="27"/>
      <c r="E35" s="31">
        <v>0</v>
      </c>
      <c r="F35" s="31">
        <v>0</v>
      </c>
      <c r="G35" s="31">
        <v>0</v>
      </c>
      <c r="H35" s="31">
        <v>0</v>
      </c>
      <c r="I35" s="31">
        <v>0</v>
      </c>
      <c r="J35" s="31">
        <v>0</v>
      </c>
      <c r="K35" s="31">
        <v>0</v>
      </c>
      <c r="L35" s="31">
        <v>0</v>
      </c>
      <c r="M35" s="31">
        <v>0</v>
      </c>
      <c r="N35" s="31">
        <v>0</v>
      </c>
      <c r="O35" s="27"/>
      <c r="P35" s="29"/>
      <c r="Q35" s="30"/>
    </row>
    <row r="36" spans="1:17" ht="46.5" x14ac:dyDescent="0.25">
      <c r="A36" s="25" t="s">
        <v>105</v>
      </c>
      <c r="B36" s="26" t="s">
        <v>106</v>
      </c>
      <c r="C36" s="27" t="s">
        <v>23</v>
      </c>
      <c r="D36" s="27" t="s">
        <v>38</v>
      </c>
      <c r="E36" s="28">
        <f>SUM(E37:E37)+20000</f>
        <v>20000</v>
      </c>
      <c r="F36" s="28">
        <f>SUM(F37:F37)+20000</f>
        <v>20000</v>
      </c>
      <c r="G36" s="28">
        <f t="shared" ref="G36:N36" si="12">SUM(G37:G37)</f>
        <v>0</v>
      </c>
      <c r="H36" s="28">
        <f t="shared" si="12"/>
        <v>0</v>
      </c>
      <c r="I36" s="28">
        <f t="shared" si="12"/>
        <v>0</v>
      </c>
      <c r="J36" s="28">
        <f t="shared" si="12"/>
        <v>0</v>
      </c>
      <c r="K36" s="28">
        <f t="shared" si="12"/>
        <v>0</v>
      </c>
      <c r="L36" s="28">
        <f t="shared" si="12"/>
        <v>0</v>
      </c>
      <c r="M36" s="28">
        <f t="shared" si="12"/>
        <v>0</v>
      </c>
      <c r="N36" s="28">
        <f t="shared" si="12"/>
        <v>0</v>
      </c>
      <c r="O36" s="27" t="s">
        <v>107</v>
      </c>
      <c r="P36" s="29" t="s">
        <v>34</v>
      </c>
      <c r="Q36" s="30" t="s">
        <v>61</v>
      </c>
    </row>
    <row r="37" spans="1:17" ht="69.75" x14ac:dyDescent="0.25">
      <c r="A37" s="25" t="s">
        <v>108</v>
      </c>
      <c r="B37" s="26" t="s">
        <v>109</v>
      </c>
      <c r="C37" s="27"/>
      <c r="D37" s="27"/>
      <c r="E37" s="31">
        <v>0</v>
      </c>
      <c r="F37" s="31">
        <v>0</v>
      </c>
      <c r="G37" s="31">
        <v>0</v>
      </c>
      <c r="H37" s="31">
        <v>0</v>
      </c>
      <c r="I37" s="31">
        <v>0</v>
      </c>
      <c r="J37" s="31">
        <v>0</v>
      </c>
      <c r="K37" s="31">
        <v>0</v>
      </c>
      <c r="L37" s="31">
        <v>0</v>
      </c>
      <c r="M37" s="31">
        <v>0</v>
      </c>
      <c r="N37" s="31">
        <v>0</v>
      </c>
      <c r="O37" s="27"/>
      <c r="P37" s="29"/>
      <c r="Q37" s="30"/>
    </row>
    <row r="38" spans="1:17" ht="46.5" x14ac:dyDescent="0.25">
      <c r="A38" s="25" t="s">
        <v>110</v>
      </c>
      <c r="B38" s="26" t="s">
        <v>111</v>
      </c>
      <c r="C38" s="27" t="s">
        <v>23</v>
      </c>
      <c r="D38" s="27" t="s">
        <v>27</v>
      </c>
      <c r="E38" s="28">
        <f>SUM(E39:E39)+6000</f>
        <v>6000</v>
      </c>
      <c r="F38" s="28">
        <f>SUM(F39:F39)+6000</f>
        <v>6000</v>
      </c>
      <c r="G38" s="28">
        <f t="shared" ref="G38:N38" si="13">SUM(G39:G39)</f>
        <v>0</v>
      </c>
      <c r="H38" s="28">
        <f t="shared" si="13"/>
        <v>0</v>
      </c>
      <c r="I38" s="28">
        <f t="shared" si="13"/>
        <v>0</v>
      </c>
      <c r="J38" s="28">
        <f t="shared" si="13"/>
        <v>0</v>
      </c>
      <c r="K38" s="28">
        <f t="shared" si="13"/>
        <v>0</v>
      </c>
      <c r="L38" s="28">
        <f t="shared" si="13"/>
        <v>0</v>
      </c>
      <c r="M38" s="28">
        <f t="shared" si="13"/>
        <v>0</v>
      </c>
      <c r="N38" s="28">
        <f t="shared" si="13"/>
        <v>0</v>
      </c>
      <c r="O38" s="27" t="s">
        <v>112</v>
      </c>
      <c r="P38" s="29" t="s">
        <v>34</v>
      </c>
      <c r="Q38" s="30" t="s">
        <v>113</v>
      </c>
    </row>
    <row r="39" spans="1:17" ht="46.5" x14ac:dyDescent="0.25">
      <c r="A39" s="25" t="s">
        <v>114</v>
      </c>
      <c r="B39" s="26" t="s">
        <v>115</v>
      </c>
      <c r="C39" s="27"/>
      <c r="D39" s="27"/>
      <c r="E39" s="31">
        <v>0</v>
      </c>
      <c r="F39" s="31">
        <v>0</v>
      </c>
      <c r="G39" s="31">
        <v>0</v>
      </c>
      <c r="H39" s="31">
        <v>0</v>
      </c>
      <c r="I39" s="31">
        <v>0</v>
      </c>
      <c r="J39" s="31">
        <v>0</v>
      </c>
      <c r="K39" s="31">
        <v>0</v>
      </c>
      <c r="L39" s="31">
        <v>0</v>
      </c>
      <c r="M39" s="31">
        <v>0</v>
      </c>
      <c r="N39" s="31">
        <v>0</v>
      </c>
      <c r="O39" s="27"/>
      <c r="P39" s="29"/>
      <c r="Q39" s="30"/>
    </row>
    <row r="40" spans="1:17" ht="90" x14ac:dyDescent="0.25">
      <c r="A40" s="19" t="s">
        <v>116</v>
      </c>
      <c r="B40" s="20" t="s">
        <v>117</v>
      </c>
      <c r="C40" s="21" t="s">
        <v>23</v>
      </c>
      <c r="D40" s="21" t="s">
        <v>27</v>
      </c>
      <c r="E40" s="22">
        <f t="shared" ref="E40:N40" si="14">E41+E43</f>
        <v>8000</v>
      </c>
      <c r="F40" s="22">
        <f t="shared" si="14"/>
        <v>8000</v>
      </c>
      <c r="G40" s="22">
        <f t="shared" si="14"/>
        <v>0</v>
      </c>
      <c r="H40" s="22">
        <f t="shared" si="14"/>
        <v>0</v>
      </c>
      <c r="I40" s="22">
        <f t="shared" si="14"/>
        <v>0</v>
      </c>
      <c r="J40" s="22">
        <f t="shared" si="14"/>
        <v>0</v>
      </c>
      <c r="K40" s="22">
        <f t="shared" si="14"/>
        <v>0</v>
      </c>
      <c r="L40" s="22">
        <f t="shared" si="14"/>
        <v>0</v>
      </c>
      <c r="M40" s="22">
        <f t="shared" si="14"/>
        <v>0</v>
      </c>
      <c r="N40" s="22">
        <f t="shared" si="14"/>
        <v>0</v>
      </c>
      <c r="O40" s="21" t="s">
        <v>118</v>
      </c>
      <c r="P40" s="23" t="s">
        <v>34</v>
      </c>
      <c r="Q40" s="24" t="s">
        <v>119</v>
      </c>
    </row>
    <row r="41" spans="1:17" ht="162.75" x14ac:dyDescent="0.25">
      <c r="A41" s="25" t="s">
        <v>120</v>
      </c>
      <c r="B41" s="26" t="s">
        <v>121</v>
      </c>
      <c r="C41" s="27" t="s">
        <v>23</v>
      </c>
      <c r="D41" s="27" t="s">
        <v>27</v>
      </c>
      <c r="E41" s="28">
        <f>SUM(E42:E42)+3000</f>
        <v>3000</v>
      </c>
      <c r="F41" s="28">
        <f>SUM(F42:F42)+3000</f>
        <v>3000</v>
      </c>
      <c r="G41" s="28">
        <f t="shared" ref="G41:N41" si="15">SUM(G42:G42)</f>
        <v>0</v>
      </c>
      <c r="H41" s="28">
        <f t="shared" si="15"/>
        <v>0</v>
      </c>
      <c r="I41" s="28">
        <f t="shared" si="15"/>
        <v>0</v>
      </c>
      <c r="J41" s="28">
        <f t="shared" si="15"/>
        <v>0</v>
      </c>
      <c r="K41" s="28">
        <f t="shared" si="15"/>
        <v>0</v>
      </c>
      <c r="L41" s="28">
        <f t="shared" si="15"/>
        <v>0</v>
      </c>
      <c r="M41" s="28">
        <f t="shared" si="15"/>
        <v>0</v>
      </c>
      <c r="N41" s="28">
        <f t="shared" si="15"/>
        <v>0</v>
      </c>
      <c r="O41" s="27" t="s">
        <v>122</v>
      </c>
      <c r="P41" s="29" t="s">
        <v>34</v>
      </c>
      <c r="Q41" s="30" t="s">
        <v>59</v>
      </c>
    </row>
    <row r="42" spans="1:17" ht="93" x14ac:dyDescent="0.25">
      <c r="A42" s="25" t="s">
        <v>123</v>
      </c>
      <c r="B42" s="26" t="s">
        <v>124</v>
      </c>
      <c r="C42" s="27"/>
      <c r="D42" s="27"/>
      <c r="E42" s="31">
        <v>0</v>
      </c>
      <c r="F42" s="31">
        <v>0</v>
      </c>
      <c r="G42" s="31">
        <v>0</v>
      </c>
      <c r="H42" s="31">
        <v>0</v>
      </c>
      <c r="I42" s="31">
        <v>0</v>
      </c>
      <c r="J42" s="31">
        <v>0</v>
      </c>
      <c r="K42" s="31">
        <v>0</v>
      </c>
      <c r="L42" s="31">
        <v>0</v>
      </c>
      <c r="M42" s="31">
        <v>0</v>
      </c>
      <c r="N42" s="31">
        <v>0</v>
      </c>
      <c r="O42" s="27"/>
      <c r="P42" s="29"/>
      <c r="Q42" s="30"/>
    </row>
    <row r="43" spans="1:17" ht="46.5" x14ac:dyDescent="0.25">
      <c r="A43" s="25" t="s">
        <v>125</v>
      </c>
      <c r="B43" s="26" t="s">
        <v>126</v>
      </c>
      <c r="C43" s="27" t="s">
        <v>23</v>
      </c>
      <c r="D43" s="27" t="s">
        <v>27</v>
      </c>
      <c r="E43" s="28">
        <f>SUM(E44:E44)+5000</f>
        <v>5000</v>
      </c>
      <c r="F43" s="28">
        <f>SUM(F44:F44)+5000</f>
        <v>5000</v>
      </c>
      <c r="G43" s="28">
        <f t="shared" ref="G43:N43" si="16">SUM(G44:G44)</f>
        <v>0</v>
      </c>
      <c r="H43" s="28">
        <f t="shared" si="16"/>
        <v>0</v>
      </c>
      <c r="I43" s="28">
        <f t="shared" si="16"/>
        <v>0</v>
      </c>
      <c r="J43" s="28">
        <f t="shared" si="16"/>
        <v>0</v>
      </c>
      <c r="K43" s="28">
        <f t="shared" si="16"/>
        <v>0</v>
      </c>
      <c r="L43" s="28">
        <f t="shared" si="16"/>
        <v>0</v>
      </c>
      <c r="M43" s="28">
        <f t="shared" si="16"/>
        <v>0</v>
      </c>
      <c r="N43" s="28">
        <f t="shared" si="16"/>
        <v>0</v>
      </c>
      <c r="O43" s="27" t="s">
        <v>127</v>
      </c>
      <c r="P43" s="29" t="s">
        <v>34</v>
      </c>
      <c r="Q43" s="30" t="s">
        <v>59</v>
      </c>
    </row>
    <row r="44" spans="1:17" ht="69.75" x14ac:dyDescent="0.25">
      <c r="A44" s="25" t="s">
        <v>128</v>
      </c>
      <c r="B44" s="26" t="s">
        <v>129</v>
      </c>
      <c r="C44" s="27"/>
      <c r="D44" s="27"/>
      <c r="E44" s="31">
        <v>0</v>
      </c>
      <c r="F44" s="31">
        <v>0</v>
      </c>
      <c r="G44" s="31">
        <v>0</v>
      </c>
      <c r="H44" s="31">
        <v>0</v>
      </c>
      <c r="I44" s="31">
        <v>0</v>
      </c>
      <c r="J44" s="31">
        <v>0</v>
      </c>
      <c r="K44" s="31">
        <v>0</v>
      </c>
      <c r="L44" s="31">
        <v>0</v>
      </c>
      <c r="M44" s="31">
        <v>0</v>
      </c>
      <c r="N44" s="31">
        <v>0</v>
      </c>
      <c r="O44" s="27"/>
      <c r="P44" s="29"/>
      <c r="Q44" s="30"/>
    </row>
    <row r="45" spans="1:17" ht="67.5" x14ac:dyDescent="0.25">
      <c r="A45" s="13" t="s">
        <v>130</v>
      </c>
      <c r="B45" s="14" t="s">
        <v>131</v>
      </c>
      <c r="C45" s="15" t="s">
        <v>23</v>
      </c>
      <c r="D45" s="15" t="s">
        <v>27</v>
      </c>
      <c r="E45" s="16">
        <f t="shared" ref="E45:N46" si="17">SUM(E46:E46)</f>
        <v>8500</v>
      </c>
      <c r="F45" s="16">
        <f t="shared" si="17"/>
        <v>8500</v>
      </c>
      <c r="G45" s="16">
        <f t="shared" si="17"/>
        <v>0</v>
      </c>
      <c r="H45" s="16">
        <f t="shared" si="17"/>
        <v>0</v>
      </c>
      <c r="I45" s="16">
        <f t="shared" si="17"/>
        <v>0</v>
      </c>
      <c r="J45" s="16">
        <f t="shared" si="17"/>
        <v>0</v>
      </c>
      <c r="K45" s="16">
        <f t="shared" si="17"/>
        <v>0</v>
      </c>
      <c r="L45" s="16">
        <f t="shared" si="17"/>
        <v>0</v>
      </c>
      <c r="M45" s="16">
        <f t="shared" si="17"/>
        <v>0</v>
      </c>
      <c r="N45" s="16">
        <f t="shared" si="17"/>
        <v>0</v>
      </c>
      <c r="O45" s="15" t="s">
        <v>132</v>
      </c>
      <c r="P45" s="17" t="s">
        <v>29</v>
      </c>
      <c r="Q45" s="18" t="s">
        <v>133</v>
      </c>
    </row>
    <row r="46" spans="1:17" ht="67.5" x14ac:dyDescent="0.25">
      <c r="A46" s="19" t="s">
        <v>134</v>
      </c>
      <c r="B46" s="20" t="s">
        <v>135</v>
      </c>
      <c r="C46" s="21" t="s">
        <v>23</v>
      </c>
      <c r="D46" s="21" t="s">
        <v>27</v>
      </c>
      <c r="E46" s="22">
        <f t="shared" si="17"/>
        <v>8500</v>
      </c>
      <c r="F46" s="22">
        <f t="shared" si="17"/>
        <v>8500</v>
      </c>
      <c r="G46" s="22">
        <f t="shared" si="17"/>
        <v>0</v>
      </c>
      <c r="H46" s="22">
        <f t="shared" si="17"/>
        <v>0</v>
      </c>
      <c r="I46" s="22">
        <f t="shared" si="17"/>
        <v>0</v>
      </c>
      <c r="J46" s="22">
        <f t="shared" si="17"/>
        <v>0</v>
      </c>
      <c r="K46" s="22">
        <f t="shared" si="17"/>
        <v>0</v>
      </c>
      <c r="L46" s="22">
        <f t="shared" si="17"/>
        <v>0</v>
      </c>
      <c r="M46" s="22">
        <f t="shared" si="17"/>
        <v>0</v>
      </c>
      <c r="N46" s="22">
        <f t="shared" si="17"/>
        <v>0</v>
      </c>
      <c r="O46" s="21" t="s">
        <v>136</v>
      </c>
      <c r="P46" s="23" t="s">
        <v>34</v>
      </c>
      <c r="Q46" s="24" t="s">
        <v>75</v>
      </c>
    </row>
    <row r="47" spans="1:17" ht="93" x14ac:dyDescent="0.25">
      <c r="A47" s="25" t="s">
        <v>137</v>
      </c>
      <c r="B47" s="26" t="s">
        <v>138</v>
      </c>
      <c r="C47" s="27" t="s">
        <v>23</v>
      </c>
      <c r="D47" s="27" t="s">
        <v>139</v>
      </c>
      <c r="E47" s="28">
        <f>SUM(E48:E48)+8500</f>
        <v>8500</v>
      </c>
      <c r="F47" s="28">
        <f>SUM(F48:F48)+8500</f>
        <v>8500</v>
      </c>
      <c r="G47" s="28">
        <f t="shared" ref="G47:N47" si="18">SUM(G48:G48)</f>
        <v>0</v>
      </c>
      <c r="H47" s="28">
        <f t="shared" si="18"/>
        <v>0</v>
      </c>
      <c r="I47" s="28">
        <f t="shared" si="18"/>
        <v>0</v>
      </c>
      <c r="J47" s="28">
        <f t="shared" si="18"/>
        <v>0</v>
      </c>
      <c r="K47" s="28">
        <f t="shared" si="18"/>
        <v>0</v>
      </c>
      <c r="L47" s="28">
        <f t="shared" si="18"/>
        <v>0</v>
      </c>
      <c r="M47" s="28">
        <f t="shared" si="18"/>
        <v>0</v>
      </c>
      <c r="N47" s="28">
        <f t="shared" si="18"/>
        <v>0</v>
      </c>
      <c r="O47" s="27" t="s">
        <v>140</v>
      </c>
      <c r="P47" s="29" t="s">
        <v>34</v>
      </c>
      <c r="Q47" s="30" t="s">
        <v>75</v>
      </c>
    </row>
    <row r="48" spans="1:17" ht="69.75" x14ac:dyDescent="0.25">
      <c r="A48" s="25" t="s">
        <v>141</v>
      </c>
      <c r="B48" s="26" t="s">
        <v>142</v>
      </c>
      <c r="C48" s="27"/>
      <c r="D48" s="27"/>
      <c r="E48" s="31">
        <v>0</v>
      </c>
      <c r="F48" s="31">
        <v>0</v>
      </c>
      <c r="G48" s="31">
        <v>0</v>
      </c>
      <c r="H48" s="31">
        <v>0</v>
      </c>
      <c r="I48" s="31">
        <v>0</v>
      </c>
      <c r="J48" s="31">
        <v>0</v>
      </c>
      <c r="K48" s="31">
        <v>0</v>
      </c>
      <c r="L48" s="31">
        <v>0</v>
      </c>
      <c r="M48" s="31">
        <v>0</v>
      </c>
      <c r="N48" s="31">
        <v>0</v>
      </c>
      <c r="O48" s="27"/>
      <c r="P48" s="29"/>
      <c r="Q48" s="30"/>
    </row>
    <row r="49" spans="1:17" ht="45" x14ac:dyDescent="0.25">
      <c r="A49" s="13" t="s">
        <v>143</v>
      </c>
      <c r="B49" s="14" t="s">
        <v>144</v>
      </c>
      <c r="C49" s="15" t="s">
        <v>23</v>
      </c>
      <c r="D49" s="15" t="s">
        <v>27</v>
      </c>
      <c r="E49" s="16">
        <f t="shared" ref="E49:N50" si="19">SUM(E50:E50)</f>
        <v>40000</v>
      </c>
      <c r="F49" s="16">
        <f t="shared" si="19"/>
        <v>40000</v>
      </c>
      <c r="G49" s="16">
        <f t="shared" si="19"/>
        <v>0</v>
      </c>
      <c r="H49" s="16">
        <f t="shared" si="19"/>
        <v>0</v>
      </c>
      <c r="I49" s="16">
        <f t="shared" si="19"/>
        <v>0</v>
      </c>
      <c r="J49" s="16">
        <f t="shared" si="19"/>
        <v>0</v>
      </c>
      <c r="K49" s="16">
        <f t="shared" si="19"/>
        <v>0</v>
      </c>
      <c r="L49" s="16">
        <f t="shared" si="19"/>
        <v>0</v>
      </c>
      <c r="M49" s="16">
        <f t="shared" si="19"/>
        <v>0</v>
      </c>
      <c r="N49" s="16">
        <f t="shared" si="19"/>
        <v>0</v>
      </c>
      <c r="O49" s="15" t="s">
        <v>145</v>
      </c>
      <c r="P49" s="17" t="s">
        <v>29</v>
      </c>
      <c r="Q49" s="18" t="s">
        <v>146</v>
      </c>
    </row>
    <row r="50" spans="1:17" ht="67.5" x14ac:dyDescent="0.25">
      <c r="A50" s="19" t="s">
        <v>147</v>
      </c>
      <c r="B50" s="20" t="s">
        <v>148</v>
      </c>
      <c r="C50" s="21" t="s">
        <v>23</v>
      </c>
      <c r="D50" s="21" t="s">
        <v>27</v>
      </c>
      <c r="E50" s="22">
        <f t="shared" si="19"/>
        <v>40000</v>
      </c>
      <c r="F50" s="22">
        <f t="shared" si="19"/>
        <v>40000</v>
      </c>
      <c r="G50" s="22">
        <f t="shared" si="19"/>
        <v>0</v>
      </c>
      <c r="H50" s="22">
        <f t="shared" si="19"/>
        <v>0</v>
      </c>
      <c r="I50" s="22">
        <f t="shared" si="19"/>
        <v>0</v>
      </c>
      <c r="J50" s="22">
        <f t="shared" si="19"/>
        <v>0</v>
      </c>
      <c r="K50" s="22">
        <f t="shared" si="19"/>
        <v>0</v>
      </c>
      <c r="L50" s="22">
        <f t="shared" si="19"/>
        <v>0</v>
      </c>
      <c r="M50" s="22">
        <f t="shared" si="19"/>
        <v>0</v>
      </c>
      <c r="N50" s="22">
        <f t="shared" si="19"/>
        <v>0</v>
      </c>
      <c r="O50" s="21" t="s">
        <v>136</v>
      </c>
      <c r="P50" s="23" t="s">
        <v>34</v>
      </c>
      <c r="Q50" s="24" t="s">
        <v>149</v>
      </c>
    </row>
    <row r="51" spans="1:17" ht="46.5" x14ac:dyDescent="0.25">
      <c r="A51" s="25" t="s">
        <v>150</v>
      </c>
      <c r="B51" s="26" t="s">
        <v>151</v>
      </c>
      <c r="C51" s="27" t="s">
        <v>23</v>
      </c>
      <c r="D51" s="27" t="s">
        <v>27</v>
      </c>
      <c r="E51" s="28">
        <f>SUM(E52:E52)+40000</f>
        <v>40000</v>
      </c>
      <c r="F51" s="28">
        <f>SUM(F52:F52)+40000</f>
        <v>40000</v>
      </c>
      <c r="G51" s="28">
        <f t="shared" ref="G51:N51" si="20">SUM(G52:G52)</f>
        <v>0</v>
      </c>
      <c r="H51" s="28">
        <f t="shared" si="20"/>
        <v>0</v>
      </c>
      <c r="I51" s="28">
        <f t="shared" si="20"/>
        <v>0</v>
      </c>
      <c r="J51" s="28">
        <f t="shared" si="20"/>
        <v>0</v>
      </c>
      <c r="K51" s="28">
        <f t="shared" si="20"/>
        <v>0</v>
      </c>
      <c r="L51" s="28">
        <f t="shared" si="20"/>
        <v>0</v>
      </c>
      <c r="M51" s="28">
        <f t="shared" si="20"/>
        <v>0</v>
      </c>
      <c r="N51" s="28">
        <f t="shared" si="20"/>
        <v>0</v>
      </c>
      <c r="O51" s="27" t="s">
        <v>152</v>
      </c>
      <c r="P51" s="29" t="s">
        <v>34</v>
      </c>
      <c r="Q51" s="30" t="s">
        <v>57</v>
      </c>
    </row>
    <row r="52" spans="1:17" ht="69.75" x14ac:dyDescent="0.25">
      <c r="A52" s="25" t="s">
        <v>153</v>
      </c>
      <c r="B52" s="26" t="s">
        <v>154</v>
      </c>
      <c r="C52" s="27"/>
      <c r="D52" s="27"/>
      <c r="E52" s="31">
        <v>0</v>
      </c>
      <c r="F52" s="31">
        <v>0</v>
      </c>
      <c r="G52" s="31">
        <v>0</v>
      </c>
      <c r="H52" s="31">
        <v>0</v>
      </c>
      <c r="I52" s="31">
        <v>0</v>
      </c>
      <c r="J52" s="31">
        <v>0</v>
      </c>
      <c r="K52" s="31">
        <v>0</v>
      </c>
      <c r="L52" s="31">
        <v>0</v>
      </c>
      <c r="M52" s="31">
        <v>0</v>
      </c>
      <c r="N52" s="31">
        <v>0</v>
      </c>
      <c r="O52" s="27"/>
      <c r="P52" s="29"/>
      <c r="Q52" s="30"/>
    </row>
    <row r="53" spans="1:17" ht="67.5" x14ac:dyDescent="0.25">
      <c r="A53" s="13" t="s">
        <v>155</v>
      </c>
      <c r="B53" s="14" t="s">
        <v>156</v>
      </c>
      <c r="C53" s="15" t="s">
        <v>157</v>
      </c>
      <c r="D53" s="15" t="s">
        <v>158</v>
      </c>
      <c r="E53" s="16">
        <f t="shared" ref="E53:N53" si="21">E54+E60</f>
        <v>63674</v>
      </c>
      <c r="F53" s="16">
        <f t="shared" si="21"/>
        <v>63674</v>
      </c>
      <c r="G53" s="16">
        <f t="shared" si="21"/>
        <v>0</v>
      </c>
      <c r="H53" s="16">
        <f t="shared" si="21"/>
        <v>0</v>
      </c>
      <c r="I53" s="16">
        <f t="shared" si="21"/>
        <v>0</v>
      </c>
      <c r="J53" s="16">
        <f t="shared" si="21"/>
        <v>0</v>
      </c>
      <c r="K53" s="16">
        <f t="shared" si="21"/>
        <v>0</v>
      </c>
      <c r="L53" s="16">
        <f t="shared" si="21"/>
        <v>0</v>
      </c>
      <c r="M53" s="16">
        <f t="shared" si="21"/>
        <v>0</v>
      </c>
      <c r="N53" s="16">
        <f t="shared" si="21"/>
        <v>0</v>
      </c>
      <c r="O53" s="15" t="s">
        <v>159</v>
      </c>
      <c r="P53" s="17" t="s">
        <v>29</v>
      </c>
      <c r="Q53" s="18" t="s">
        <v>160</v>
      </c>
    </row>
    <row r="54" spans="1:17" ht="45" x14ac:dyDescent="0.25">
      <c r="A54" s="19" t="s">
        <v>161</v>
      </c>
      <c r="B54" s="20" t="s">
        <v>162</v>
      </c>
      <c r="C54" s="21" t="s">
        <v>157</v>
      </c>
      <c r="D54" s="21" t="s">
        <v>158</v>
      </c>
      <c r="E54" s="22">
        <f t="shared" ref="E54:N54" si="22">E55+E58</f>
        <v>33230</v>
      </c>
      <c r="F54" s="22">
        <f t="shared" si="22"/>
        <v>33230</v>
      </c>
      <c r="G54" s="22">
        <f t="shared" si="22"/>
        <v>0</v>
      </c>
      <c r="H54" s="22">
        <f t="shared" si="22"/>
        <v>0</v>
      </c>
      <c r="I54" s="22">
        <f t="shared" si="22"/>
        <v>0</v>
      </c>
      <c r="J54" s="22">
        <f t="shared" si="22"/>
        <v>0</v>
      </c>
      <c r="K54" s="22">
        <f t="shared" si="22"/>
        <v>0</v>
      </c>
      <c r="L54" s="22">
        <f t="shared" si="22"/>
        <v>0</v>
      </c>
      <c r="M54" s="22">
        <f t="shared" si="22"/>
        <v>0</v>
      </c>
      <c r="N54" s="22">
        <f t="shared" si="22"/>
        <v>0</v>
      </c>
      <c r="O54" s="21" t="s">
        <v>136</v>
      </c>
      <c r="P54" s="23" t="s">
        <v>34</v>
      </c>
      <c r="Q54" s="24" t="s">
        <v>75</v>
      </c>
    </row>
    <row r="55" spans="1:17" ht="93" x14ac:dyDescent="0.25">
      <c r="A55" s="25" t="s">
        <v>163</v>
      </c>
      <c r="B55" s="26" t="s">
        <v>164</v>
      </c>
      <c r="C55" s="27" t="s">
        <v>157</v>
      </c>
      <c r="D55" s="27" t="s">
        <v>158</v>
      </c>
      <c r="E55" s="28">
        <f>SUM(E56:E57)+23230</f>
        <v>23230</v>
      </c>
      <c r="F55" s="28">
        <f>SUM(F56:F57)+23230</f>
        <v>23230</v>
      </c>
      <c r="G55" s="28">
        <f t="shared" ref="G55:N55" si="23">SUM(G56:G57)</f>
        <v>0</v>
      </c>
      <c r="H55" s="28">
        <f t="shared" si="23"/>
        <v>0</v>
      </c>
      <c r="I55" s="28">
        <f t="shared" si="23"/>
        <v>0</v>
      </c>
      <c r="J55" s="28">
        <f t="shared" si="23"/>
        <v>0</v>
      </c>
      <c r="K55" s="28">
        <f t="shared" si="23"/>
        <v>0</v>
      </c>
      <c r="L55" s="28">
        <f t="shared" si="23"/>
        <v>0</v>
      </c>
      <c r="M55" s="28">
        <f t="shared" si="23"/>
        <v>0</v>
      </c>
      <c r="N55" s="28">
        <f t="shared" si="23"/>
        <v>0</v>
      </c>
      <c r="O55" s="27" t="s">
        <v>165</v>
      </c>
      <c r="P55" s="29" t="s">
        <v>34</v>
      </c>
      <c r="Q55" s="30" t="s">
        <v>166</v>
      </c>
    </row>
    <row r="56" spans="1:17" x14ac:dyDescent="0.25">
      <c r="A56" s="32"/>
      <c r="B56" s="33"/>
      <c r="C56" s="34"/>
      <c r="D56" s="34"/>
      <c r="E56" s="35">
        <v>0</v>
      </c>
      <c r="F56" s="35">
        <v>0</v>
      </c>
      <c r="G56" s="35">
        <v>0</v>
      </c>
      <c r="H56" s="35">
        <v>0</v>
      </c>
      <c r="I56" s="35">
        <v>0</v>
      </c>
      <c r="J56" s="35">
        <v>0</v>
      </c>
      <c r="K56" s="35">
        <v>0</v>
      </c>
      <c r="L56" s="35">
        <v>0</v>
      </c>
      <c r="M56" s="35">
        <v>0</v>
      </c>
      <c r="N56" s="35">
        <v>0</v>
      </c>
      <c r="O56" s="34" t="s">
        <v>167</v>
      </c>
      <c r="P56" s="36" t="s">
        <v>34</v>
      </c>
      <c r="Q56" s="37" t="s">
        <v>168</v>
      </c>
    </row>
    <row r="57" spans="1:17" ht="139.5" x14ac:dyDescent="0.25">
      <c r="A57" s="25" t="s">
        <v>169</v>
      </c>
      <c r="B57" s="26" t="s">
        <v>170</v>
      </c>
      <c r="C57" s="27"/>
      <c r="D57" s="27"/>
      <c r="E57" s="31">
        <v>0</v>
      </c>
      <c r="F57" s="31">
        <v>0</v>
      </c>
      <c r="G57" s="31">
        <v>0</v>
      </c>
      <c r="H57" s="31">
        <v>0</v>
      </c>
      <c r="I57" s="31">
        <v>0</v>
      </c>
      <c r="J57" s="31">
        <v>0</v>
      </c>
      <c r="K57" s="31">
        <v>0</v>
      </c>
      <c r="L57" s="31">
        <v>0</v>
      </c>
      <c r="M57" s="31">
        <v>0</v>
      </c>
      <c r="N57" s="31">
        <v>0</v>
      </c>
      <c r="O57" s="27"/>
      <c r="P57" s="29"/>
      <c r="Q57" s="30"/>
    </row>
    <row r="58" spans="1:17" ht="46.5" x14ac:dyDescent="0.25">
      <c r="A58" s="25" t="s">
        <v>171</v>
      </c>
      <c r="B58" s="26" t="s">
        <v>172</v>
      </c>
      <c r="C58" s="27" t="s">
        <v>157</v>
      </c>
      <c r="D58" s="27" t="s">
        <v>158</v>
      </c>
      <c r="E58" s="28">
        <f>SUM(E59:E59)+10000</f>
        <v>10000</v>
      </c>
      <c r="F58" s="28">
        <f>SUM(F59:F59)+10000</f>
        <v>10000</v>
      </c>
      <c r="G58" s="28">
        <f t="shared" ref="G58:N58" si="24">SUM(G59:G59)</f>
        <v>0</v>
      </c>
      <c r="H58" s="28">
        <f t="shared" si="24"/>
        <v>0</v>
      </c>
      <c r="I58" s="28">
        <f t="shared" si="24"/>
        <v>0</v>
      </c>
      <c r="J58" s="28">
        <f t="shared" si="24"/>
        <v>0</v>
      </c>
      <c r="K58" s="28">
        <f t="shared" si="24"/>
        <v>0</v>
      </c>
      <c r="L58" s="28">
        <f t="shared" si="24"/>
        <v>0</v>
      </c>
      <c r="M58" s="28">
        <f t="shared" si="24"/>
        <v>0</v>
      </c>
      <c r="N58" s="28">
        <f t="shared" si="24"/>
        <v>0</v>
      </c>
      <c r="O58" s="27" t="s">
        <v>173</v>
      </c>
      <c r="P58" s="29" t="s">
        <v>34</v>
      </c>
      <c r="Q58" s="30" t="s">
        <v>93</v>
      </c>
    </row>
    <row r="59" spans="1:17" ht="93" x14ac:dyDescent="0.25">
      <c r="A59" s="25" t="s">
        <v>174</v>
      </c>
      <c r="B59" s="26" t="s">
        <v>175</v>
      </c>
      <c r="C59" s="27"/>
      <c r="D59" s="27"/>
      <c r="E59" s="31">
        <v>0</v>
      </c>
      <c r="F59" s="31">
        <v>0</v>
      </c>
      <c r="G59" s="31">
        <v>0</v>
      </c>
      <c r="H59" s="31">
        <v>0</v>
      </c>
      <c r="I59" s="31">
        <v>0</v>
      </c>
      <c r="J59" s="31">
        <v>0</v>
      </c>
      <c r="K59" s="31">
        <v>0</v>
      </c>
      <c r="L59" s="31">
        <v>0</v>
      </c>
      <c r="M59" s="31">
        <v>0</v>
      </c>
      <c r="N59" s="31">
        <v>0</v>
      </c>
      <c r="O59" s="27"/>
      <c r="P59" s="29"/>
      <c r="Q59" s="30"/>
    </row>
    <row r="60" spans="1:17" ht="67.5" x14ac:dyDescent="0.25">
      <c r="A60" s="19" t="s">
        <v>176</v>
      </c>
      <c r="B60" s="20" t="s">
        <v>177</v>
      </c>
      <c r="C60" s="21" t="s">
        <v>157</v>
      </c>
      <c r="D60" s="21" t="s">
        <v>158</v>
      </c>
      <c r="E60" s="22">
        <f t="shared" ref="E60:N60" si="25">SUM(E61:E61)</f>
        <v>30444</v>
      </c>
      <c r="F60" s="22">
        <f t="shared" si="25"/>
        <v>30444</v>
      </c>
      <c r="G60" s="22">
        <f t="shared" si="25"/>
        <v>0</v>
      </c>
      <c r="H60" s="22">
        <f t="shared" si="25"/>
        <v>0</v>
      </c>
      <c r="I60" s="22">
        <f t="shared" si="25"/>
        <v>0</v>
      </c>
      <c r="J60" s="22">
        <f t="shared" si="25"/>
        <v>0</v>
      </c>
      <c r="K60" s="22">
        <f t="shared" si="25"/>
        <v>0</v>
      </c>
      <c r="L60" s="22">
        <f t="shared" si="25"/>
        <v>0</v>
      </c>
      <c r="M60" s="22">
        <f t="shared" si="25"/>
        <v>0</v>
      </c>
      <c r="N60" s="22">
        <f t="shared" si="25"/>
        <v>0</v>
      </c>
      <c r="O60" s="21" t="s">
        <v>178</v>
      </c>
      <c r="P60" s="23" t="s">
        <v>34</v>
      </c>
      <c r="Q60" s="24" t="s">
        <v>35</v>
      </c>
    </row>
    <row r="61" spans="1:17" ht="116.25" x14ac:dyDescent="0.25">
      <c r="A61" s="25" t="s">
        <v>179</v>
      </c>
      <c r="B61" s="26" t="s">
        <v>180</v>
      </c>
      <c r="C61" s="27" t="s">
        <v>181</v>
      </c>
      <c r="D61" s="27" t="s">
        <v>158</v>
      </c>
      <c r="E61" s="28">
        <f>SUM(E62:E65)+30444</f>
        <v>30444</v>
      </c>
      <c r="F61" s="28">
        <f>SUM(F62:F65)+30444</f>
        <v>30444</v>
      </c>
      <c r="G61" s="28">
        <f t="shared" ref="G61:N61" si="26">SUM(G62:G65)</f>
        <v>0</v>
      </c>
      <c r="H61" s="28">
        <f t="shared" si="26"/>
        <v>0</v>
      </c>
      <c r="I61" s="28">
        <f t="shared" si="26"/>
        <v>0</v>
      </c>
      <c r="J61" s="28">
        <f t="shared" si="26"/>
        <v>0</v>
      </c>
      <c r="K61" s="28">
        <f t="shared" si="26"/>
        <v>0</v>
      </c>
      <c r="L61" s="28">
        <f t="shared" si="26"/>
        <v>0</v>
      </c>
      <c r="M61" s="28">
        <f t="shared" si="26"/>
        <v>0</v>
      </c>
      <c r="N61" s="28">
        <f t="shared" si="26"/>
        <v>0</v>
      </c>
      <c r="O61" s="27" t="s">
        <v>182</v>
      </c>
      <c r="P61" s="29" t="s">
        <v>34</v>
      </c>
      <c r="Q61" s="30" t="s">
        <v>75</v>
      </c>
    </row>
    <row r="62" spans="1:17" ht="46.5" x14ac:dyDescent="0.25">
      <c r="A62" s="32"/>
      <c r="B62" s="33"/>
      <c r="C62" s="34"/>
      <c r="D62" s="34"/>
      <c r="E62" s="35">
        <v>0</v>
      </c>
      <c r="F62" s="35">
        <v>0</v>
      </c>
      <c r="G62" s="35">
        <v>0</v>
      </c>
      <c r="H62" s="35">
        <v>0</v>
      </c>
      <c r="I62" s="35">
        <v>0</v>
      </c>
      <c r="J62" s="35">
        <v>0</v>
      </c>
      <c r="K62" s="35">
        <v>0</v>
      </c>
      <c r="L62" s="35">
        <v>0</v>
      </c>
      <c r="M62" s="35">
        <v>0</v>
      </c>
      <c r="N62" s="35">
        <v>0</v>
      </c>
      <c r="O62" s="34" t="s">
        <v>183</v>
      </c>
      <c r="P62" s="36" t="s">
        <v>34</v>
      </c>
      <c r="Q62" s="37" t="s">
        <v>184</v>
      </c>
    </row>
    <row r="63" spans="1:17" ht="46.5" x14ac:dyDescent="0.25">
      <c r="A63" s="32"/>
      <c r="B63" s="33"/>
      <c r="C63" s="34"/>
      <c r="D63" s="34"/>
      <c r="E63" s="35">
        <v>0</v>
      </c>
      <c r="F63" s="35">
        <v>0</v>
      </c>
      <c r="G63" s="35">
        <v>0</v>
      </c>
      <c r="H63" s="35">
        <v>0</v>
      </c>
      <c r="I63" s="35">
        <v>0</v>
      </c>
      <c r="J63" s="35">
        <v>0</v>
      </c>
      <c r="K63" s="35">
        <v>0</v>
      </c>
      <c r="L63" s="35">
        <v>0</v>
      </c>
      <c r="M63" s="35">
        <v>0</v>
      </c>
      <c r="N63" s="35">
        <v>0</v>
      </c>
      <c r="O63" s="34" t="s">
        <v>185</v>
      </c>
      <c r="P63" s="36" t="s">
        <v>34</v>
      </c>
      <c r="Q63" s="37" t="s">
        <v>184</v>
      </c>
    </row>
    <row r="64" spans="1:17" ht="46.5" x14ac:dyDescent="0.25">
      <c r="A64" s="32"/>
      <c r="B64" s="33"/>
      <c r="C64" s="34"/>
      <c r="D64" s="34"/>
      <c r="E64" s="35">
        <v>0</v>
      </c>
      <c r="F64" s="35">
        <v>0</v>
      </c>
      <c r="G64" s="35">
        <v>0</v>
      </c>
      <c r="H64" s="35">
        <v>0</v>
      </c>
      <c r="I64" s="35">
        <v>0</v>
      </c>
      <c r="J64" s="35">
        <v>0</v>
      </c>
      <c r="K64" s="35">
        <v>0</v>
      </c>
      <c r="L64" s="35">
        <v>0</v>
      </c>
      <c r="M64" s="35">
        <v>0</v>
      </c>
      <c r="N64" s="35">
        <v>0</v>
      </c>
      <c r="O64" s="34" t="s">
        <v>186</v>
      </c>
      <c r="P64" s="36" t="s">
        <v>34</v>
      </c>
      <c r="Q64" s="37" t="s">
        <v>75</v>
      </c>
    </row>
    <row r="65" spans="1:17" ht="69.75" x14ac:dyDescent="0.25">
      <c r="A65" s="25" t="s">
        <v>187</v>
      </c>
      <c r="B65" s="26" t="s">
        <v>188</v>
      </c>
      <c r="C65" s="27"/>
      <c r="D65" s="27"/>
      <c r="E65" s="31">
        <v>0</v>
      </c>
      <c r="F65" s="31">
        <v>0</v>
      </c>
      <c r="G65" s="31">
        <v>0</v>
      </c>
      <c r="H65" s="31">
        <v>0</v>
      </c>
      <c r="I65" s="31">
        <v>0</v>
      </c>
      <c r="J65" s="31">
        <v>0</v>
      </c>
      <c r="K65" s="31">
        <v>0</v>
      </c>
      <c r="L65" s="31">
        <v>0</v>
      </c>
      <c r="M65" s="31">
        <v>0</v>
      </c>
      <c r="N65" s="31">
        <v>0</v>
      </c>
      <c r="O65" s="27"/>
      <c r="P65" s="29"/>
      <c r="Q65" s="30"/>
    </row>
    <row r="66" spans="1:17" ht="67.5" x14ac:dyDescent="0.25">
      <c r="A66" s="13" t="s">
        <v>189</v>
      </c>
      <c r="B66" s="14" t="s">
        <v>190</v>
      </c>
      <c r="C66" s="15" t="s">
        <v>191</v>
      </c>
      <c r="D66" s="15" t="s">
        <v>192</v>
      </c>
      <c r="E66" s="16">
        <f t="shared" ref="E66:N67" si="27">SUM(E67:E67)</f>
        <v>34197</v>
      </c>
      <c r="F66" s="16">
        <f t="shared" si="27"/>
        <v>0</v>
      </c>
      <c r="G66" s="16">
        <f t="shared" si="27"/>
        <v>0</v>
      </c>
      <c r="H66" s="16">
        <f t="shared" si="27"/>
        <v>0</v>
      </c>
      <c r="I66" s="16">
        <f t="shared" si="27"/>
        <v>0</v>
      </c>
      <c r="J66" s="16">
        <f t="shared" si="27"/>
        <v>0</v>
      </c>
      <c r="K66" s="16">
        <f t="shared" si="27"/>
        <v>0</v>
      </c>
      <c r="L66" s="16">
        <f t="shared" si="27"/>
        <v>34197</v>
      </c>
      <c r="M66" s="16">
        <f t="shared" si="27"/>
        <v>0</v>
      </c>
      <c r="N66" s="16">
        <f t="shared" si="27"/>
        <v>0</v>
      </c>
      <c r="O66" s="15" t="s">
        <v>193</v>
      </c>
      <c r="P66" s="17" t="s">
        <v>29</v>
      </c>
      <c r="Q66" s="18" t="s">
        <v>166</v>
      </c>
    </row>
    <row r="67" spans="1:17" ht="112.5" x14ac:dyDescent="0.25">
      <c r="A67" s="19" t="s">
        <v>194</v>
      </c>
      <c r="B67" s="20" t="s">
        <v>195</v>
      </c>
      <c r="C67" s="21" t="s">
        <v>191</v>
      </c>
      <c r="D67" s="21" t="s">
        <v>192</v>
      </c>
      <c r="E67" s="22">
        <f t="shared" si="27"/>
        <v>34197</v>
      </c>
      <c r="F67" s="22">
        <f t="shared" si="27"/>
        <v>0</v>
      </c>
      <c r="G67" s="22">
        <f t="shared" si="27"/>
        <v>0</v>
      </c>
      <c r="H67" s="22">
        <f t="shared" si="27"/>
        <v>0</v>
      </c>
      <c r="I67" s="22">
        <f t="shared" si="27"/>
        <v>0</v>
      </c>
      <c r="J67" s="22">
        <f t="shared" si="27"/>
        <v>0</v>
      </c>
      <c r="K67" s="22">
        <f t="shared" si="27"/>
        <v>0</v>
      </c>
      <c r="L67" s="22">
        <f t="shared" si="27"/>
        <v>34197</v>
      </c>
      <c r="M67" s="22">
        <f t="shared" si="27"/>
        <v>0</v>
      </c>
      <c r="N67" s="22">
        <f t="shared" si="27"/>
        <v>0</v>
      </c>
      <c r="O67" s="21" t="s">
        <v>196</v>
      </c>
      <c r="P67" s="23" t="s">
        <v>34</v>
      </c>
      <c r="Q67" s="24" t="s">
        <v>166</v>
      </c>
    </row>
    <row r="68" spans="1:17" ht="69.75" x14ac:dyDescent="0.25">
      <c r="A68" s="25" t="s">
        <v>197</v>
      </c>
      <c r="B68" s="26" t="s">
        <v>198</v>
      </c>
      <c r="C68" s="27" t="s">
        <v>191</v>
      </c>
      <c r="D68" s="27" t="s">
        <v>192</v>
      </c>
      <c r="E68" s="28">
        <f>SUM(E69:E71)+34197</f>
        <v>34197</v>
      </c>
      <c r="F68" s="28">
        <f t="shared" ref="F68:K68" si="28">SUM(F69:F71)</f>
        <v>0</v>
      </c>
      <c r="G68" s="28">
        <f t="shared" si="28"/>
        <v>0</v>
      </c>
      <c r="H68" s="28">
        <f t="shared" si="28"/>
        <v>0</v>
      </c>
      <c r="I68" s="28">
        <f t="shared" si="28"/>
        <v>0</v>
      </c>
      <c r="J68" s="28">
        <f t="shared" si="28"/>
        <v>0</v>
      </c>
      <c r="K68" s="28">
        <f t="shared" si="28"/>
        <v>0</v>
      </c>
      <c r="L68" s="28">
        <f>SUM(L69:L71)+34197</f>
        <v>34197</v>
      </c>
      <c r="M68" s="28">
        <f>SUM(M69:M71)</f>
        <v>0</v>
      </c>
      <c r="N68" s="28">
        <f>SUM(N69:N71)</f>
        <v>0</v>
      </c>
      <c r="O68" s="27" t="s">
        <v>199</v>
      </c>
      <c r="P68" s="29" t="s">
        <v>34</v>
      </c>
      <c r="Q68" s="30" t="s">
        <v>200</v>
      </c>
    </row>
    <row r="69" spans="1:17" ht="69.75" x14ac:dyDescent="0.25">
      <c r="A69" s="32"/>
      <c r="B69" s="33"/>
      <c r="C69" s="34"/>
      <c r="D69" s="34"/>
      <c r="E69" s="35">
        <v>0</v>
      </c>
      <c r="F69" s="35">
        <v>0</v>
      </c>
      <c r="G69" s="35">
        <v>0</v>
      </c>
      <c r="H69" s="35">
        <v>0</v>
      </c>
      <c r="I69" s="35">
        <v>0</v>
      </c>
      <c r="J69" s="35">
        <v>0</v>
      </c>
      <c r="K69" s="35">
        <v>0</v>
      </c>
      <c r="L69" s="35">
        <v>0</v>
      </c>
      <c r="M69" s="35">
        <v>0</v>
      </c>
      <c r="N69" s="35">
        <v>0</v>
      </c>
      <c r="O69" s="34" t="s">
        <v>201</v>
      </c>
      <c r="P69" s="36" t="s">
        <v>34</v>
      </c>
      <c r="Q69" s="37" t="s">
        <v>200</v>
      </c>
    </row>
    <row r="70" spans="1:17" ht="46.5" x14ac:dyDescent="0.25">
      <c r="A70" s="32"/>
      <c r="B70" s="33"/>
      <c r="C70" s="34"/>
      <c r="D70" s="34"/>
      <c r="E70" s="35">
        <v>0</v>
      </c>
      <c r="F70" s="35">
        <v>0</v>
      </c>
      <c r="G70" s="35">
        <v>0</v>
      </c>
      <c r="H70" s="35">
        <v>0</v>
      </c>
      <c r="I70" s="35">
        <v>0</v>
      </c>
      <c r="J70" s="35">
        <v>0</v>
      </c>
      <c r="K70" s="35">
        <v>0</v>
      </c>
      <c r="L70" s="35">
        <v>0</v>
      </c>
      <c r="M70" s="35">
        <v>0</v>
      </c>
      <c r="N70" s="35">
        <v>0</v>
      </c>
      <c r="O70" s="34" t="s">
        <v>202</v>
      </c>
      <c r="P70" s="36" t="s">
        <v>34</v>
      </c>
      <c r="Q70" s="37" t="s">
        <v>184</v>
      </c>
    </row>
    <row r="71" spans="1:17" ht="93" x14ac:dyDescent="0.25">
      <c r="A71" s="25" t="s">
        <v>203</v>
      </c>
      <c r="B71" s="26" t="s">
        <v>204</v>
      </c>
      <c r="C71" s="27"/>
      <c r="D71" s="27"/>
      <c r="E71" s="31">
        <v>0</v>
      </c>
      <c r="F71" s="31">
        <v>0</v>
      </c>
      <c r="G71" s="31">
        <v>0</v>
      </c>
      <c r="H71" s="31">
        <v>0</v>
      </c>
      <c r="I71" s="31">
        <v>0</v>
      </c>
      <c r="J71" s="31">
        <v>0</v>
      </c>
      <c r="K71" s="31">
        <v>0</v>
      </c>
      <c r="L71" s="31">
        <v>0</v>
      </c>
      <c r="M71" s="31">
        <v>0</v>
      </c>
      <c r="N71" s="31">
        <v>0</v>
      </c>
      <c r="O71" s="27"/>
      <c r="P71" s="29"/>
      <c r="Q71" s="30"/>
    </row>
    <row r="72" spans="1:17" ht="45" x14ac:dyDescent="0.25">
      <c r="A72" s="13" t="s">
        <v>205</v>
      </c>
      <c r="B72" s="14" t="s">
        <v>206</v>
      </c>
      <c r="C72" s="15" t="s">
        <v>157</v>
      </c>
      <c r="D72" s="15" t="s">
        <v>158</v>
      </c>
      <c r="E72" s="16">
        <f t="shared" ref="E72:N72" si="29">SUM(E73:E73)</f>
        <v>80000</v>
      </c>
      <c r="F72" s="16">
        <f t="shared" si="29"/>
        <v>80000</v>
      </c>
      <c r="G72" s="16">
        <f t="shared" si="29"/>
        <v>0</v>
      </c>
      <c r="H72" s="16">
        <f t="shared" si="29"/>
        <v>0</v>
      </c>
      <c r="I72" s="16">
        <f t="shared" si="29"/>
        <v>0</v>
      </c>
      <c r="J72" s="16">
        <f t="shared" si="29"/>
        <v>0</v>
      </c>
      <c r="K72" s="16">
        <f t="shared" si="29"/>
        <v>0</v>
      </c>
      <c r="L72" s="16">
        <f t="shared" si="29"/>
        <v>0</v>
      </c>
      <c r="M72" s="16">
        <f t="shared" si="29"/>
        <v>0</v>
      </c>
      <c r="N72" s="16">
        <f t="shared" si="29"/>
        <v>0</v>
      </c>
      <c r="O72" s="15" t="s">
        <v>207</v>
      </c>
      <c r="P72" s="17" t="s">
        <v>29</v>
      </c>
      <c r="Q72" s="18" t="s">
        <v>98</v>
      </c>
    </row>
    <row r="73" spans="1:17" ht="90" x14ac:dyDescent="0.25">
      <c r="A73" s="19" t="s">
        <v>208</v>
      </c>
      <c r="B73" s="20" t="s">
        <v>209</v>
      </c>
      <c r="C73" s="21" t="s">
        <v>210</v>
      </c>
      <c r="D73" s="21" t="s">
        <v>158</v>
      </c>
      <c r="E73" s="22">
        <f t="shared" ref="E73:N73" si="30">E74+E76</f>
        <v>80000</v>
      </c>
      <c r="F73" s="22">
        <f t="shared" si="30"/>
        <v>80000</v>
      </c>
      <c r="G73" s="22">
        <f t="shared" si="30"/>
        <v>0</v>
      </c>
      <c r="H73" s="22">
        <f t="shared" si="30"/>
        <v>0</v>
      </c>
      <c r="I73" s="22">
        <f t="shared" si="30"/>
        <v>0</v>
      </c>
      <c r="J73" s="22">
        <f t="shared" si="30"/>
        <v>0</v>
      </c>
      <c r="K73" s="22">
        <f t="shared" si="30"/>
        <v>0</v>
      </c>
      <c r="L73" s="22">
        <f t="shared" si="30"/>
        <v>0</v>
      </c>
      <c r="M73" s="22">
        <f t="shared" si="30"/>
        <v>0</v>
      </c>
      <c r="N73" s="22">
        <f t="shared" si="30"/>
        <v>0</v>
      </c>
      <c r="O73" s="21" t="s">
        <v>211</v>
      </c>
      <c r="P73" s="23" t="s">
        <v>34</v>
      </c>
      <c r="Q73" s="24" t="s">
        <v>75</v>
      </c>
    </row>
    <row r="74" spans="1:17" ht="116.25" x14ac:dyDescent="0.25">
      <c r="A74" s="25" t="s">
        <v>212</v>
      </c>
      <c r="B74" s="26" t="s">
        <v>213</v>
      </c>
      <c r="C74" s="27" t="s">
        <v>157</v>
      </c>
      <c r="D74" s="27" t="s">
        <v>158</v>
      </c>
      <c r="E74" s="28">
        <f>SUM(E75:E75)+20000</f>
        <v>20000</v>
      </c>
      <c r="F74" s="28">
        <f>SUM(F75:F75)+20000</f>
        <v>20000</v>
      </c>
      <c r="G74" s="28">
        <f t="shared" ref="G74:N74" si="31">SUM(G75:G75)</f>
        <v>0</v>
      </c>
      <c r="H74" s="28">
        <f t="shared" si="31"/>
        <v>0</v>
      </c>
      <c r="I74" s="28">
        <f t="shared" si="31"/>
        <v>0</v>
      </c>
      <c r="J74" s="28">
        <f t="shared" si="31"/>
        <v>0</v>
      </c>
      <c r="K74" s="28">
        <f t="shared" si="31"/>
        <v>0</v>
      </c>
      <c r="L74" s="28">
        <f t="shared" si="31"/>
        <v>0</v>
      </c>
      <c r="M74" s="28">
        <f t="shared" si="31"/>
        <v>0</v>
      </c>
      <c r="N74" s="28">
        <f t="shared" si="31"/>
        <v>0</v>
      </c>
      <c r="O74" s="27" t="s">
        <v>214</v>
      </c>
      <c r="P74" s="29" t="s">
        <v>34</v>
      </c>
      <c r="Q74" s="30" t="s">
        <v>75</v>
      </c>
    </row>
    <row r="75" spans="1:17" ht="69.75" x14ac:dyDescent="0.25">
      <c r="A75" s="25" t="s">
        <v>215</v>
      </c>
      <c r="B75" s="26" t="s">
        <v>216</v>
      </c>
      <c r="C75" s="27"/>
      <c r="D75" s="27"/>
      <c r="E75" s="31">
        <v>0</v>
      </c>
      <c r="F75" s="31">
        <v>0</v>
      </c>
      <c r="G75" s="31">
        <v>0</v>
      </c>
      <c r="H75" s="31">
        <v>0</v>
      </c>
      <c r="I75" s="31">
        <v>0</v>
      </c>
      <c r="J75" s="31">
        <v>0</v>
      </c>
      <c r="K75" s="31">
        <v>0</v>
      </c>
      <c r="L75" s="31">
        <v>0</v>
      </c>
      <c r="M75" s="31">
        <v>0</v>
      </c>
      <c r="N75" s="31">
        <v>0</v>
      </c>
      <c r="O75" s="27"/>
      <c r="P75" s="29"/>
      <c r="Q75" s="30"/>
    </row>
    <row r="76" spans="1:17" ht="46.5" x14ac:dyDescent="0.25">
      <c r="A76" s="25" t="s">
        <v>217</v>
      </c>
      <c r="B76" s="26" t="s">
        <v>218</v>
      </c>
      <c r="C76" s="27" t="s">
        <v>23</v>
      </c>
      <c r="D76" s="27" t="s">
        <v>38</v>
      </c>
      <c r="E76" s="28">
        <f>SUM(E77:E77)+60000</f>
        <v>60000</v>
      </c>
      <c r="F76" s="28">
        <f>SUM(F77:F77)+60000</f>
        <v>60000</v>
      </c>
      <c r="G76" s="28">
        <f t="shared" ref="G76:N76" si="32">SUM(G77:G77)</f>
        <v>0</v>
      </c>
      <c r="H76" s="28">
        <f t="shared" si="32"/>
        <v>0</v>
      </c>
      <c r="I76" s="28">
        <f t="shared" si="32"/>
        <v>0</v>
      </c>
      <c r="J76" s="28">
        <f t="shared" si="32"/>
        <v>0</v>
      </c>
      <c r="K76" s="28">
        <f t="shared" si="32"/>
        <v>0</v>
      </c>
      <c r="L76" s="28">
        <f t="shared" si="32"/>
        <v>0</v>
      </c>
      <c r="M76" s="28">
        <f t="shared" si="32"/>
        <v>0</v>
      </c>
      <c r="N76" s="28">
        <f t="shared" si="32"/>
        <v>0</v>
      </c>
      <c r="O76" s="27" t="s">
        <v>219</v>
      </c>
      <c r="P76" s="29" t="s">
        <v>34</v>
      </c>
      <c r="Q76" s="30" t="s">
        <v>220</v>
      </c>
    </row>
    <row r="77" spans="1:17" ht="46.5" x14ac:dyDescent="0.25">
      <c r="A77" s="25" t="s">
        <v>221</v>
      </c>
      <c r="B77" s="26" t="s">
        <v>222</v>
      </c>
      <c r="C77" s="27"/>
      <c r="D77" s="27"/>
      <c r="E77" s="31">
        <v>0</v>
      </c>
      <c r="F77" s="31">
        <v>0</v>
      </c>
      <c r="G77" s="31">
        <v>0</v>
      </c>
      <c r="H77" s="31">
        <v>0</v>
      </c>
      <c r="I77" s="31">
        <v>0</v>
      </c>
      <c r="J77" s="31">
        <v>0</v>
      </c>
      <c r="K77" s="31">
        <v>0</v>
      </c>
      <c r="L77" s="31">
        <v>0</v>
      </c>
      <c r="M77" s="31">
        <v>0</v>
      </c>
      <c r="N77" s="31">
        <v>0</v>
      </c>
      <c r="O77" s="27"/>
      <c r="P77" s="29"/>
      <c r="Q77" s="30"/>
    </row>
    <row r="78" spans="1:17" ht="90" x14ac:dyDescent="0.25">
      <c r="A78" s="13" t="s">
        <v>223</v>
      </c>
      <c r="B78" s="14" t="s">
        <v>224</v>
      </c>
      <c r="C78" s="15" t="s">
        <v>23</v>
      </c>
      <c r="D78" s="15" t="s">
        <v>27</v>
      </c>
      <c r="E78" s="16">
        <f t="shared" ref="E78:N79" si="33">SUM(E79:E79)</f>
        <v>7000</v>
      </c>
      <c r="F78" s="16">
        <f t="shared" si="33"/>
        <v>7000</v>
      </c>
      <c r="G78" s="16">
        <f t="shared" si="33"/>
        <v>0</v>
      </c>
      <c r="H78" s="16">
        <f t="shared" si="33"/>
        <v>0</v>
      </c>
      <c r="I78" s="16">
        <f t="shared" si="33"/>
        <v>0</v>
      </c>
      <c r="J78" s="16">
        <f t="shared" si="33"/>
        <v>0</v>
      </c>
      <c r="K78" s="16">
        <f t="shared" si="33"/>
        <v>0</v>
      </c>
      <c r="L78" s="16">
        <f t="shared" si="33"/>
        <v>0</v>
      </c>
      <c r="M78" s="16">
        <f t="shared" si="33"/>
        <v>0</v>
      </c>
      <c r="N78" s="16">
        <f t="shared" si="33"/>
        <v>0</v>
      </c>
      <c r="O78" s="15" t="s">
        <v>225</v>
      </c>
      <c r="P78" s="17" t="s">
        <v>29</v>
      </c>
      <c r="Q78" s="18" t="s">
        <v>226</v>
      </c>
    </row>
    <row r="79" spans="1:17" ht="67.5" x14ac:dyDescent="0.25">
      <c r="A79" s="19" t="s">
        <v>227</v>
      </c>
      <c r="B79" s="20" t="s">
        <v>228</v>
      </c>
      <c r="C79" s="21" t="s">
        <v>23</v>
      </c>
      <c r="D79" s="21" t="s">
        <v>27</v>
      </c>
      <c r="E79" s="22">
        <f t="shared" si="33"/>
        <v>7000</v>
      </c>
      <c r="F79" s="22">
        <f t="shared" si="33"/>
        <v>7000</v>
      </c>
      <c r="G79" s="22">
        <f t="shared" si="33"/>
        <v>0</v>
      </c>
      <c r="H79" s="22">
        <f t="shared" si="33"/>
        <v>0</v>
      </c>
      <c r="I79" s="22">
        <f t="shared" si="33"/>
        <v>0</v>
      </c>
      <c r="J79" s="22">
        <f t="shared" si="33"/>
        <v>0</v>
      </c>
      <c r="K79" s="22">
        <f t="shared" si="33"/>
        <v>0</v>
      </c>
      <c r="L79" s="22">
        <f t="shared" si="33"/>
        <v>0</v>
      </c>
      <c r="M79" s="22">
        <f t="shared" si="33"/>
        <v>0</v>
      </c>
      <c r="N79" s="22">
        <f t="shared" si="33"/>
        <v>0</v>
      </c>
      <c r="O79" s="21" t="s">
        <v>229</v>
      </c>
      <c r="P79" s="23" t="s">
        <v>29</v>
      </c>
      <c r="Q79" s="24" t="s">
        <v>30</v>
      </c>
    </row>
    <row r="80" spans="1:17" ht="69.75" x14ac:dyDescent="0.25">
      <c r="A80" s="25" t="s">
        <v>230</v>
      </c>
      <c r="B80" s="26" t="s">
        <v>231</v>
      </c>
      <c r="C80" s="27" t="s">
        <v>23</v>
      </c>
      <c r="D80" s="27" t="s">
        <v>27</v>
      </c>
      <c r="E80" s="28">
        <f>SUM(E81:E81)+7000</f>
        <v>7000</v>
      </c>
      <c r="F80" s="28">
        <f>SUM(F81:F81)+7000</f>
        <v>7000</v>
      </c>
      <c r="G80" s="28">
        <f t="shared" ref="G80:N80" si="34">SUM(G81:G81)</f>
        <v>0</v>
      </c>
      <c r="H80" s="28">
        <f t="shared" si="34"/>
        <v>0</v>
      </c>
      <c r="I80" s="28">
        <f t="shared" si="34"/>
        <v>0</v>
      </c>
      <c r="J80" s="28">
        <f t="shared" si="34"/>
        <v>0</v>
      </c>
      <c r="K80" s="28">
        <f t="shared" si="34"/>
        <v>0</v>
      </c>
      <c r="L80" s="28">
        <f t="shared" si="34"/>
        <v>0</v>
      </c>
      <c r="M80" s="28">
        <f t="shared" si="34"/>
        <v>0</v>
      </c>
      <c r="N80" s="28">
        <f t="shared" si="34"/>
        <v>0</v>
      </c>
      <c r="O80" s="27" t="s">
        <v>232</v>
      </c>
      <c r="P80" s="29" t="s">
        <v>34</v>
      </c>
      <c r="Q80" s="30" t="s">
        <v>233</v>
      </c>
    </row>
    <row r="81" spans="1:17" ht="46.5" x14ac:dyDescent="0.25">
      <c r="A81" s="25" t="s">
        <v>234</v>
      </c>
      <c r="B81" s="26" t="s">
        <v>235</v>
      </c>
      <c r="C81" s="27"/>
      <c r="D81" s="27"/>
      <c r="E81" s="31">
        <v>0</v>
      </c>
      <c r="F81" s="31">
        <v>0</v>
      </c>
      <c r="G81" s="31">
        <v>0</v>
      </c>
      <c r="H81" s="31">
        <v>0</v>
      </c>
      <c r="I81" s="31">
        <v>0</v>
      </c>
      <c r="J81" s="31">
        <v>0</v>
      </c>
      <c r="K81" s="31">
        <v>0</v>
      </c>
      <c r="L81" s="31">
        <v>0</v>
      </c>
      <c r="M81" s="31">
        <v>0</v>
      </c>
      <c r="N81" s="31">
        <v>0</v>
      </c>
      <c r="O81" s="27"/>
      <c r="P81" s="29"/>
      <c r="Q81" s="30"/>
    </row>
    <row r="82" spans="1:17" ht="112.5" x14ac:dyDescent="0.25">
      <c r="A82" s="13" t="s">
        <v>236</v>
      </c>
      <c r="B82" s="14" t="s">
        <v>237</v>
      </c>
      <c r="C82" s="15" t="s">
        <v>23</v>
      </c>
      <c r="D82" s="15" t="s">
        <v>27</v>
      </c>
      <c r="E82" s="16">
        <f t="shared" ref="E82:N82" si="35">SUM(E83:E83)</f>
        <v>1300</v>
      </c>
      <c r="F82" s="16">
        <f t="shared" si="35"/>
        <v>1300</v>
      </c>
      <c r="G82" s="16">
        <f t="shared" si="35"/>
        <v>0</v>
      </c>
      <c r="H82" s="16">
        <f t="shared" si="35"/>
        <v>0</v>
      </c>
      <c r="I82" s="16">
        <f t="shared" si="35"/>
        <v>0</v>
      </c>
      <c r="J82" s="16">
        <f t="shared" si="35"/>
        <v>0</v>
      </c>
      <c r="K82" s="16">
        <f t="shared" si="35"/>
        <v>0</v>
      </c>
      <c r="L82" s="16">
        <f t="shared" si="35"/>
        <v>0</v>
      </c>
      <c r="M82" s="16">
        <f t="shared" si="35"/>
        <v>0</v>
      </c>
      <c r="N82" s="16">
        <f t="shared" si="35"/>
        <v>0</v>
      </c>
      <c r="O82" s="15" t="s">
        <v>238</v>
      </c>
      <c r="P82" s="17" t="s">
        <v>29</v>
      </c>
      <c r="Q82" s="18" t="s">
        <v>98</v>
      </c>
    </row>
    <row r="83" spans="1:17" ht="67.5" x14ac:dyDescent="0.25">
      <c r="A83" s="19" t="s">
        <v>239</v>
      </c>
      <c r="B83" s="20" t="s">
        <v>240</v>
      </c>
      <c r="C83" s="21" t="s">
        <v>23</v>
      </c>
      <c r="D83" s="21" t="s">
        <v>27</v>
      </c>
      <c r="E83" s="22">
        <f t="shared" ref="E83:N83" si="36">E84+E86</f>
        <v>1300</v>
      </c>
      <c r="F83" s="22">
        <f t="shared" si="36"/>
        <v>1300</v>
      </c>
      <c r="G83" s="22">
        <f t="shared" si="36"/>
        <v>0</v>
      </c>
      <c r="H83" s="22">
        <f t="shared" si="36"/>
        <v>0</v>
      </c>
      <c r="I83" s="22">
        <f t="shared" si="36"/>
        <v>0</v>
      </c>
      <c r="J83" s="22">
        <f t="shared" si="36"/>
        <v>0</v>
      </c>
      <c r="K83" s="22">
        <f t="shared" si="36"/>
        <v>0</v>
      </c>
      <c r="L83" s="22">
        <f t="shared" si="36"/>
        <v>0</v>
      </c>
      <c r="M83" s="22">
        <f t="shared" si="36"/>
        <v>0</v>
      </c>
      <c r="N83" s="22">
        <f t="shared" si="36"/>
        <v>0</v>
      </c>
      <c r="O83" s="21" t="s">
        <v>241</v>
      </c>
      <c r="P83" s="23" t="s">
        <v>29</v>
      </c>
      <c r="Q83" s="24" t="s">
        <v>242</v>
      </c>
    </row>
    <row r="84" spans="1:17" ht="69.75" x14ac:dyDescent="0.25">
      <c r="A84" s="25" t="s">
        <v>243</v>
      </c>
      <c r="B84" s="26" t="s">
        <v>244</v>
      </c>
      <c r="C84" s="27" t="s">
        <v>23</v>
      </c>
      <c r="D84" s="27" t="s">
        <v>38</v>
      </c>
      <c r="E84" s="28">
        <f>SUM(E85:E85)+1000</f>
        <v>1000</v>
      </c>
      <c r="F84" s="28">
        <f>SUM(F85:F85)+1000</f>
        <v>1000</v>
      </c>
      <c r="G84" s="28">
        <f t="shared" ref="G84:N84" si="37">SUM(G85:G85)</f>
        <v>0</v>
      </c>
      <c r="H84" s="28">
        <f t="shared" si="37"/>
        <v>0</v>
      </c>
      <c r="I84" s="28">
        <f t="shared" si="37"/>
        <v>0</v>
      </c>
      <c r="J84" s="28">
        <f t="shared" si="37"/>
        <v>0</v>
      </c>
      <c r="K84" s="28">
        <f t="shared" si="37"/>
        <v>0</v>
      </c>
      <c r="L84" s="28">
        <f t="shared" si="37"/>
        <v>0</v>
      </c>
      <c r="M84" s="28">
        <f t="shared" si="37"/>
        <v>0</v>
      </c>
      <c r="N84" s="28">
        <f t="shared" si="37"/>
        <v>0</v>
      </c>
      <c r="O84" s="27" t="s">
        <v>245</v>
      </c>
      <c r="P84" s="29" t="s">
        <v>34</v>
      </c>
      <c r="Q84" s="30" t="s">
        <v>246</v>
      </c>
    </row>
    <row r="85" spans="1:17" ht="69.75" x14ac:dyDescent="0.25">
      <c r="A85" s="25" t="s">
        <v>247</v>
      </c>
      <c r="B85" s="26" t="s">
        <v>248</v>
      </c>
      <c r="C85" s="27"/>
      <c r="D85" s="27"/>
      <c r="E85" s="31">
        <v>0</v>
      </c>
      <c r="F85" s="31">
        <v>0</v>
      </c>
      <c r="G85" s="31">
        <v>0</v>
      </c>
      <c r="H85" s="31">
        <v>0</v>
      </c>
      <c r="I85" s="31">
        <v>0</v>
      </c>
      <c r="J85" s="31">
        <v>0</v>
      </c>
      <c r="K85" s="31">
        <v>0</v>
      </c>
      <c r="L85" s="31">
        <v>0</v>
      </c>
      <c r="M85" s="31">
        <v>0</v>
      </c>
      <c r="N85" s="31">
        <v>0</v>
      </c>
      <c r="O85" s="27"/>
      <c r="P85" s="29"/>
      <c r="Q85" s="30"/>
    </row>
    <row r="86" spans="1:17" ht="69.75" x14ac:dyDescent="0.25">
      <c r="A86" s="25" t="s">
        <v>249</v>
      </c>
      <c r="B86" s="26" t="s">
        <v>250</v>
      </c>
      <c r="C86" s="27" t="s">
        <v>23</v>
      </c>
      <c r="D86" s="27" t="s">
        <v>139</v>
      </c>
      <c r="E86" s="28">
        <f>SUM(E87:E87)+300</f>
        <v>300</v>
      </c>
      <c r="F86" s="28">
        <f>SUM(F87:F87)+300</f>
        <v>300</v>
      </c>
      <c r="G86" s="28">
        <f t="shared" ref="G86:N86" si="38">SUM(G87:G87)</f>
        <v>0</v>
      </c>
      <c r="H86" s="28">
        <f t="shared" si="38"/>
        <v>0</v>
      </c>
      <c r="I86" s="28">
        <f t="shared" si="38"/>
        <v>0</v>
      </c>
      <c r="J86" s="28">
        <f t="shared" si="38"/>
        <v>0</v>
      </c>
      <c r="K86" s="28">
        <f t="shared" si="38"/>
        <v>0</v>
      </c>
      <c r="L86" s="28">
        <f t="shared" si="38"/>
        <v>0</v>
      </c>
      <c r="M86" s="28">
        <f t="shared" si="38"/>
        <v>0</v>
      </c>
      <c r="N86" s="28">
        <f t="shared" si="38"/>
        <v>0</v>
      </c>
      <c r="O86" s="27" t="s">
        <v>251</v>
      </c>
      <c r="P86" s="29" t="s">
        <v>34</v>
      </c>
      <c r="Q86" s="30" t="s">
        <v>184</v>
      </c>
    </row>
    <row r="87" spans="1:17" ht="46.5" x14ac:dyDescent="0.25">
      <c r="A87" s="25" t="s">
        <v>252</v>
      </c>
      <c r="B87" s="26" t="s">
        <v>253</v>
      </c>
      <c r="C87" s="27"/>
      <c r="D87" s="27"/>
      <c r="E87" s="31">
        <v>0</v>
      </c>
      <c r="F87" s="31">
        <v>0</v>
      </c>
      <c r="G87" s="31">
        <v>0</v>
      </c>
      <c r="H87" s="31">
        <v>0</v>
      </c>
      <c r="I87" s="31">
        <v>0</v>
      </c>
      <c r="J87" s="31">
        <v>0</v>
      </c>
      <c r="K87" s="31">
        <v>0</v>
      </c>
      <c r="L87" s="31">
        <v>0</v>
      </c>
      <c r="M87" s="31">
        <v>0</v>
      </c>
      <c r="N87" s="31">
        <v>0</v>
      </c>
      <c r="O87" s="27"/>
      <c r="P87" s="29"/>
      <c r="Q87" s="30"/>
    </row>
    <row r="88" spans="1:17" ht="75.75" customHeight="1" x14ac:dyDescent="0.25">
      <c r="A88" s="7" t="s">
        <v>254</v>
      </c>
      <c r="B88" s="8" t="s">
        <v>255</v>
      </c>
      <c r="C88" s="9" t="s">
        <v>256</v>
      </c>
      <c r="D88" s="9" t="s">
        <v>1932</v>
      </c>
      <c r="E88" s="10">
        <f t="shared" ref="E88:N88" si="39">E89+E117+E121+E125+E140+E157+E161+E168+E172+E176+E200+E212+E222</f>
        <v>3360690.13</v>
      </c>
      <c r="F88" s="10">
        <f t="shared" si="39"/>
        <v>2160830.15</v>
      </c>
      <c r="G88" s="10">
        <f t="shared" si="39"/>
        <v>0</v>
      </c>
      <c r="H88" s="10">
        <f t="shared" si="39"/>
        <v>0</v>
      </c>
      <c r="I88" s="10">
        <f t="shared" si="39"/>
        <v>0</v>
      </c>
      <c r="J88" s="10">
        <f t="shared" si="39"/>
        <v>0</v>
      </c>
      <c r="K88" s="10">
        <f t="shared" si="39"/>
        <v>1187499.7</v>
      </c>
      <c r="L88" s="10">
        <f t="shared" si="39"/>
        <v>12360.28</v>
      </c>
      <c r="M88" s="10">
        <f t="shared" si="39"/>
        <v>0</v>
      </c>
      <c r="N88" s="10">
        <f t="shared" si="39"/>
        <v>0</v>
      </c>
      <c r="O88" s="9"/>
      <c r="P88" s="11"/>
      <c r="Q88" s="12"/>
    </row>
    <row r="89" spans="1:17" ht="45" x14ac:dyDescent="0.25">
      <c r="A89" s="13" t="s">
        <v>257</v>
      </c>
      <c r="B89" s="14" t="s">
        <v>258</v>
      </c>
      <c r="C89" s="15" t="s">
        <v>256</v>
      </c>
      <c r="D89" s="15" t="s">
        <v>259</v>
      </c>
      <c r="E89" s="16">
        <f t="shared" ref="E89:N89" si="40">E90+E95+E110</f>
        <v>1030967.57</v>
      </c>
      <c r="F89" s="16">
        <f t="shared" si="40"/>
        <v>1022978</v>
      </c>
      <c r="G89" s="16">
        <f t="shared" si="40"/>
        <v>0</v>
      </c>
      <c r="H89" s="16">
        <f t="shared" si="40"/>
        <v>0</v>
      </c>
      <c r="I89" s="16">
        <f t="shared" si="40"/>
        <v>0</v>
      </c>
      <c r="J89" s="16">
        <f t="shared" si="40"/>
        <v>0</v>
      </c>
      <c r="K89" s="16">
        <f t="shared" si="40"/>
        <v>7989.57</v>
      </c>
      <c r="L89" s="16">
        <f t="shared" si="40"/>
        <v>0</v>
      </c>
      <c r="M89" s="16">
        <f t="shared" si="40"/>
        <v>0</v>
      </c>
      <c r="N89" s="16">
        <f t="shared" si="40"/>
        <v>0</v>
      </c>
      <c r="O89" s="15" t="s">
        <v>260</v>
      </c>
      <c r="P89" s="17" t="s">
        <v>29</v>
      </c>
      <c r="Q89" s="18" t="s">
        <v>61</v>
      </c>
    </row>
    <row r="90" spans="1:17" ht="135" x14ac:dyDescent="0.25">
      <c r="A90" s="19" t="s">
        <v>261</v>
      </c>
      <c r="B90" s="20" t="s">
        <v>262</v>
      </c>
      <c r="C90" s="21" t="s">
        <v>256</v>
      </c>
      <c r="D90" s="21" t="s">
        <v>259</v>
      </c>
      <c r="E90" s="22">
        <f t="shared" ref="E90:N90" si="41">SUM(E91:E91)</f>
        <v>13989.57</v>
      </c>
      <c r="F90" s="22">
        <f t="shared" si="41"/>
        <v>6000</v>
      </c>
      <c r="G90" s="22">
        <f t="shared" si="41"/>
        <v>0</v>
      </c>
      <c r="H90" s="22">
        <f t="shared" si="41"/>
        <v>0</v>
      </c>
      <c r="I90" s="22">
        <f t="shared" si="41"/>
        <v>0</v>
      </c>
      <c r="J90" s="22">
        <f t="shared" si="41"/>
        <v>0</v>
      </c>
      <c r="K90" s="22">
        <f t="shared" si="41"/>
        <v>7989.57</v>
      </c>
      <c r="L90" s="22">
        <f t="shared" si="41"/>
        <v>0</v>
      </c>
      <c r="M90" s="22">
        <f t="shared" si="41"/>
        <v>0</v>
      </c>
      <c r="N90" s="22">
        <f t="shared" si="41"/>
        <v>0</v>
      </c>
      <c r="O90" s="21" t="s">
        <v>263</v>
      </c>
      <c r="P90" s="23" t="s">
        <v>34</v>
      </c>
      <c r="Q90" s="24" t="s">
        <v>246</v>
      </c>
    </row>
    <row r="91" spans="1:17" ht="69.75" x14ac:dyDescent="0.25">
      <c r="A91" s="25" t="s">
        <v>264</v>
      </c>
      <c r="B91" s="26" t="s">
        <v>265</v>
      </c>
      <c r="C91" s="27" t="s">
        <v>256</v>
      </c>
      <c r="D91" s="27" t="s">
        <v>266</v>
      </c>
      <c r="E91" s="28">
        <f>SUM(E92:E94)+13989.57</f>
        <v>13989.57</v>
      </c>
      <c r="F91" s="28">
        <f>SUM(F92:F94)+6000</f>
        <v>6000</v>
      </c>
      <c r="G91" s="28">
        <f>SUM(G92:G94)</f>
        <v>0</v>
      </c>
      <c r="H91" s="28">
        <f>SUM(H92:H94)</f>
        <v>0</v>
      </c>
      <c r="I91" s="28">
        <f>SUM(I92:I94)</f>
        <v>0</v>
      </c>
      <c r="J91" s="28">
        <f>SUM(J92:J94)</f>
        <v>0</v>
      </c>
      <c r="K91" s="28">
        <f>SUM(K92:K94)+7989.57</f>
        <v>7989.57</v>
      </c>
      <c r="L91" s="28">
        <f>SUM(L92:L94)</f>
        <v>0</v>
      </c>
      <c r="M91" s="28">
        <f>SUM(M92:M94)</f>
        <v>0</v>
      </c>
      <c r="N91" s="28">
        <f>SUM(N92:N94)</f>
        <v>0</v>
      </c>
      <c r="O91" s="27" t="s">
        <v>267</v>
      </c>
      <c r="P91" s="29" t="s">
        <v>34</v>
      </c>
      <c r="Q91" s="30" t="s">
        <v>75</v>
      </c>
    </row>
    <row r="92" spans="1:17" ht="46.5" x14ac:dyDescent="0.25">
      <c r="A92" s="32"/>
      <c r="B92" s="33"/>
      <c r="C92" s="34"/>
      <c r="D92" s="34"/>
      <c r="E92" s="35">
        <v>0</v>
      </c>
      <c r="F92" s="35">
        <v>0</v>
      </c>
      <c r="G92" s="35">
        <v>0</v>
      </c>
      <c r="H92" s="35">
        <v>0</v>
      </c>
      <c r="I92" s="35">
        <v>0</v>
      </c>
      <c r="J92" s="35">
        <v>0</v>
      </c>
      <c r="K92" s="35">
        <v>0</v>
      </c>
      <c r="L92" s="35">
        <v>0</v>
      </c>
      <c r="M92" s="35">
        <v>0</v>
      </c>
      <c r="N92" s="35">
        <v>0</v>
      </c>
      <c r="O92" s="34" t="s">
        <v>268</v>
      </c>
      <c r="P92" s="36" t="s">
        <v>34</v>
      </c>
      <c r="Q92" s="37" t="s">
        <v>35</v>
      </c>
    </row>
    <row r="93" spans="1:17" ht="46.5" x14ac:dyDescent="0.25">
      <c r="A93" s="25" t="s">
        <v>269</v>
      </c>
      <c r="B93" s="26" t="s">
        <v>270</v>
      </c>
      <c r="C93" s="27"/>
      <c r="D93" s="27"/>
      <c r="E93" s="31">
        <v>0</v>
      </c>
      <c r="F93" s="31">
        <v>0</v>
      </c>
      <c r="G93" s="31">
        <v>0</v>
      </c>
      <c r="H93" s="31">
        <v>0</v>
      </c>
      <c r="I93" s="31">
        <v>0</v>
      </c>
      <c r="J93" s="31">
        <v>0</v>
      </c>
      <c r="K93" s="31">
        <v>0</v>
      </c>
      <c r="L93" s="31">
        <v>0</v>
      </c>
      <c r="M93" s="31">
        <v>0</v>
      </c>
      <c r="N93" s="31">
        <v>0</v>
      </c>
      <c r="O93" s="27"/>
      <c r="P93" s="29"/>
      <c r="Q93" s="30"/>
    </row>
    <row r="94" spans="1:17" ht="46.5" x14ac:dyDescent="0.25">
      <c r="A94" s="25" t="s">
        <v>271</v>
      </c>
      <c r="B94" s="26" t="s">
        <v>272</v>
      </c>
      <c r="C94" s="27"/>
      <c r="D94" s="27"/>
      <c r="E94" s="31">
        <v>0</v>
      </c>
      <c r="F94" s="31">
        <v>0</v>
      </c>
      <c r="G94" s="31">
        <v>0</v>
      </c>
      <c r="H94" s="31">
        <v>0</v>
      </c>
      <c r="I94" s="31">
        <v>0</v>
      </c>
      <c r="J94" s="31">
        <v>0</v>
      </c>
      <c r="K94" s="31">
        <v>0</v>
      </c>
      <c r="L94" s="31">
        <v>0</v>
      </c>
      <c r="M94" s="31">
        <v>0</v>
      </c>
      <c r="N94" s="31">
        <v>0</v>
      </c>
      <c r="O94" s="27"/>
      <c r="P94" s="29"/>
      <c r="Q94" s="30"/>
    </row>
    <row r="95" spans="1:17" ht="157.5" x14ac:dyDescent="0.25">
      <c r="A95" s="19" t="s">
        <v>273</v>
      </c>
      <c r="B95" s="20" t="s">
        <v>274</v>
      </c>
      <c r="C95" s="21" t="s">
        <v>256</v>
      </c>
      <c r="D95" s="21" t="s">
        <v>259</v>
      </c>
      <c r="E95" s="22">
        <f t="shared" ref="E95:N95" si="42">E96+E98+E100+E102+E104+E106+E108</f>
        <v>920120</v>
      </c>
      <c r="F95" s="22">
        <f t="shared" si="42"/>
        <v>920120</v>
      </c>
      <c r="G95" s="22">
        <f t="shared" si="42"/>
        <v>0</v>
      </c>
      <c r="H95" s="22">
        <f t="shared" si="42"/>
        <v>0</v>
      </c>
      <c r="I95" s="22">
        <f t="shared" si="42"/>
        <v>0</v>
      </c>
      <c r="J95" s="22">
        <f t="shared" si="42"/>
        <v>0</v>
      </c>
      <c r="K95" s="22">
        <f t="shared" si="42"/>
        <v>0</v>
      </c>
      <c r="L95" s="22">
        <f t="shared" si="42"/>
        <v>0</v>
      </c>
      <c r="M95" s="22">
        <f t="shared" si="42"/>
        <v>0</v>
      </c>
      <c r="N95" s="22">
        <f t="shared" si="42"/>
        <v>0</v>
      </c>
      <c r="O95" s="21" t="s">
        <v>275</v>
      </c>
      <c r="P95" s="23" t="s">
        <v>276</v>
      </c>
      <c r="Q95" s="24" t="s">
        <v>277</v>
      </c>
    </row>
    <row r="96" spans="1:17" ht="139.5" x14ac:dyDescent="0.25">
      <c r="A96" s="25" t="s">
        <v>278</v>
      </c>
      <c r="B96" s="26" t="s">
        <v>279</v>
      </c>
      <c r="C96" s="27" t="s">
        <v>256</v>
      </c>
      <c r="D96" s="27" t="s">
        <v>280</v>
      </c>
      <c r="E96" s="28">
        <f>SUM(E97:E97)+120</f>
        <v>120</v>
      </c>
      <c r="F96" s="28">
        <f>SUM(F97:F97)+120</f>
        <v>120</v>
      </c>
      <c r="G96" s="28">
        <f t="shared" ref="G96:N96" si="43">SUM(G97:G97)</f>
        <v>0</v>
      </c>
      <c r="H96" s="28">
        <f t="shared" si="43"/>
        <v>0</v>
      </c>
      <c r="I96" s="28">
        <f t="shared" si="43"/>
        <v>0</v>
      </c>
      <c r="J96" s="28">
        <f t="shared" si="43"/>
        <v>0</v>
      </c>
      <c r="K96" s="28">
        <f t="shared" si="43"/>
        <v>0</v>
      </c>
      <c r="L96" s="28">
        <f t="shared" si="43"/>
        <v>0</v>
      </c>
      <c r="M96" s="28">
        <f t="shared" si="43"/>
        <v>0</v>
      </c>
      <c r="N96" s="28">
        <f t="shared" si="43"/>
        <v>0</v>
      </c>
      <c r="O96" s="27" t="s">
        <v>281</v>
      </c>
      <c r="P96" s="29" t="s">
        <v>34</v>
      </c>
      <c r="Q96" s="30" t="s">
        <v>75</v>
      </c>
    </row>
    <row r="97" spans="1:17" ht="46.5" x14ac:dyDescent="0.25">
      <c r="A97" s="25" t="s">
        <v>282</v>
      </c>
      <c r="B97" s="26" t="s">
        <v>283</v>
      </c>
      <c r="C97" s="27"/>
      <c r="D97" s="27"/>
      <c r="E97" s="31">
        <v>0</v>
      </c>
      <c r="F97" s="31">
        <v>0</v>
      </c>
      <c r="G97" s="31">
        <v>0</v>
      </c>
      <c r="H97" s="31">
        <v>0</v>
      </c>
      <c r="I97" s="31">
        <v>0</v>
      </c>
      <c r="J97" s="31">
        <v>0</v>
      </c>
      <c r="K97" s="31">
        <v>0</v>
      </c>
      <c r="L97" s="31">
        <v>0</v>
      </c>
      <c r="M97" s="31">
        <v>0</v>
      </c>
      <c r="N97" s="31">
        <v>0</v>
      </c>
      <c r="O97" s="27"/>
      <c r="P97" s="29"/>
      <c r="Q97" s="30"/>
    </row>
    <row r="98" spans="1:17" ht="139.5" x14ac:dyDescent="0.25">
      <c r="A98" s="25" t="s">
        <v>284</v>
      </c>
      <c r="B98" s="26" t="s">
        <v>285</v>
      </c>
      <c r="C98" s="27" t="s">
        <v>256</v>
      </c>
      <c r="D98" s="27" t="s">
        <v>280</v>
      </c>
      <c r="E98" s="28">
        <f t="shared" ref="E98:N98" si="44">SUM(E99:E99)</f>
        <v>0</v>
      </c>
      <c r="F98" s="28">
        <f t="shared" si="44"/>
        <v>0</v>
      </c>
      <c r="G98" s="28">
        <f t="shared" si="44"/>
        <v>0</v>
      </c>
      <c r="H98" s="28">
        <f t="shared" si="44"/>
        <v>0</v>
      </c>
      <c r="I98" s="28">
        <f t="shared" si="44"/>
        <v>0</v>
      </c>
      <c r="J98" s="28">
        <f t="shared" si="44"/>
        <v>0</v>
      </c>
      <c r="K98" s="28">
        <f t="shared" si="44"/>
        <v>0</v>
      </c>
      <c r="L98" s="28">
        <f t="shared" si="44"/>
        <v>0</v>
      </c>
      <c r="M98" s="28">
        <f t="shared" si="44"/>
        <v>0</v>
      </c>
      <c r="N98" s="28">
        <f t="shared" si="44"/>
        <v>0</v>
      </c>
      <c r="O98" s="27" t="s">
        <v>281</v>
      </c>
      <c r="P98" s="29" t="s">
        <v>34</v>
      </c>
      <c r="Q98" s="30" t="s">
        <v>75</v>
      </c>
    </row>
    <row r="99" spans="1:17" ht="46.5" x14ac:dyDescent="0.25">
      <c r="A99" s="25" t="s">
        <v>286</v>
      </c>
      <c r="B99" s="26" t="s">
        <v>283</v>
      </c>
      <c r="C99" s="27"/>
      <c r="D99" s="27"/>
      <c r="E99" s="31">
        <v>0</v>
      </c>
      <c r="F99" s="31">
        <v>0</v>
      </c>
      <c r="G99" s="31">
        <v>0</v>
      </c>
      <c r="H99" s="31">
        <v>0</v>
      </c>
      <c r="I99" s="31">
        <v>0</v>
      </c>
      <c r="J99" s="31">
        <v>0</v>
      </c>
      <c r="K99" s="31">
        <v>0</v>
      </c>
      <c r="L99" s="31">
        <v>0</v>
      </c>
      <c r="M99" s="31">
        <v>0</v>
      </c>
      <c r="N99" s="31">
        <v>0</v>
      </c>
      <c r="O99" s="27"/>
      <c r="P99" s="29"/>
      <c r="Q99" s="30"/>
    </row>
    <row r="100" spans="1:17" ht="116.25" x14ac:dyDescent="0.25">
      <c r="A100" s="25" t="s">
        <v>287</v>
      </c>
      <c r="B100" s="26" t="s">
        <v>288</v>
      </c>
      <c r="C100" s="27" t="s">
        <v>256</v>
      </c>
      <c r="D100" s="27" t="s">
        <v>280</v>
      </c>
      <c r="E100" s="28">
        <f t="shared" ref="E100:N100" si="45">SUM(E101:E101)</f>
        <v>0</v>
      </c>
      <c r="F100" s="28">
        <f t="shared" si="45"/>
        <v>0</v>
      </c>
      <c r="G100" s="28">
        <f t="shared" si="45"/>
        <v>0</v>
      </c>
      <c r="H100" s="28">
        <f t="shared" si="45"/>
        <v>0</v>
      </c>
      <c r="I100" s="28">
        <f t="shared" si="45"/>
        <v>0</v>
      </c>
      <c r="J100" s="28">
        <f t="shared" si="45"/>
        <v>0</v>
      </c>
      <c r="K100" s="28">
        <f t="shared" si="45"/>
        <v>0</v>
      </c>
      <c r="L100" s="28">
        <f t="shared" si="45"/>
        <v>0</v>
      </c>
      <c r="M100" s="28">
        <f t="shared" si="45"/>
        <v>0</v>
      </c>
      <c r="N100" s="28">
        <f t="shared" si="45"/>
        <v>0</v>
      </c>
      <c r="O100" s="27" t="s">
        <v>281</v>
      </c>
      <c r="P100" s="29" t="s">
        <v>34</v>
      </c>
      <c r="Q100" s="30" t="s">
        <v>75</v>
      </c>
    </row>
    <row r="101" spans="1:17" ht="46.5" x14ac:dyDescent="0.25">
      <c r="A101" s="25" t="s">
        <v>289</v>
      </c>
      <c r="B101" s="26" t="s">
        <v>283</v>
      </c>
      <c r="C101" s="27"/>
      <c r="D101" s="27"/>
      <c r="E101" s="31">
        <v>0</v>
      </c>
      <c r="F101" s="31">
        <v>0</v>
      </c>
      <c r="G101" s="31">
        <v>0</v>
      </c>
      <c r="H101" s="31">
        <v>0</v>
      </c>
      <c r="I101" s="31">
        <v>0</v>
      </c>
      <c r="J101" s="31">
        <v>0</v>
      </c>
      <c r="K101" s="31">
        <v>0</v>
      </c>
      <c r="L101" s="31">
        <v>0</v>
      </c>
      <c r="M101" s="31">
        <v>0</v>
      </c>
      <c r="N101" s="31">
        <v>0</v>
      </c>
      <c r="O101" s="27"/>
      <c r="P101" s="29"/>
      <c r="Q101" s="30"/>
    </row>
    <row r="102" spans="1:17" ht="93" x14ac:dyDescent="0.25">
      <c r="A102" s="25" t="s">
        <v>290</v>
      </c>
      <c r="B102" s="26" t="s">
        <v>291</v>
      </c>
      <c r="C102" s="27" t="s">
        <v>256</v>
      </c>
      <c r="D102" s="27" t="s">
        <v>280</v>
      </c>
      <c r="E102" s="28">
        <f t="shared" ref="E102:N102" si="46">SUM(E103:E103)</f>
        <v>0</v>
      </c>
      <c r="F102" s="28">
        <f t="shared" si="46"/>
        <v>0</v>
      </c>
      <c r="G102" s="28">
        <f t="shared" si="46"/>
        <v>0</v>
      </c>
      <c r="H102" s="28">
        <f t="shared" si="46"/>
        <v>0</v>
      </c>
      <c r="I102" s="28">
        <f t="shared" si="46"/>
        <v>0</v>
      </c>
      <c r="J102" s="28">
        <f t="shared" si="46"/>
        <v>0</v>
      </c>
      <c r="K102" s="28">
        <f t="shared" si="46"/>
        <v>0</v>
      </c>
      <c r="L102" s="28">
        <f t="shared" si="46"/>
        <v>0</v>
      </c>
      <c r="M102" s="28">
        <f t="shared" si="46"/>
        <v>0</v>
      </c>
      <c r="N102" s="28">
        <f t="shared" si="46"/>
        <v>0</v>
      </c>
      <c r="O102" s="27" t="s">
        <v>281</v>
      </c>
      <c r="P102" s="29" t="s">
        <v>34</v>
      </c>
      <c r="Q102" s="30" t="s">
        <v>75</v>
      </c>
    </row>
    <row r="103" spans="1:17" ht="46.5" x14ac:dyDescent="0.25">
      <c r="A103" s="25" t="s">
        <v>292</v>
      </c>
      <c r="B103" s="26" t="s">
        <v>283</v>
      </c>
      <c r="C103" s="27"/>
      <c r="D103" s="27"/>
      <c r="E103" s="31">
        <v>0</v>
      </c>
      <c r="F103" s="31">
        <v>0</v>
      </c>
      <c r="G103" s="31">
        <v>0</v>
      </c>
      <c r="H103" s="31">
        <v>0</v>
      </c>
      <c r="I103" s="31">
        <v>0</v>
      </c>
      <c r="J103" s="31">
        <v>0</v>
      </c>
      <c r="K103" s="31">
        <v>0</v>
      </c>
      <c r="L103" s="31">
        <v>0</v>
      </c>
      <c r="M103" s="31">
        <v>0</v>
      </c>
      <c r="N103" s="31">
        <v>0</v>
      </c>
      <c r="O103" s="27"/>
      <c r="P103" s="29"/>
      <c r="Q103" s="30"/>
    </row>
    <row r="104" spans="1:17" ht="139.5" x14ac:dyDescent="0.25">
      <c r="A104" s="25" t="s">
        <v>293</v>
      </c>
      <c r="B104" s="26" t="s">
        <v>294</v>
      </c>
      <c r="C104" s="27" t="s">
        <v>256</v>
      </c>
      <c r="D104" s="27" t="s">
        <v>295</v>
      </c>
      <c r="E104" s="28">
        <f>SUM(E105:E105)+800000</f>
        <v>800000</v>
      </c>
      <c r="F104" s="28">
        <f>SUM(F105:F105)+800000</f>
        <v>800000</v>
      </c>
      <c r="G104" s="28">
        <f t="shared" ref="G104:N104" si="47">SUM(G105:G105)</f>
        <v>0</v>
      </c>
      <c r="H104" s="28">
        <f t="shared" si="47"/>
        <v>0</v>
      </c>
      <c r="I104" s="28">
        <f t="shared" si="47"/>
        <v>0</v>
      </c>
      <c r="J104" s="28">
        <f t="shared" si="47"/>
        <v>0</v>
      </c>
      <c r="K104" s="28">
        <f t="shared" si="47"/>
        <v>0</v>
      </c>
      <c r="L104" s="28">
        <f t="shared" si="47"/>
        <v>0</v>
      </c>
      <c r="M104" s="28">
        <f t="shared" si="47"/>
        <v>0</v>
      </c>
      <c r="N104" s="28">
        <f t="shared" si="47"/>
        <v>0</v>
      </c>
      <c r="O104" s="27" t="s">
        <v>296</v>
      </c>
      <c r="P104" s="29" t="s">
        <v>29</v>
      </c>
      <c r="Q104" s="30" t="s">
        <v>166</v>
      </c>
    </row>
    <row r="105" spans="1:17" ht="46.5" x14ac:dyDescent="0.25">
      <c r="A105" s="25" t="s">
        <v>297</v>
      </c>
      <c r="B105" s="26" t="s">
        <v>298</v>
      </c>
      <c r="C105" s="27"/>
      <c r="D105" s="27"/>
      <c r="E105" s="31">
        <v>0</v>
      </c>
      <c r="F105" s="31">
        <v>0</v>
      </c>
      <c r="G105" s="31">
        <v>0</v>
      </c>
      <c r="H105" s="31">
        <v>0</v>
      </c>
      <c r="I105" s="31">
        <v>0</v>
      </c>
      <c r="J105" s="31">
        <v>0</v>
      </c>
      <c r="K105" s="31">
        <v>0</v>
      </c>
      <c r="L105" s="31">
        <v>0</v>
      </c>
      <c r="M105" s="31">
        <v>0</v>
      </c>
      <c r="N105" s="31">
        <v>0</v>
      </c>
      <c r="O105" s="27"/>
      <c r="P105" s="29"/>
      <c r="Q105" s="30"/>
    </row>
    <row r="106" spans="1:17" ht="93" x14ac:dyDescent="0.25">
      <c r="A106" s="25" t="s">
        <v>299</v>
      </c>
      <c r="B106" s="26" t="s">
        <v>300</v>
      </c>
      <c r="C106" s="27" t="s">
        <v>256</v>
      </c>
      <c r="D106" s="27" t="s">
        <v>259</v>
      </c>
      <c r="E106" s="28">
        <f>SUM(E107:E107)+120000</f>
        <v>120000</v>
      </c>
      <c r="F106" s="28">
        <f>SUM(F107:F107)+120000</f>
        <v>120000</v>
      </c>
      <c r="G106" s="28">
        <f t="shared" ref="G106:N106" si="48">SUM(G107:G107)</f>
        <v>0</v>
      </c>
      <c r="H106" s="28">
        <f t="shared" si="48"/>
        <v>0</v>
      </c>
      <c r="I106" s="28">
        <f t="shared" si="48"/>
        <v>0</v>
      </c>
      <c r="J106" s="28">
        <f t="shared" si="48"/>
        <v>0</v>
      </c>
      <c r="K106" s="28">
        <f t="shared" si="48"/>
        <v>0</v>
      </c>
      <c r="L106" s="28">
        <f t="shared" si="48"/>
        <v>0</v>
      </c>
      <c r="M106" s="28">
        <f t="shared" si="48"/>
        <v>0</v>
      </c>
      <c r="N106" s="28">
        <f t="shared" si="48"/>
        <v>0</v>
      </c>
      <c r="O106" s="27" t="s">
        <v>301</v>
      </c>
      <c r="P106" s="29" t="s">
        <v>34</v>
      </c>
      <c r="Q106" s="30" t="s">
        <v>75</v>
      </c>
    </row>
    <row r="107" spans="1:17" ht="46.5" x14ac:dyDescent="0.25">
      <c r="A107" s="25" t="s">
        <v>302</v>
      </c>
      <c r="B107" s="26" t="s">
        <v>303</v>
      </c>
      <c r="C107" s="27"/>
      <c r="D107" s="27"/>
      <c r="E107" s="31">
        <v>0</v>
      </c>
      <c r="F107" s="31">
        <v>0</v>
      </c>
      <c r="G107" s="31">
        <v>0</v>
      </c>
      <c r="H107" s="31">
        <v>0</v>
      </c>
      <c r="I107" s="31">
        <v>0</v>
      </c>
      <c r="J107" s="31">
        <v>0</v>
      </c>
      <c r="K107" s="31">
        <v>0</v>
      </c>
      <c r="L107" s="31">
        <v>0</v>
      </c>
      <c r="M107" s="31">
        <v>0</v>
      </c>
      <c r="N107" s="31">
        <v>0</v>
      </c>
      <c r="O107" s="27"/>
      <c r="P107" s="29"/>
      <c r="Q107" s="30"/>
    </row>
    <row r="108" spans="1:17" ht="93" x14ac:dyDescent="0.25">
      <c r="A108" s="25" t="s">
        <v>304</v>
      </c>
      <c r="B108" s="26" t="s">
        <v>305</v>
      </c>
      <c r="C108" s="27" t="s">
        <v>306</v>
      </c>
      <c r="D108" s="27" t="s">
        <v>259</v>
      </c>
      <c r="E108" s="28">
        <f t="shared" ref="E108:N108" si="49">SUM(E109:E109)</f>
        <v>0</v>
      </c>
      <c r="F108" s="28">
        <f t="shared" si="49"/>
        <v>0</v>
      </c>
      <c r="G108" s="28">
        <f t="shared" si="49"/>
        <v>0</v>
      </c>
      <c r="H108" s="28">
        <f t="shared" si="49"/>
        <v>0</v>
      </c>
      <c r="I108" s="28">
        <f t="shared" si="49"/>
        <v>0</v>
      </c>
      <c r="J108" s="28">
        <f t="shared" si="49"/>
        <v>0</v>
      </c>
      <c r="K108" s="28">
        <f t="shared" si="49"/>
        <v>0</v>
      </c>
      <c r="L108" s="28">
        <f t="shared" si="49"/>
        <v>0</v>
      </c>
      <c r="M108" s="28">
        <f t="shared" si="49"/>
        <v>0</v>
      </c>
      <c r="N108" s="28">
        <f t="shared" si="49"/>
        <v>0</v>
      </c>
      <c r="O108" s="27" t="s">
        <v>307</v>
      </c>
      <c r="P108" s="29" t="s">
        <v>34</v>
      </c>
      <c r="Q108" s="30" t="s">
        <v>75</v>
      </c>
    </row>
    <row r="109" spans="1:17" ht="46.5" x14ac:dyDescent="0.25">
      <c r="A109" s="25" t="s">
        <v>308</v>
      </c>
      <c r="B109" s="26" t="s">
        <v>309</v>
      </c>
      <c r="C109" s="27"/>
      <c r="D109" s="27"/>
      <c r="E109" s="31">
        <v>0</v>
      </c>
      <c r="F109" s="31">
        <v>0</v>
      </c>
      <c r="G109" s="31">
        <v>0</v>
      </c>
      <c r="H109" s="31">
        <v>0</v>
      </c>
      <c r="I109" s="31">
        <v>0</v>
      </c>
      <c r="J109" s="31">
        <v>0</v>
      </c>
      <c r="K109" s="31">
        <v>0</v>
      </c>
      <c r="L109" s="31">
        <v>0</v>
      </c>
      <c r="M109" s="31">
        <v>0</v>
      </c>
      <c r="N109" s="31">
        <v>0</v>
      </c>
      <c r="O109" s="27"/>
      <c r="P109" s="29"/>
      <c r="Q109" s="30"/>
    </row>
    <row r="110" spans="1:17" ht="45" x14ac:dyDescent="0.25">
      <c r="A110" s="19" t="s">
        <v>310</v>
      </c>
      <c r="B110" s="20" t="s">
        <v>311</v>
      </c>
      <c r="C110" s="21" t="s">
        <v>312</v>
      </c>
      <c r="D110" s="21" t="s">
        <v>313</v>
      </c>
      <c r="E110" s="22">
        <f t="shared" ref="E110:N110" si="50">E111+E113+E115</f>
        <v>96858</v>
      </c>
      <c r="F110" s="22">
        <f t="shared" si="50"/>
        <v>96858</v>
      </c>
      <c r="G110" s="22">
        <f t="shared" si="50"/>
        <v>0</v>
      </c>
      <c r="H110" s="22">
        <f t="shared" si="50"/>
        <v>0</v>
      </c>
      <c r="I110" s="22">
        <f t="shared" si="50"/>
        <v>0</v>
      </c>
      <c r="J110" s="22">
        <f t="shared" si="50"/>
        <v>0</v>
      </c>
      <c r="K110" s="22">
        <f t="shared" si="50"/>
        <v>0</v>
      </c>
      <c r="L110" s="22">
        <f t="shared" si="50"/>
        <v>0</v>
      </c>
      <c r="M110" s="22">
        <f t="shared" si="50"/>
        <v>0</v>
      </c>
      <c r="N110" s="22">
        <f t="shared" si="50"/>
        <v>0</v>
      </c>
      <c r="O110" s="21" t="s">
        <v>314</v>
      </c>
      <c r="P110" s="23" t="s">
        <v>34</v>
      </c>
      <c r="Q110" s="24" t="s">
        <v>59</v>
      </c>
    </row>
    <row r="111" spans="1:17" ht="46.5" x14ac:dyDescent="0.25">
      <c r="A111" s="25" t="s">
        <v>315</v>
      </c>
      <c r="B111" s="26" t="s">
        <v>316</v>
      </c>
      <c r="C111" s="27" t="s">
        <v>312</v>
      </c>
      <c r="D111" s="27" t="s">
        <v>313</v>
      </c>
      <c r="E111" s="28">
        <f>SUM(E112:E112)+80000</f>
        <v>80000</v>
      </c>
      <c r="F111" s="28">
        <f>SUM(F112:F112)+80000</f>
        <v>80000</v>
      </c>
      <c r="G111" s="28">
        <f t="shared" ref="G111:N111" si="51">SUM(G112:G112)</f>
        <v>0</v>
      </c>
      <c r="H111" s="28">
        <f t="shared" si="51"/>
        <v>0</v>
      </c>
      <c r="I111" s="28">
        <f t="shared" si="51"/>
        <v>0</v>
      </c>
      <c r="J111" s="28">
        <f t="shared" si="51"/>
        <v>0</v>
      </c>
      <c r="K111" s="28">
        <f t="shared" si="51"/>
        <v>0</v>
      </c>
      <c r="L111" s="28">
        <f t="shared" si="51"/>
        <v>0</v>
      </c>
      <c r="M111" s="28">
        <f t="shared" si="51"/>
        <v>0</v>
      </c>
      <c r="N111" s="28">
        <f t="shared" si="51"/>
        <v>0</v>
      </c>
      <c r="O111" s="27" t="s">
        <v>317</v>
      </c>
      <c r="P111" s="29" t="s">
        <v>34</v>
      </c>
      <c r="Q111" s="30" t="s">
        <v>35</v>
      </c>
    </row>
    <row r="112" spans="1:17" ht="46.5" x14ac:dyDescent="0.25">
      <c r="A112" s="25" t="s">
        <v>318</v>
      </c>
      <c r="B112" s="26" t="s">
        <v>319</v>
      </c>
      <c r="C112" s="27"/>
      <c r="D112" s="27"/>
      <c r="E112" s="31">
        <v>0</v>
      </c>
      <c r="F112" s="31">
        <v>0</v>
      </c>
      <c r="G112" s="31">
        <v>0</v>
      </c>
      <c r="H112" s="31">
        <v>0</v>
      </c>
      <c r="I112" s="31">
        <v>0</v>
      </c>
      <c r="J112" s="31">
        <v>0</v>
      </c>
      <c r="K112" s="31">
        <v>0</v>
      </c>
      <c r="L112" s="31">
        <v>0</v>
      </c>
      <c r="M112" s="31">
        <v>0</v>
      </c>
      <c r="N112" s="31">
        <v>0</v>
      </c>
      <c r="O112" s="27"/>
      <c r="P112" s="29"/>
      <c r="Q112" s="30"/>
    </row>
    <row r="113" spans="1:17" ht="93" x14ac:dyDescent="0.25">
      <c r="A113" s="25" t="s">
        <v>320</v>
      </c>
      <c r="B113" s="26" t="s">
        <v>321</v>
      </c>
      <c r="C113" s="27" t="s">
        <v>312</v>
      </c>
      <c r="D113" s="27" t="s">
        <v>313</v>
      </c>
      <c r="E113" s="28">
        <f>SUM(E114:E114)+5000</f>
        <v>5000</v>
      </c>
      <c r="F113" s="28">
        <f>SUM(F114:F114)+5000</f>
        <v>5000</v>
      </c>
      <c r="G113" s="28">
        <f t="shared" ref="G113:N113" si="52">SUM(G114:G114)</f>
        <v>0</v>
      </c>
      <c r="H113" s="28">
        <f t="shared" si="52"/>
        <v>0</v>
      </c>
      <c r="I113" s="28">
        <f t="shared" si="52"/>
        <v>0</v>
      </c>
      <c r="J113" s="28">
        <f t="shared" si="52"/>
        <v>0</v>
      </c>
      <c r="K113" s="28">
        <f t="shared" si="52"/>
        <v>0</v>
      </c>
      <c r="L113" s="28">
        <f t="shared" si="52"/>
        <v>0</v>
      </c>
      <c r="M113" s="28">
        <f t="shared" si="52"/>
        <v>0</v>
      </c>
      <c r="N113" s="28">
        <f t="shared" si="52"/>
        <v>0</v>
      </c>
      <c r="O113" s="27" t="s">
        <v>322</v>
      </c>
      <c r="P113" s="29" t="s">
        <v>34</v>
      </c>
      <c r="Q113" s="30" t="s">
        <v>75</v>
      </c>
    </row>
    <row r="114" spans="1:17" ht="46.5" x14ac:dyDescent="0.25">
      <c r="A114" s="25" t="s">
        <v>323</v>
      </c>
      <c r="B114" s="26" t="s">
        <v>324</v>
      </c>
      <c r="C114" s="27"/>
      <c r="D114" s="27"/>
      <c r="E114" s="31">
        <v>0</v>
      </c>
      <c r="F114" s="31">
        <v>0</v>
      </c>
      <c r="G114" s="31">
        <v>0</v>
      </c>
      <c r="H114" s="31">
        <v>0</v>
      </c>
      <c r="I114" s="31">
        <v>0</v>
      </c>
      <c r="J114" s="31">
        <v>0</v>
      </c>
      <c r="K114" s="31">
        <v>0</v>
      </c>
      <c r="L114" s="31">
        <v>0</v>
      </c>
      <c r="M114" s="31">
        <v>0</v>
      </c>
      <c r="N114" s="31">
        <v>0</v>
      </c>
      <c r="O114" s="27"/>
      <c r="P114" s="29"/>
      <c r="Q114" s="30"/>
    </row>
    <row r="115" spans="1:17" ht="139.5" x14ac:dyDescent="0.25">
      <c r="A115" s="25" t="s">
        <v>325</v>
      </c>
      <c r="B115" s="26" t="s">
        <v>326</v>
      </c>
      <c r="C115" s="27" t="s">
        <v>312</v>
      </c>
      <c r="D115" s="27" t="s">
        <v>313</v>
      </c>
      <c r="E115" s="28">
        <f>SUM(E116:E116)+11858</f>
        <v>11858</v>
      </c>
      <c r="F115" s="28">
        <f>SUM(F116:F116)+11858</f>
        <v>11858</v>
      </c>
      <c r="G115" s="28">
        <f t="shared" ref="G115:N115" si="53">SUM(G116:G116)</f>
        <v>0</v>
      </c>
      <c r="H115" s="28">
        <f t="shared" si="53"/>
        <v>0</v>
      </c>
      <c r="I115" s="28">
        <f t="shared" si="53"/>
        <v>0</v>
      </c>
      <c r="J115" s="28">
        <f t="shared" si="53"/>
        <v>0</v>
      </c>
      <c r="K115" s="28">
        <f t="shared" si="53"/>
        <v>0</v>
      </c>
      <c r="L115" s="28">
        <f t="shared" si="53"/>
        <v>0</v>
      </c>
      <c r="M115" s="28">
        <f t="shared" si="53"/>
        <v>0</v>
      </c>
      <c r="N115" s="28">
        <f t="shared" si="53"/>
        <v>0</v>
      </c>
      <c r="O115" s="27" t="s">
        <v>327</v>
      </c>
      <c r="P115" s="29" t="s">
        <v>34</v>
      </c>
      <c r="Q115" s="30" t="s">
        <v>184</v>
      </c>
    </row>
    <row r="116" spans="1:17" ht="46.5" x14ac:dyDescent="0.25">
      <c r="A116" s="25" t="s">
        <v>328</v>
      </c>
      <c r="B116" s="26" t="s">
        <v>329</v>
      </c>
      <c r="C116" s="27"/>
      <c r="D116" s="27"/>
      <c r="E116" s="31">
        <v>0</v>
      </c>
      <c r="F116" s="31">
        <v>0</v>
      </c>
      <c r="G116" s="31">
        <v>0</v>
      </c>
      <c r="H116" s="31">
        <v>0</v>
      </c>
      <c r="I116" s="31">
        <v>0</v>
      </c>
      <c r="J116" s="31">
        <v>0</v>
      </c>
      <c r="K116" s="31">
        <v>0</v>
      </c>
      <c r="L116" s="31">
        <v>0</v>
      </c>
      <c r="M116" s="31">
        <v>0</v>
      </c>
      <c r="N116" s="31">
        <v>0</v>
      </c>
      <c r="O116" s="27"/>
      <c r="P116" s="29"/>
      <c r="Q116" s="30"/>
    </row>
    <row r="117" spans="1:17" ht="90" x14ac:dyDescent="0.25">
      <c r="A117" s="13" t="s">
        <v>330</v>
      </c>
      <c r="B117" s="14" t="s">
        <v>331</v>
      </c>
      <c r="C117" s="15" t="s">
        <v>256</v>
      </c>
      <c r="D117" s="15" t="s">
        <v>259</v>
      </c>
      <c r="E117" s="16">
        <f t="shared" ref="E117:N118" si="54">SUM(E118:E118)</f>
        <v>50000</v>
      </c>
      <c r="F117" s="16">
        <f t="shared" si="54"/>
        <v>50000</v>
      </c>
      <c r="G117" s="16">
        <f t="shared" si="54"/>
        <v>0</v>
      </c>
      <c r="H117" s="16">
        <f t="shared" si="54"/>
        <v>0</v>
      </c>
      <c r="I117" s="16">
        <f t="shared" si="54"/>
        <v>0</v>
      </c>
      <c r="J117" s="16">
        <f t="shared" si="54"/>
        <v>0</v>
      </c>
      <c r="K117" s="16">
        <f t="shared" si="54"/>
        <v>0</v>
      </c>
      <c r="L117" s="16">
        <f t="shared" si="54"/>
        <v>0</v>
      </c>
      <c r="M117" s="16">
        <f t="shared" si="54"/>
        <v>0</v>
      </c>
      <c r="N117" s="16">
        <f t="shared" si="54"/>
        <v>0</v>
      </c>
      <c r="O117" s="15" t="s">
        <v>332</v>
      </c>
      <c r="P117" s="17" t="s">
        <v>29</v>
      </c>
      <c r="Q117" s="18" t="s">
        <v>166</v>
      </c>
    </row>
    <row r="118" spans="1:17" ht="45" x14ac:dyDescent="0.25">
      <c r="A118" s="19" t="s">
        <v>333</v>
      </c>
      <c r="B118" s="20" t="s">
        <v>334</v>
      </c>
      <c r="C118" s="21" t="s">
        <v>256</v>
      </c>
      <c r="D118" s="21" t="s">
        <v>259</v>
      </c>
      <c r="E118" s="22">
        <f t="shared" si="54"/>
        <v>50000</v>
      </c>
      <c r="F118" s="22">
        <f t="shared" si="54"/>
        <v>50000</v>
      </c>
      <c r="G118" s="22">
        <f t="shared" si="54"/>
        <v>0</v>
      </c>
      <c r="H118" s="22">
        <f t="shared" si="54"/>
        <v>0</v>
      </c>
      <c r="I118" s="22">
        <f t="shared" si="54"/>
        <v>0</v>
      </c>
      <c r="J118" s="22">
        <f t="shared" si="54"/>
        <v>0</v>
      </c>
      <c r="K118" s="22">
        <f t="shared" si="54"/>
        <v>0</v>
      </c>
      <c r="L118" s="22">
        <f t="shared" si="54"/>
        <v>0</v>
      </c>
      <c r="M118" s="22">
        <f t="shared" si="54"/>
        <v>0</v>
      </c>
      <c r="N118" s="22">
        <f t="shared" si="54"/>
        <v>0</v>
      </c>
      <c r="O118" s="21" t="s">
        <v>335</v>
      </c>
      <c r="P118" s="23" t="s">
        <v>34</v>
      </c>
      <c r="Q118" s="24" t="s">
        <v>75</v>
      </c>
    </row>
    <row r="119" spans="1:17" ht="69.75" x14ac:dyDescent="0.25">
      <c r="A119" s="25" t="s">
        <v>336</v>
      </c>
      <c r="B119" s="26" t="s">
        <v>337</v>
      </c>
      <c r="C119" s="27" t="s">
        <v>256</v>
      </c>
      <c r="D119" s="27" t="s">
        <v>295</v>
      </c>
      <c r="E119" s="28">
        <f>SUM(E120:E120)+50000</f>
        <v>50000</v>
      </c>
      <c r="F119" s="28">
        <f>SUM(F120:F120)+50000</f>
        <v>50000</v>
      </c>
      <c r="G119" s="28">
        <f t="shared" ref="G119:N119" si="55">SUM(G120:G120)</f>
        <v>0</v>
      </c>
      <c r="H119" s="28">
        <f t="shared" si="55"/>
        <v>0</v>
      </c>
      <c r="I119" s="28">
        <f t="shared" si="55"/>
        <v>0</v>
      </c>
      <c r="J119" s="28">
        <f t="shared" si="55"/>
        <v>0</v>
      </c>
      <c r="K119" s="28">
        <f t="shared" si="55"/>
        <v>0</v>
      </c>
      <c r="L119" s="28">
        <f t="shared" si="55"/>
        <v>0</v>
      </c>
      <c r="M119" s="28">
        <f t="shared" si="55"/>
        <v>0</v>
      </c>
      <c r="N119" s="28">
        <f t="shared" si="55"/>
        <v>0</v>
      </c>
      <c r="O119" s="27" t="s">
        <v>338</v>
      </c>
      <c r="P119" s="29" t="s">
        <v>34</v>
      </c>
      <c r="Q119" s="30" t="s">
        <v>75</v>
      </c>
    </row>
    <row r="120" spans="1:17" ht="69.75" x14ac:dyDescent="0.25">
      <c r="A120" s="25" t="s">
        <v>339</v>
      </c>
      <c r="B120" s="26" t="s">
        <v>340</v>
      </c>
      <c r="C120" s="27"/>
      <c r="D120" s="27"/>
      <c r="E120" s="31">
        <v>0</v>
      </c>
      <c r="F120" s="31">
        <v>0</v>
      </c>
      <c r="G120" s="31">
        <v>0</v>
      </c>
      <c r="H120" s="31">
        <v>0</v>
      </c>
      <c r="I120" s="31">
        <v>0</v>
      </c>
      <c r="J120" s="31">
        <v>0</v>
      </c>
      <c r="K120" s="31">
        <v>0</v>
      </c>
      <c r="L120" s="31">
        <v>0</v>
      </c>
      <c r="M120" s="31">
        <v>0</v>
      </c>
      <c r="N120" s="31">
        <v>0</v>
      </c>
      <c r="O120" s="27"/>
      <c r="P120" s="29"/>
      <c r="Q120" s="30"/>
    </row>
    <row r="121" spans="1:17" ht="45" x14ac:dyDescent="0.25">
      <c r="A121" s="13" t="s">
        <v>341</v>
      </c>
      <c r="B121" s="14" t="s">
        <v>342</v>
      </c>
      <c r="C121" s="15" t="s">
        <v>256</v>
      </c>
      <c r="D121" s="15" t="s">
        <v>259</v>
      </c>
      <c r="E121" s="16">
        <f t="shared" ref="E121:N122" si="56">SUM(E122:E122)</f>
        <v>51884.82</v>
      </c>
      <c r="F121" s="16">
        <f t="shared" si="56"/>
        <v>2000</v>
      </c>
      <c r="G121" s="16">
        <f t="shared" si="56"/>
        <v>0</v>
      </c>
      <c r="H121" s="16">
        <f t="shared" si="56"/>
        <v>0</v>
      </c>
      <c r="I121" s="16">
        <f t="shared" si="56"/>
        <v>0</v>
      </c>
      <c r="J121" s="16">
        <f t="shared" si="56"/>
        <v>0</v>
      </c>
      <c r="K121" s="16">
        <f t="shared" si="56"/>
        <v>49884.82</v>
      </c>
      <c r="L121" s="16">
        <f t="shared" si="56"/>
        <v>0</v>
      </c>
      <c r="M121" s="16">
        <f t="shared" si="56"/>
        <v>0</v>
      </c>
      <c r="N121" s="16">
        <f t="shared" si="56"/>
        <v>0</v>
      </c>
      <c r="O121" s="15" t="s">
        <v>343</v>
      </c>
      <c r="P121" s="17" t="s">
        <v>29</v>
      </c>
      <c r="Q121" s="18" t="s">
        <v>344</v>
      </c>
    </row>
    <row r="122" spans="1:17" ht="90" x14ac:dyDescent="0.25">
      <c r="A122" s="19" t="s">
        <v>345</v>
      </c>
      <c r="B122" s="20" t="s">
        <v>346</v>
      </c>
      <c r="C122" s="21" t="s">
        <v>256</v>
      </c>
      <c r="D122" s="21" t="s">
        <v>259</v>
      </c>
      <c r="E122" s="22">
        <f t="shared" si="56"/>
        <v>51884.82</v>
      </c>
      <c r="F122" s="22">
        <f t="shared" si="56"/>
        <v>2000</v>
      </c>
      <c r="G122" s="22">
        <f t="shared" si="56"/>
        <v>0</v>
      </c>
      <c r="H122" s="22">
        <f t="shared" si="56"/>
        <v>0</v>
      </c>
      <c r="I122" s="22">
        <f t="shared" si="56"/>
        <v>0</v>
      </c>
      <c r="J122" s="22">
        <f t="shared" si="56"/>
        <v>0</v>
      </c>
      <c r="K122" s="22">
        <f t="shared" si="56"/>
        <v>49884.82</v>
      </c>
      <c r="L122" s="22">
        <f t="shared" si="56"/>
        <v>0</v>
      </c>
      <c r="M122" s="22">
        <f t="shared" si="56"/>
        <v>0</v>
      </c>
      <c r="N122" s="22">
        <f t="shared" si="56"/>
        <v>0</v>
      </c>
      <c r="O122" s="21" t="s">
        <v>347</v>
      </c>
      <c r="P122" s="23" t="s">
        <v>348</v>
      </c>
      <c r="Q122" s="24" t="s">
        <v>349</v>
      </c>
    </row>
    <row r="123" spans="1:17" ht="93" x14ac:dyDescent="0.25">
      <c r="A123" s="25" t="s">
        <v>350</v>
      </c>
      <c r="B123" s="26" t="s">
        <v>351</v>
      </c>
      <c r="C123" s="27" t="s">
        <v>256</v>
      </c>
      <c r="D123" s="27" t="s">
        <v>280</v>
      </c>
      <c r="E123" s="28">
        <f>SUM(E124:E124)+51884.82</f>
        <v>51884.82</v>
      </c>
      <c r="F123" s="28">
        <f>SUM(F124:F124)+2000</f>
        <v>2000</v>
      </c>
      <c r="G123" s="28">
        <f>SUM(G124:G124)</f>
        <v>0</v>
      </c>
      <c r="H123" s="28">
        <f>SUM(H124:H124)</f>
        <v>0</v>
      </c>
      <c r="I123" s="28">
        <f>SUM(I124:I124)</f>
        <v>0</v>
      </c>
      <c r="J123" s="28">
        <f>SUM(J124:J124)</f>
        <v>0</v>
      </c>
      <c r="K123" s="28">
        <f>SUM(K124:K124)+49884.82</f>
        <v>49884.82</v>
      </c>
      <c r="L123" s="28">
        <f>SUM(L124:L124)</f>
        <v>0</v>
      </c>
      <c r="M123" s="28">
        <f>SUM(M124:M124)</f>
        <v>0</v>
      </c>
      <c r="N123" s="28">
        <f>SUM(N124:N124)</f>
        <v>0</v>
      </c>
      <c r="O123" s="27" t="s">
        <v>296</v>
      </c>
      <c r="P123" s="29" t="s">
        <v>29</v>
      </c>
      <c r="Q123" s="30" t="s">
        <v>30</v>
      </c>
    </row>
    <row r="124" spans="1:17" ht="46.5" x14ac:dyDescent="0.25">
      <c r="A124" s="25" t="s">
        <v>352</v>
      </c>
      <c r="B124" s="26" t="s">
        <v>353</v>
      </c>
      <c r="C124" s="27"/>
      <c r="D124" s="27"/>
      <c r="E124" s="31">
        <v>0</v>
      </c>
      <c r="F124" s="31">
        <v>0</v>
      </c>
      <c r="G124" s="31">
        <v>0</v>
      </c>
      <c r="H124" s="31">
        <v>0</v>
      </c>
      <c r="I124" s="31">
        <v>0</v>
      </c>
      <c r="J124" s="31">
        <v>0</v>
      </c>
      <c r="K124" s="31">
        <v>0</v>
      </c>
      <c r="L124" s="31">
        <v>0</v>
      </c>
      <c r="M124" s="31">
        <v>0</v>
      </c>
      <c r="N124" s="31">
        <v>0</v>
      </c>
      <c r="O124" s="27"/>
      <c r="P124" s="29"/>
      <c r="Q124" s="30"/>
    </row>
    <row r="125" spans="1:17" ht="67.5" x14ac:dyDescent="0.25">
      <c r="A125" s="13" t="s">
        <v>354</v>
      </c>
      <c r="B125" s="14" t="s">
        <v>355</v>
      </c>
      <c r="C125" s="15" t="s">
        <v>356</v>
      </c>
      <c r="D125" s="15" t="s">
        <v>357</v>
      </c>
      <c r="E125" s="16">
        <f t="shared" ref="E125:N125" si="57">SUM(E126:E126)</f>
        <v>23292</v>
      </c>
      <c r="F125" s="16">
        <f t="shared" si="57"/>
        <v>5500</v>
      </c>
      <c r="G125" s="16">
        <f t="shared" si="57"/>
        <v>0</v>
      </c>
      <c r="H125" s="16">
        <f t="shared" si="57"/>
        <v>0</v>
      </c>
      <c r="I125" s="16">
        <f t="shared" si="57"/>
        <v>0</v>
      </c>
      <c r="J125" s="16">
        <f t="shared" si="57"/>
        <v>0</v>
      </c>
      <c r="K125" s="16">
        <f t="shared" si="57"/>
        <v>15122</v>
      </c>
      <c r="L125" s="16">
        <f t="shared" si="57"/>
        <v>2670</v>
      </c>
      <c r="M125" s="16">
        <f t="shared" si="57"/>
        <v>0</v>
      </c>
      <c r="N125" s="16">
        <f t="shared" si="57"/>
        <v>0</v>
      </c>
      <c r="O125" s="15" t="s">
        <v>358</v>
      </c>
      <c r="P125" s="17" t="s">
        <v>29</v>
      </c>
      <c r="Q125" s="18" t="s">
        <v>69</v>
      </c>
    </row>
    <row r="126" spans="1:17" ht="90" x14ac:dyDescent="0.25">
      <c r="A126" s="19" t="s">
        <v>359</v>
      </c>
      <c r="B126" s="20" t="s">
        <v>360</v>
      </c>
      <c r="C126" s="21" t="s">
        <v>356</v>
      </c>
      <c r="D126" s="21" t="s">
        <v>357</v>
      </c>
      <c r="E126" s="22">
        <f t="shared" ref="E126:N126" si="58">E127+E128+E130+E132+E134+E136</f>
        <v>23292</v>
      </c>
      <c r="F126" s="22">
        <f t="shared" si="58"/>
        <v>5500</v>
      </c>
      <c r="G126" s="22">
        <f t="shared" si="58"/>
        <v>0</v>
      </c>
      <c r="H126" s="22">
        <f t="shared" si="58"/>
        <v>0</v>
      </c>
      <c r="I126" s="22">
        <f t="shared" si="58"/>
        <v>0</v>
      </c>
      <c r="J126" s="22">
        <f t="shared" si="58"/>
        <v>0</v>
      </c>
      <c r="K126" s="22">
        <f t="shared" si="58"/>
        <v>15122</v>
      </c>
      <c r="L126" s="22">
        <f t="shared" si="58"/>
        <v>2670</v>
      </c>
      <c r="M126" s="22">
        <f t="shared" si="58"/>
        <v>0</v>
      </c>
      <c r="N126" s="22">
        <f t="shared" si="58"/>
        <v>0</v>
      </c>
      <c r="O126" s="21" t="s">
        <v>361</v>
      </c>
      <c r="P126" s="23" t="s">
        <v>34</v>
      </c>
      <c r="Q126" s="24" t="s">
        <v>246</v>
      </c>
    </row>
    <row r="127" spans="1:17" ht="46.5" x14ac:dyDescent="0.25">
      <c r="A127" s="32"/>
      <c r="B127" s="33"/>
      <c r="C127" s="34"/>
      <c r="D127" s="34"/>
      <c r="E127" s="35">
        <v>0</v>
      </c>
      <c r="F127" s="35">
        <v>0</v>
      </c>
      <c r="G127" s="35">
        <v>0</v>
      </c>
      <c r="H127" s="35">
        <v>0</v>
      </c>
      <c r="I127" s="35">
        <v>0</v>
      </c>
      <c r="J127" s="35">
        <v>0</v>
      </c>
      <c r="K127" s="35">
        <v>0</v>
      </c>
      <c r="L127" s="35">
        <v>0</v>
      </c>
      <c r="M127" s="35">
        <v>0</v>
      </c>
      <c r="N127" s="35">
        <v>0</v>
      </c>
      <c r="O127" s="34" t="s">
        <v>362</v>
      </c>
      <c r="P127" s="36" t="s">
        <v>34</v>
      </c>
      <c r="Q127" s="37" t="s">
        <v>363</v>
      </c>
    </row>
    <row r="128" spans="1:17" ht="139.5" x14ac:dyDescent="0.25">
      <c r="A128" s="25" t="s">
        <v>364</v>
      </c>
      <c r="B128" s="26" t="s">
        <v>365</v>
      </c>
      <c r="C128" s="27" t="s">
        <v>356</v>
      </c>
      <c r="D128" s="27" t="s">
        <v>366</v>
      </c>
      <c r="E128" s="28">
        <f t="shared" ref="E128:N128" si="59">SUM(E129:E129)</f>
        <v>0</v>
      </c>
      <c r="F128" s="28">
        <f t="shared" si="59"/>
        <v>0</v>
      </c>
      <c r="G128" s="28">
        <f t="shared" si="59"/>
        <v>0</v>
      </c>
      <c r="H128" s="28">
        <f t="shared" si="59"/>
        <v>0</v>
      </c>
      <c r="I128" s="28">
        <f t="shared" si="59"/>
        <v>0</v>
      </c>
      <c r="J128" s="28">
        <f t="shared" si="59"/>
        <v>0</v>
      </c>
      <c r="K128" s="28">
        <f t="shared" si="59"/>
        <v>0</v>
      </c>
      <c r="L128" s="28">
        <f t="shared" si="59"/>
        <v>0</v>
      </c>
      <c r="M128" s="28">
        <f t="shared" si="59"/>
        <v>0</v>
      </c>
      <c r="N128" s="28">
        <f t="shared" si="59"/>
        <v>0</v>
      </c>
      <c r="O128" s="27" t="s">
        <v>367</v>
      </c>
      <c r="P128" s="29" t="s">
        <v>348</v>
      </c>
      <c r="Q128" s="30" t="s">
        <v>368</v>
      </c>
    </row>
    <row r="129" spans="1:17" ht="139.5" x14ac:dyDescent="0.25">
      <c r="A129" s="25" t="s">
        <v>369</v>
      </c>
      <c r="B129" s="26" t="s">
        <v>370</v>
      </c>
      <c r="C129" s="27"/>
      <c r="D129" s="27"/>
      <c r="E129" s="31">
        <v>0</v>
      </c>
      <c r="F129" s="31">
        <v>0</v>
      </c>
      <c r="G129" s="31">
        <v>0</v>
      </c>
      <c r="H129" s="31">
        <v>0</v>
      </c>
      <c r="I129" s="31">
        <v>0</v>
      </c>
      <c r="J129" s="31">
        <v>0</v>
      </c>
      <c r="K129" s="31">
        <v>0</v>
      </c>
      <c r="L129" s="31">
        <v>0</v>
      </c>
      <c r="M129" s="31">
        <v>0</v>
      </c>
      <c r="N129" s="31">
        <v>0</v>
      </c>
      <c r="O129" s="27"/>
      <c r="P129" s="29"/>
      <c r="Q129" s="30"/>
    </row>
    <row r="130" spans="1:17" ht="116.25" x14ac:dyDescent="0.25">
      <c r="A130" s="25" t="s">
        <v>371</v>
      </c>
      <c r="B130" s="26" t="s">
        <v>372</v>
      </c>
      <c r="C130" s="27" t="s">
        <v>356</v>
      </c>
      <c r="D130" s="27" t="s">
        <v>366</v>
      </c>
      <c r="E130" s="28">
        <f t="shared" ref="E130:N130" si="60">SUM(E131:E131)</f>
        <v>0</v>
      </c>
      <c r="F130" s="28">
        <f t="shared" si="60"/>
        <v>0</v>
      </c>
      <c r="G130" s="28">
        <f t="shared" si="60"/>
        <v>0</v>
      </c>
      <c r="H130" s="28">
        <f t="shared" si="60"/>
        <v>0</v>
      </c>
      <c r="I130" s="28">
        <f t="shared" si="60"/>
        <v>0</v>
      </c>
      <c r="J130" s="28">
        <f t="shared" si="60"/>
        <v>0</v>
      </c>
      <c r="K130" s="28">
        <f t="shared" si="60"/>
        <v>0</v>
      </c>
      <c r="L130" s="28">
        <f t="shared" si="60"/>
        <v>0</v>
      </c>
      <c r="M130" s="28">
        <f t="shared" si="60"/>
        <v>0</v>
      </c>
      <c r="N130" s="28">
        <f t="shared" si="60"/>
        <v>0</v>
      </c>
      <c r="O130" s="27" t="s">
        <v>367</v>
      </c>
      <c r="P130" s="29" t="s">
        <v>348</v>
      </c>
      <c r="Q130" s="30" t="s">
        <v>373</v>
      </c>
    </row>
    <row r="131" spans="1:17" ht="139.5" x14ac:dyDescent="0.25">
      <c r="A131" s="25" t="s">
        <v>374</v>
      </c>
      <c r="B131" s="26" t="s">
        <v>375</v>
      </c>
      <c r="C131" s="27"/>
      <c r="D131" s="27"/>
      <c r="E131" s="31">
        <v>0</v>
      </c>
      <c r="F131" s="31">
        <v>0</v>
      </c>
      <c r="G131" s="31">
        <v>0</v>
      </c>
      <c r="H131" s="31">
        <v>0</v>
      </c>
      <c r="I131" s="31">
        <v>0</v>
      </c>
      <c r="J131" s="31">
        <v>0</v>
      </c>
      <c r="K131" s="31">
        <v>0</v>
      </c>
      <c r="L131" s="31">
        <v>0</v>
      </c>
      <c r="M131" s="31">
        <v>0</v>
      </c>
      <c r="N131" s="31">
        <v>0</v>
      </c>
      <c r="O131" s="27"/>
      <c r="P131" s="29"/>
      <c r="Q131" s="30"/>
    </row>
    <row r="132" spans="1:17" ht="139.5" x14ac:dyDescent="0.25">
      <c r="A132" s="25" t="s">
        <v>376</v>
      </c>
      <c r="B132" s="26" t="s">
        <v>377</v>
      </c>
      <c r="C132" s="27" t="s">
        <v>356</v>
      </c>
      <c r="D132" s="27" t="s">
        <v>366</v>
      </c>
      <c r="E132" s="28">
        <f t="shared" ref="E132:N132" si="61">SUM(E133:E133)</f>
        <v>0</v>
      </c>
      <c r="F132" s="28">
        <f t="shared" si="61"/>
        <v>0</v>
      </c>
      <c r="G132" s="28">
        <f t="shared" si="61"/>
        <v>0</v>
      </c>
      <c r="H132" s="28">
        <f t="shared" si="61"/>
        <v>0</v>
      </c>
      <c r="I132" s="28">
        <f t="shared" si="61"/>
        <v>0</v>
      </c>
      <c r="J132" s="28">
        <f t="shared" si="61"/>
        <v>0</v>
      </c>
      <c r="K132" s="28">
        <f t="shared" si="61"/>
        <v>0</v>
      </c>
      <c r="L132" s="28">
        <f t="shared" si="61"/>
        <v>0</v>
      </c>
      <c r="M132" s="28">
        <f t="shared" si="61"/>
        <v>0</v>
      </c>
      <c r="N132" s="28">
        <f t="shared" si="61"/>
        <v>0</v>
      </c>
      <c r="O132" s="27" t="s">
        <v>367</v>
      </c>
      <c r="P132" s="29" t="s">
        <v>348</v>
      </c>
      <c r="Q132" s="30" t="s">
        <v>378</v>
      </c>
    </row>
    <row r="133" spans="1:17" ht="139.5" x14ac:dyDescent="0.25">
      <c r="A133" s="25" t="s">
        <v>379</v>
      </c>
      <c r="B133" s="26" t="s">
        <v>380</v>
      </c>
      <c r="C133" s="27"/>
      <c r="D133" s="27"/>
      <c r="E133" s="31">
        <v>0</v>
      </c>
      <c r="F133" s="31">
        <v>0</v>
      </c>
      <c r="G133" s="31">
        <v>0</v>
      </c>
      <c r="H133" s="31">
        <v>0</v>
      </c>
      <c r="I133" s="31">
        <v>0</v>
      </c>
      <c r="J133" s="31">
        <v>0</v>
      </c>
      <c r="K133" s="31">
        <v>0</v>
      </c>
      <c r="L133" s="31">
        <v>0</v>
      </c>
      <c r="M133" s="31">
        <v>0</v>
      </c>
      <c r="N133" s="31">
        <v>0</v>
      </c>
      <c r="O133" s="27"/>
      <c r="P133" s="29"/>
      <c r="Q133" s="30"/>
    </row>
    <row r="134" spans="1:17" ht="116.25" x14ac:dyDescent="0.25">
      <c r="A134" s="25" t="s">
        <v>381</v>
      </c>
      <c r="B134" s="26" t="s">
        <v>382</v>
      </c>
      <c r="C134" s="27" t="s">
        <v>356</v>
      </c>
      <c r="D134" s="27" t="s">
        <v>366</v>
      </c>
      <c r="E134" s="28">
        <f t="shared" ref="E134:N134" si="62">SUM(E135:E135)</f>
        <v>0</v>
      </c>
      <c r="F134" s="28">
        <f t="shared" si="62"/>
        <v>0</v>
      </c>
      <c r="G134" s="28">
        <f t="shared" si="62"/>
        <v>0</v>
      </c>
      <c r="H134" s="28">
        <f t="shared" si="62"/>
        <v>0</v>
      </c>
      <c r="I134" s="28">
        <f t="shared" si="62"/>
        <v>0</v>
      </c>
      <c r="J134" s="28">
        <f t="shared" si="62"/>
        <v>0</v>
      </c>
      <c r="K134" s="28">
        <f t="shared" si="62"/>
        <v>0</v>
      </c>
      <c r="L134" s="28">
        <f t="shared" si="62"/>
        <v>0</v>
      </c>
      <c r="M134" s="28">
        <f t="shared" si="62"/>
        <v>0</v>
      </c>
      <c r="N134" s="28">
        <f t="shared" si="62"/>
        <v>0</v>
      </c>
      <c r="O134" s="27" t="s">
        <v>367</v>
      </c>
      <c r="P134" s="29" t="s">
        <v>348</v>
      </c>
      <c r="Q134" s="30" t="s">
        <v>383</v>
      </c>
    </row>
    <row r="135" spans="1:17" ht="139.5" x14ac:dyDescent="0.25">
      <c r="A135" s="25" t="s">
        <v>384</v>
      </c>
      <c r="B135" s="26" t="s">
        <v>385</v>
      </c>
      <c r="C135" s="27"/>
      <c r="D135" s="27"/>
      <c r="E135" s="31">
        <v>0</v>
      </c>
      <c r="F135" s="31">
        <v>0</v>
      </c>
      <c r="G135" s="31">
        <v>0</v>
      </c>
      <c r="H135" s="31">
        <v>0</v>
      </c>
      <c r="I135" s="31">
        <v>0</v>
      </c>
      <c r="J135" s="31">
        <v>0</v>
      </c>
      <c r="K135" s="31">
        <v>0</v>
      </c>
      <c r="L135" s="31">
        <v>0</v>
      </c>
      <c r="M135" s="31">
        <v>0</v>
      </c>
      <c r="N135" s="31">
        <v>0</v>
      </c>
      <c r="O135" s="27"/>
      <c r="P135" s="29"/>
      <c r="Q135" s="30"/>
    </row>
    <row r="136" spans="1:17" ht="139.5" x14ac:dyDescent="0.25">
      <c r="A136" s="25" t="s">
        <v>386</v>
      </c>
      <c r="B136" s="26" t="s">
        <v>387</v>
      </c>
      <c r="C136" s="27" t="s">
        <v>356</v>
      </c>
      <c r="D136" s="27" t="s">
        <v>366</v>
      </c>
      <c r="E136" s="28">
        <f>SUM(E137:E139)+23292</f>
        <v>23292</v>
      </c>
      <c r="F136" s="28">
        <f>SUM(F137:F139)+5500</f>
        <v>5500</v>
      </c>
      <c r="G136" s="28">
        <f>SUM(G137:G139)</f>
        <v>0</v>
      </c>
      <c r="H136" s="28">
        <f>SUM(H137:H139)</f>
        <v>0</v>
      </c>
      <c r="I136" s="28">
        <f>SUM(I137:I139)</f>
        <v>0</v>
      </c>
      <c r="J136" s="28">
        <f>SUM(J137:J139)</f>
        <v>0</v>
      </c>
      <c r="K136" s="28">
        <f>SUM(K137:K139)+15122</f>
        <v>15122</v>
      </c>
      <c r="L136" s="28">
        <f>SUM(L137:L139)+2670</f>
        <v>2670</v>
      </c>
      <c r="M136" s="28">
        <f>SUM(M137:M139)</f>
        <v>0</v>
      </c>
      <c r="N136" s="28">
        <f>SUM(N137:N139)</f>
        <v>0</v>
      </c>
      <c r="O136" s="27" t="s">
        <v>388</v>
      </c>
      <c r="P136" s="29" t="s">
        <v>348</v>
      </c>
      <c r="Q136" s="30" t="s">
        <v>389</v>
      </c>
    </row>
    <row r="137" spans="1:17" x14ac:dyDescent="0.25">
      <c r="A137" s="32"/>
      <c r="B137" s="33"/>
      <c r="C137" s="34"/>
      <c r="D137" s="34"/>
      <c r="E137" s="35">
        <v>0</v>
      </c>
      <c r="F137" s="35">
        <v>0</v>
      </c>
      <c r="G137" s="35">
        <v>0</v>
      </c>
      <c r="H137" s="35">
        <v>0</v>
      </c>
      <c r="I137" s="35">
        <v>0</v>
      </c>
      <c r="J137" s="35">
        <v>0</v>
      </c>
      <c r="K137" s="35">
        <v>0</v>
      </c>
      <c r="L137" s="35">
        <v>0</v>
      </c>
      <c r="M137" s="35">
        <v>0</v>
      </c>
      <c r="N137" s="35">
        <v>0</v>
      </c>
      <c r="O137" s="34" t="s">
        <v>390</v>
      </c>
      <c r="P137" s="36" t="s">
        <v>34</v>
      </c>
      <c r="Q137" s="37" t="s">
        <v>75</v>
      </c>
    </row>
    <row r="138" spans="1:17" ht="46.5" x14ac:dyDescent="0.25">
      <c r="A138" s="25" t="s">
        <v>391</v>
      </c>
      <c r="B138" s="26" t="s">
        <v>392</v>
      </c>
      <c r="C138" s="27"/>
      <c r="D138" s="27"/>
      <c r="E138" s="31">
        <v>0</v>
      </c>
      <c r="F138" s="31">
        <v>0</v>
      </c>
      <c r="G138" s="31">
        <v>0</v>
      </c>
      <c r="H138" s="31">
        <v>0</v>
      </c>
      <c r="I138" s="31">
        <v>0</v>
      </c>
      <c r="J138" s="31">
        <v>0</v>
      </c>
      <c r="K138" s="31">
        <v>0</v>
      </c>
      <c r="L138" s="31">
        <v>0</v>
      </c>
      <c r="M138" s="31">
        <v>0</v>
      </c>
      <c r="N138" s="31">
        <v>0</v>
      </c>
      <c r="O138" s="27"/>
      <c r="P138" s="29"/>
      <c r="Q138" s="30"/>
    </row>
    <row r="139" spans="1:17" ht="139.5" x14ac:dyDescent="0.25">
      <c r="A139" s="25" t="s">
        <v>393</v>
      </c>
      <c r="B139" s="26" t="s">
        <v>394</v>
      </c>
      <c r="C139" s="27"/>
      <c r="D139" s="27"/>
      <c r="E139" s="31">
        <v>0</v>
      </c>
      <c r="F139" s="31">
        <v>0</v>
      </c>
      <c r="G139" s="31">
        <v>0</v>
      </c>
      <c r="H139" s="31">
        <v>0</v>
      </c>
      <c r="I139" s="31">
        <v>0</v>
      </c>
      <c r="J139" s="31">
        <v>0</v>
      </c>
      <c r="K139" s="31">
        <v>0</v>
      </c>
      <c r="L139" s="31">
        <v>0</v>
      </c>
      <c r="M139" s="31">
        <v>0</v>
      </c>
      <c r="N139" s="31">
        <v>0</v>
      </c>
      <c r="O139" s="27"/>
      <c r="P139" s="29"/>
      <c r="Q139" s="30"/>
    </row>
    <row r="140" spans="1:17" ht="90" x14ac:dyDescent="0.25">
      <c r="A140" s="13" t="s">
        <v>395</v>
      </c>
      <c r="B140" s="14" t="s">
        <v>396</v>
      </c>
      <c r="C140" s="15" t="s">
        <v>256</v>
      </c>
      <c r="D140" s="15" t="s">
        <v>259</v>
      </c>
      <c r="E140" s="16">
        <f t="shared" ref="E140:N140" si="63">E141+E146</f>
        <v>132591.23000000001</v>
      </c>
      <c r="F140" s="16">
        <f t="shared" si="63"/>
        <v>2500</v>
      </c>
      <c r="G140" s="16">
        <f t="shared" si="63"/>
        <v>0</v>
      </c>
      <c r="H140" s="16">
        <f t="shared" si="63"/>
        <v>0</v>
      </c>
      <c r="I140" s="16">
        <f t="shared" si="63"/>
        <v>0</v>
      </c>
      <c r="J140" s="16">
        <f t="shared" si="63"/>
        <v>0</v>
      </c>
      <c r="K140" s="16">
        <f t="shared" si="63"/>
        <v>120400.95000000001</v>
      </c>
      <c r="L140" s="16">
        <f t="shared" si="63"/>
        <v>9690.2800000000007</v>
      </c>
      <c r="M140" s="16">
        <f t="shared" si="63"/>
        <v>0</v>
      </c>
      <c r="N140" s="16">
        <f t="shared" si="63"/>
        <v>0</v>
      </c>
      <c r="O140" s="15" t="s">
        <v>397</v>
      </c>
      <c r="P140" s="17" t="s">
        <v>29</v>
      </c>
      <c r="Q140" s="18" t="s">
        <v>57</v>
      </c>
    </row>
    <row r="141" spans="1:17" ht="90" x14ac:dyDescent="0.25">
      <c r="A141" s="19" t="s">
        <v>398</v>
      </c>
      <c r="B141" s="20" t="s">
        <v>399</v>
      </c>
      <c r="C141" s="21" t="s">
        <v>256</v>
      </c>
      <c r="D141" s="21" t="s">
        <v>259</v>
      </c>
      <c r="E141" s="22">
        <f t="shared" ref="E141:N141" si="64">E142+E144</f>
        <v>131491.23000000001</v>
      </c>
      <c r="F141" s="22">
        <f t="shared" si="64"/>
        <v>1400</v>
      </c>
      <c r="G141" s="22">
        <f t="shared" si="64"/>
        <v>0</v>
      </c>
      <c r="H141" s="22">
        <f t="shared" si="64"/>
        <v>0</v>
      </c>
      <c r="I141" s="22">
        <f t="shared" si="64"/>
        <v>0</v>
      </c>
      <c r="J141" s="22">
        <f t="shared" si="64"/>
        <v>0</v>
      </c>
      <c r="K141" s="22">
        <f t="shared" si="64"/>
        <v>120400.95000000001</v>
      </c>
      <c r="L141" s="22">
        <f t="shared" si="64"/>
        <v>9690.2800000000007</v>
      </c>
      <c r="M141" s="22">
        <f t="shared" si="64"/>
        <v>0</v>
      </c>
      <c r="N141" s="22">
        <f t="shared" si="64"/>
        <v>0</v>
      </c>
      <c r="O141" s="21" t="s">
        <v>400</v>
      </c>
      <c r="P141" s="23" t="s">
        <v>34</v>
      </c>
      <c r="Q141" s="24" t="s">
        <v>35</v>
      </c>
    </row>
    <row r="142" spans="1:17" ht="93" x14ac:dyDescent="0.25">
      <c r="A142" s="25" t="s">
        <v>401</v>
      </c>
      <c r="B142" s="26" t="s">
        <v>402</v>
      </c>
      <c r="C142" s="27" t="s">
        <v>256</v>
      </c>
      <c r="D142" s="27" t="s">
        <v>295</v>
      </c>
      <c r="E142" s="28">
        <f>SUM(E143:E143)+4944.62</f>
        <v>4944.62</v>
      </c>
      <c r="F142" s="28">
        <f>SUM(F143:F143)</f>
        <v>0</v>
      </c>
      <c r="G142" s="28">
        <f>SUM(G143:G143)</f>
        <v>0</v>
      </c>
      <c r="H142" s="28">
        <f>SUM(H143:H143)</f>
        <v>0</v>
      </c>
      <c r="I142" s="28">
        <f>SUM(I143:I143)</f>
        <v>0</v>
      </c>
      <c r="J142" s="28">
        <f>SUM(J143:J143)</f>
        <v>0</v>
      </c>
      <c r="K142" s="28">
        <f>SUM(K143:K143)+4942.63</f>
        <v>4942.63</v>
      </c>
      <c r="L142" s="28">
        <f>SUM(L143:L143)+1.99</f>
        <v>1.99</v>
      </c>
      <c r="M142" s="28">
        <f>SUM(M143:M143)</f>
        <v>0</v>
      </c>
      <c r="N142" s="28">
        <f>SUM(N143:N143)</f>
        <v>0</v>
      </c>
      <c r="O142" s="27" t="s">
        <v>403</v>
      </c>
      <c r="P142" s="29" t="s">
        <v>34</v>
      </c>
      <c r="Q142" s="30" t="s">
        <v>75</v>
      </c>
    </row>
    <row r="143" spans="1:17" ht="46.5" x14ac:dyDescent="0.25">
      <c r="A143" s="25" t="s">
        <v>404</v>
      </c>
      <c r="B143" s="26" t="s">
        <v>405</v>
      </c>
      <c r="C143" s="27"/>
      <c r="D143" s="27"/>
      <c r="E143" s="31">
        <v>0</v>
      </c>
      <c r="F143" s="31">
        <v>0</v>
      </c>
      <c r="G143" s="31">
        <v>0</v>
      </c>
      <c r="H143" s="31">
        <v>0</v>
      </c>
      <c r="I143" s="31">
        <v>0</v>
      </c>
      <c r="J143" s="31">
        <v>0</v>
      </c>
      <c r="K143" s="31">
        <v>0</v>
      </c>
      <c r="L143" s="31">
        <v>0</v>
      </c>
      <c r="M143" s="31">
        <v>0</v>
      </c>
      <c r="N143" s="31">
        <v>0</v>
      </c>
      <c r="O143" s="27"/>
      <c r="P143" s="29"/>
      <c r="Q143" s="30"/>
    </row>
    <row r="144" spans="1:17" ht="69.75" x14ac:dyDescent="0.25">
      <c r="A144" s="25" t="s">
        <v>406</v>
      </c>
      <c r="B144" s="26" t="s">
        <v>407</v>
      </c>
      <c r="C144" s="27" t="s">
        <v>256</v>
      </c>
      <c r="D144" s="27" t="s">
        <v>295</v>
      </c>
      <c r="E144" s="28">
        <f>SUM(E145:E145)+126546.61</f>
        <v>126546.61</v>
      </c>
      <c r="F144" s="28">
        <f>SUM(F145:F145)+1400</f>
        <v>1400</v>
      </c>
      <c r="G144" s="28">
        <f>SUM(G145:G145)</f>
        <v>0</v>
      </c>
      <c r="H144" s="28">
        <f>SUM(H145:H145)</f>
        <v>0</v>
      </c>
      <c r="I144" s="28">
        <f>SUM(I145:I145)</f>
        <v>0</v>
      </c>
      <c r="J144" s="28">
        <f>SUM(J145:J145)</f>
        <v>0</v>
      </c>
      <c r="K144" s="28">
        <f>SUM(K145:K145)+115458.32</f>
        <v>115458.32</v>
      </c>
      <c r="L144" s="28">
        <f>SUM(L145:L145)+9688.29</f>
        <v>9688.2900000000009</v>
      </c>
      <c r="M144" s="28">
        <f>SUM(M145:M145)</f>
        <v>0</v>
      </c>
      <c r="N144" s="28">
        <f>SUM(N145:N145)</f>
        <v>0</v>
      </c>
      <c r="O144" s="27" t="s">
        <v>403</v>
      </c>
      <c r="P144" s="29" t="s">
        <v>34</v>
      </c>
      <c r="Q144" s="30" t="s">
        <v>75</v>
      </c>
    </row>
    <row r="145" spans="1:17" ht="46.5" x14ac:dyDescent="0.25">
      <c r="A145" s="25" t="s">
        <v>408</v>
      </c>
      <c r="B145" s="26" t="s">
        <v>405</v>
      </c>
      <c r="C145" s="27"/>
      <c r="D145" s="27"/>
      <c r="E145" s="31">
        <v>0</v>
      </c>
      <c r="F145" s="31">
        <v>0</v>
      </c>
      <c r="G145" s="31">
        <v>0</v>
      </c>
      <c r="H145" s="31">
        <v>0</v>
      </c>
      <c r="I145" s="31">
        <v>0</v>
      </c>
      <c r="J145" s="31">
        <v>0</v>
      </c>
      <c r="K145" s="31">
        <v>0</v>
      </c>
      <c r="L145" s="31">
        <v>0</v>
      </c>
      <c r="M145" s="31">
        <v>0</v>
      </c>
      <c r="N145" s="31">
        <v>0</v>
      </c>
      <c r="O145" s="27"/>
      <c r="P145" s="29"/>
      <c r="Q145" s="30"/>
    </row>
    <row r="146" spans="1:17" ht="90" x14ac:dyDescent="0.25">
      <c r="A146" s="19" t="s">
        <v>409</v>
      </c>
      <c r="B146" s="20" t="s">
        <v>410</v>
      </c>
      <c r="C146" s="21" t="s">
        <v>256</v>
      </c>
      <c r="D146" s="21" t="s">
        <v>259</v>
      </c>
      <c r="E146" s="22">
        <f t="shared" ref="E146:N146" si="65">E147+E149+E151+E153+E155</f>
        <v>1100</v>
      </c>
      <c r="F146" s="22">
        <f t="shared" si="65"/>
        <v>1100</v>
      </c>
      <c r="G146" s="22">
        <f t="shared" si="65"/>
        <v>0</v>
      </c>
      <c r="H146" s="22">
        <f t="shared" si="65"/>
        <v>0</v>
      </c>
      <c r="I146" s="22">
        <f t="shared" si="65"/>
        <v>0</v>
      </c>
      <c r="J146" s="22">
        <f t="shared" si="65"/>
        <v>0</v>
      </c>
      <c r="K146" s="22">
        <f t="shared" si="65"/>
        <v>0</v>
      </c>
      <c r="L146" s="22">
        <f t="shared" si="65"/>
        <v>0</v>
      </c>
      <c r="M146" s="22">
        <f t="shared" si="65"/>
        <v>0</v>
      </c>
      <c r="N146" s="22">
        <f t="shared" si="65"/>
        <v>0</v>
      </c>
      <c r="O146" s="21" t="s">
        <v>400</v>
      </c>
      <c r="P146" s="23" t="s">
        <v>34</v>
      </c>
      <c r="Q146" s="24" t="s">
        <v>411</v>
      </c>
    </row>
    <row r="147" spans="1:17" ht="93" x14ac:dyDescent="0.25">
      <c r="A147" s="25" t="s">
        <v>412</v>
      </c>
      <c r="B147" s="26" t="s">
        <v>413</v>
      </c>
      <c r="C147" s="27" t="s">
        <v>256</v>
      </c>
      <c r="D147" s="27" t="s">
        <v>280</v>
      </c>
      <c r="E147" s="28">
        <f>SUM(E148:E148)+250</f>
        <v>250</v>
      </c>
      <c r="F147" s="28">
        <f>SUM(F148:F148)+250</f>
        <v>250</v>
      </c>
      <c r="G147" s="28">
        <f t="shared" ref="G147:N147" si="66">SUM(G148:G148)</f>
        <v>0</v>
      </c>
      <c r="H147" s="28">
        <f t="shared" si="66"/>
        <v>0</v>
      </c>
      <c r="I147" s="28">
        <f t="shared" si="66"/>
        <v>0</v>
      </c>
      <c r="J147" s="28">
        <f t="shared" si="66"/>
        <v>0</v>
      </c>
      <c r="K147" s="28">
        <f t="shared" si="66"/>
        <v>0</v>
      </c>
      <c r="L147" s="28">
        <f t="shared" si="66"/>
        <v>0</v>
      </c>
      <c r="M147" s="28">
        <f t="shared" si="66"/>
        <v>0</v>
      </c>
      <c r="N147" s="28">
        <f t="shared" si="66"/>
        <v>0</v>
      </c>
      <c r="O147" s="27" t="s">
        <v>414</v>
      </c>
      <c r="P147" s="29" t="s">
        <v>34</v>
      </c>
      <c r="Q147" s="30" t="s">
        <v>75</v>
      </c>
    </row>
    <row r="148" spans="1:17" ht="69.75" x14ac:dyDescent="0.25">
      <c r="A148" s="25" t="s">
        <v>415</v>
      </c>
      <c r="B148" s="26" t="s">
        <v>416</v>
      </c>
      <c r="C148" s="27"/>
      <c r="D148" s="27"/>
      <c r="E148" s="31">
        <v>0</v>
      </c>
      <c r="F148" s="31">
        <v>0</v>
      </c>
      <c r="G148" s="31">
        <v>0</v>
      </c>
      <c r="H148" s="31">
        <v>0</v>
      </c>
      <c r="I148" s="31">
        <v>0</v>
      </c>
      <c r="J148" s="31">
        <v>0</v>
      </c>
      <c r="K148" s="31">
        <v>0</v>
      </c>
      <c r="L148" s="31">
        <v>0</v>
      </c>
      <c r="M148" s="31">
        <v>0</v>
      </c>
      <c r="N148" s="31">
        <v>0</v>
      </c>
      <c r="O148" s="27"/>
      <c r="P148" s="29"/>
      <c r="Q148" s="30"/>
    </row>
    <row r="149" spans="1:17" ht="93" x14ac:dyDescent="0.25">
      <c r="A149" s="25" t="s">
        <v>417</v>
      </c>
      <c r="B149" s="26" t="s">
        <v>418</v>
      </c>
      <c r="C149" s="27" t="s">
        <v>256</v>
      </c>
      <c r="D149" s="27" t="s">
        <v>295</v>
      </c>
      <c r="E149" s="28">
        <f>SUM(E150:E150)+250</f>
        <v>250</v>
      </c>
      <c r="F149" s="28">
        <f>SUM(F150:F150)+250</f>
        <v>250</v>
      </c>
      <c r="G149" s="28">
        <f t="shared" ref="G149:N149" si="67">SUM(G150:G150)</f>
        <v>0</v>
      </c>
      <c r="H149" s="28">
        <f t="shared" si="67"/>
        <v>0</v>
      </c>
      <c r="I149" s="28">
        <f t="shared" si="67"/>
        <v>0</v>
      </c>
      <c r="J149" s="28">
        <f t="shared" si="67"/>
        <v>0</v>
      </c>
      <c r="K149" s="28">
        <f t="shared" si="67"/>
        <v>0</v>
      </c>
      <c r="L149" s="28">
        <f t="shared" si="67"/>
        <v>0</v>
      </c>
      <c r="M149" s="28">
        <f t="shared" si="67"/>
        <v>0</v>
      </c>
      <c r="N149" s="28">
        <f t="shared" si="67"/>
        <v>0</v>
      </c>
      <c r="O149" s="27" t="s">
        <v>414</v>
      </c>
      <c r="P149" s="29" t="s">
        <v>34</v>
      </c>
      <c r="Q149" s="30" t="s">
        <v>75</v>
      </c>
    </row>
    <row r="150" spans="1:17" ht="69.75" x14ac:dyDescent="0.25">
      <c r="A150" s="25" t="s">
        <v>419</v>
      </c>
      <c r="B150" s="26" t="s">
        <v>420</v>
      </c>
      <c r="C150" s="27"/>
      <c r="D150" s="27"/>
      <c r="E150" s="31">
        <v>0</v>
      </c>
      <c r="F150" s="31">
        <v>0</v>
      </c>
      <c r="G150" s="31">
        <v>0</v>
      </c>
      <c r="H150" s="31">
        <v>0</v>
      </c>
      <c r="I150" s="31">
        <v>0</v>
      </c>
      <c r="J150" s="31">
        <v>0</v>
      </c>
      <c r="K150" s="31">
        <v>0</v>
      </c>
      <c r="L150" s="31">
        <v>0</v>
      </c>
      <c r="M150" s="31">
        <v>0</v>
      </c>
      <c r="N150" s="31">
        <v>0</v>
      </c>
      <c r="O150" s="27"/>
      <c r="P150" s="29"/>
      <c r="Q150" s="30"/>
    </row>
    <row r="151" spans="1:17" ht="93" x14ac:dyDescent="0.25">
      <c r="A151" s="25" t="s">
        <v>421</v>
      </c>
      <c r="B151" s="26" t="s">
        <v>422</v>
      </c>
      <c r="C151" s="27" t="s">
        <v>256</v>
      </c>
      <c r="D151" s="27" t="s">
        <v>295</v>
      </c>
      <c r="E151" s="28">
        <f>SUM(E152:E152)+200</f>
        <v>200</v>
      </c>
      <c r="F151" s="28">
        <f>SUM(F152:F152)+200</f>
        <v>200</v>
      </c>
      <c r="G151" s="28">
        <f t="shared" ref="G151:N151" si="68">SUM(G152:G152)</f>
        <v>0</v>
      </c>
      <c r="H151" s="28">
        <f t="shared" si="68"/>
        <v>0</v>
      </c>
      <c r="I151" s="28">
        <f t="shared" si="68"/>
        <v>0</v>
      </c>
      <c r="J151" s="28">
        <f t="shared" si="68"/>
        <v>0</v>
      </c>
      <c r="K151" s="28">
        <f t="shared" si="68"/>
        <v>0</v>
      </c>
      <c r="L151" s="28">
        <f t="shared" si="68"/>
        <v>0</v>
      </c>
      <c r="M151" s="28">
        <f t="shared" si="68"/>
        <v>0</v>
      </c>
      <c r="N151" s="28">
        <f t="shared" si="68"/>
        <v>0</v>
      </c>
      <c r="O151" s="27" t="s">
        <v>414</v>
      </c>
      <c r="P151" s="29" t="s">
        <v>34</v>
      </c>
      <c r="Q151" s="30" t="s">
        <v>75</v>
      </c>
    </row>
    <row r="152" spans="1:17" ht="69.75" x14ac:dyDescent="0.25">
      <c r="A152" s="25" t="s">
        <v>423</v>
      </c>
      <c r="B152" s="26" t="s">
        <v>424</v>
      </c>
      <c r="C152" s="27"/>
      <c r="D152" s="27"/>
      <c r="E152" s="31">
        <v>0</v>
      </c>
      <c r="F152" s="31">
        <v>0</v>
      </c>
      <c r="G152" s="31">
        <v>0</v>
      </c>
      <c r="H152" s="31">
        <v>0</v>
      </c>
      <c r="I152" s="31">
        <v>0</v>
      </c>
      <c r="J152" s="31">
        <v>0</v>
      </c>
      <c r="K152" s="31">
        <v>0</v>
      </c>
      <c r="L152" s="31">
        <v>0</v>
      </c>
      <c r="M152" s="31">
        <v>0</v>
      </c>
      <c r="N152" s="31">
        <v>0</v>
      </c>
      <c r="O152" s="27"/>
      <c r="P152" s="29"/>
      <c r="Q152" s="30"/>
    </row>
    <row r="153" spans="1:17" ht="93" x14ac:dyDescent="0.25">
      <c r="A153" s="25" t="s">
        <v>425</v>
      </c>
      <c r="B153" s="26" t="s">
        <v>426</v>
      </c>
      <c r="C153" s="27" t="s">
        <v>256</v>
      </c>
      <c r="D153" s="27" t="s">
        <v>295</v>
      </c>
      <c r="E153" s="28">
        <f>SUM(E154:E154)+200</f>
        <v>200</v>
      </c>
      <c r="F153" s="28">
        <f>SUM(F154:F154)+200</f>
        <v>200</v>
      </c>
      <c r="G153" s="28">
        <f t="shared" ref="G153:N153" si="69">SUM(G154:G154)</f>
        <v>0</v>
      </c>
      <c r="H153" s="28">
        <f t="shared" si="69"/>
        <v>0</v>
      </c>
      <c r="I153" s="28">
        <f t="shared" si="69"/>
        <v>0</v>
      </c>
      <c r="J153" s="28">
        <f t="shared" si="69"/>
        <v>0</v>
      </c>
      <c r="K153" s="28">
        <f t="shared" si="69"/>
        <v>0</v>
      </c>
      <c r="L153" s="28">
        <f t="shared" si="69"/>
        <v>0</v>
      </c>
      <c r="M153" s="28">
        <f t="shared" si="69"/>
        <v>0</v>
      </c>
      <c r="N153" s="28">
        <f t="shared" si="69"/>
        <v>0</v>
      </c>
      <c r="O153" s="27" t="s">
        <v>414</v>
      </c>
      <c r="P153" s="29" t="s">
        <v>34</v>
      </c>
      <c r="Q153" s="30" t="s">
        <v>75</v>
      </c>
    </row>
    <row r="154" spans="1:17" ht="69.75" x14ac:dyDescent="0.25">
      <c r="A154" s="25" t="s">
        <v>427</v>
      </c>
      <c r="B154" s="26" t="s">
        <v>428</v>
      </c>
      <c r="C154" s="27"/>
      <c r="D154" s="27"/>
      <c r="E154" s="31">
        <v>0</v>
      </c>
      <c r="F154" s="31">
        <v>0</v>
      </c>
      <c r="G154" s="31">
        <v>0</v>
      </c>
      <c r="H154" s="31">
        <v>0</v>
      </c>
      <c r="I154" s="31">
        <v>0</v>
      </c>
      <c r="J154" s="31">
        <v>0</v>
      </c>
      <c r="K154" s="31">
        <v>0</v>
      </c>
      <c r="L154" s="31">
        <v>0</v>
      </c>
      <c r="M154" s="31">
        <v>0</v>
      </c>
      <c r="N154" s="31">
        <v>0</v>
      </c>
      <c r="O154" s="27"/>
      <c r="P154" s="29"/>
      <c r="Q154" s="30"/>
    </row>
    <row r="155" spans="1:17" ht="93" x14ac:dyDescent="0.25">
      <c r="A155" s="25" t="s">
        <v>429</v>
      </c>
      <c r="B155" s="26" t="s">
        <v>430</v>
      </c>
      <c r="C155" s="27" t="s">
        <v>256</v>
      </c>
      <c r="D155" s="27" t="s">
        <v>431</v>
      </c>
      <c r="E155" s="28">
        <f>SUM(E156:E156)+200</f>
        <v>200</v>
      </c>
      <c r="F155" s="28">
        <f>SUM(F156:F156)+200</f>
        <v>200</v>
      </c>
      <c r="G155" s="28">
        <f t="shared" ref="G155:N155" si="70">SUM(G156:G156)</f>
        <v>0</v>
      </c>
      <c r="H155" s="28">
        <f t="shared" si="70"/>
        <v>0</v>
      </c>
      <c r="I155" s="28">
        <f t="shared" si="70"/>
        <v>0</v>
      </c>
      <c r="J155" s="28">
        <f t="shared" si="70"/>
        <v>0</v>
      </c>
      <c r="K155" s="28">
        <f t="shared" si="70"/>
        <v>0</v>
      </c>
      <c r="L155" s="28">
        <f t="shared" si="70"/>
        <v>0</v>
      </c>
      <c r="M155" s="28">
        <f t="shared" si="70"/>
        <v>0</v>
      </c>
      <c r="N155" s="28">
        <f t="shared" si="70"/>
        <v>0</v>
      </c>
      <c r="O155" s="27" t="s">
        <v>414</v>
      </c>
      <c r="P155" s="29" t="s">
        <v>34</v>
      </c>
      <c r="Q155" s="30" t="s">
        <v>75</v>
      </c>
    </row>
    <row r="156" spans="1:17" ht="69.75" x14ac:dyDescent="0.25">
      <c r="A156" s="25" t="s">
        <v>432</v>
      </c>
      <c r="B156" s="26" t="s">
        <v>433</v>
      </c>
      <c r="C156" s="27"/>
      <c r="D156" s="27"/>
      <c r="E156" s="31">
        <v>0</v>
      </c>
      <c r="F156" s="31">
        <v>0</v>
      </c>
      <c r="G156" s="31">
        <v>0</v>
      </c>
      <c r="H156" s="31">
        <v>0</v>
      </c>
      <c r="I156" s="31">
        <v>0</v>
      </c>
      <c r="J156" s="31">
        <v>0</v>
      </c>
      <c r="K156" s="31">
        <v>0</v>
      </c>
      <c r="L156" s="31">
        <v>0</v>
      </c>
      <c r="M156" s="31">
        <v>0</v>
      </c>
      <c r="N156" s="31">
        <v>0</v>
      </c>
      <c r="O156" s="27"/>
      <c r="P156" s="29"/>
      <c r="Q156" s="30"/>
    </row>
    <row r="157" spans="1:17" ht="67.5" x14ac:dyDescent="0.25">
      <c r="A157" s="13" t="s">
        <v>434</v>
      </c>
      <c r="B157" s="14" t="s">
        <v>435</v>
      </c>
      <c r="C157" s="15" t="s">
        <v>256</v>
      </c>
      <c r="D157" s="15" t="s">
        <v>259</v>
      </c>
      <c r="E157" s="16">
        <f t="shared" ref="E157:N158" si="71">SUM(E158:E158)</f>
        <v>200000</v>
      </c>
      <c r="F157" s="16">
        <f t="shared" si="71"/>
        <v>200000</v>
      </c>
      <c r="G157" s="16">
        <f t="shared" si="71"/>
        <v>0</v>
      </c>
      <c r="H157" s="16">
        <f t="shared" si="71"/>
        <v>0</v>
      </c>
      <c r="I157" s="16">
        <f t="shared" si="71"/>
        <v>0</v>
      </c>
      <c r="J157" s="16">
        <f t="shared" si="71"/>
        <v>0</v>
      </c>
      <c r="K157" s="16">
        <f t="shared" si="71"/>
        <v>0</v>
      </c>
      <c r="L157" s="16">
        <f t="shared" si="71"/>
        <v>0</v>
      </c>
      <c r="M157" s="16">
        <f t="shared" si="71"/>
        <v>0</v>
      </c>
      <c r="N157" s="16">
        <f t="shared" si="71"/>
        <v>0</v>
      </c>
      <c r="O157" s="15" t="s">
        <v>436</v>
      </c>
      <c r="P157" s="17" t="s">
        <v>29</v>
      </c>
      <c r="Q157" s="18" t="s">
        <v>57</v>
      </c>
    </row>
    <row r="158" spans="1:17" ht="90" x14ac:dyDescent="0.25">
      <c r="A158" s="19" t="s">
        <v>437</v>
      </c>
      <c r="B158" s="20" t="s">
        <v>438</v>
      </c>
      <c r="C158" s="21" t="s">
        <v>256</v>
      </c>
      <c r="D158" s="21" t="s">
        <v>259</v>
      </c>
      <c r="E158" s="22">
        <f t="shared" si="71"/>
        <v>200000</v>
      </c>
      <c r="F158" s="22">
        <f t="shared" si="71"/>
        <v>200000</v>
      </c>
      <c r="G158" s="22">
        <f t="shared" si="71"/>
        <v>0</v>
      </c>
      <c r="H158" s="22">
        <f t="shared" si="71"/>
        <v>0</v>
      </c>
      <c r="I158" s="22">
        <f t="shared" si="71"/>
        <v>0</v>
      </c>
      <c r="J158" s="22">
        <f t="shared" si="71"/>
        <v>0</v>
      </c>
      <c r="K158" s="22">
        <f t="shared" si="71"/>
        <v>0</v>
      </c>
      <c r="L158" s="22">
        <f t="shared" si="71"/>
        <v>0</v>
      </c>
      <c r="M158" s="22">
        <f t="shared" si="71"/>
        <v>0</v>
      </c>
      <c r="N158" s="22">
        <f t="shared" si="71"/>
        <v>0</v>
      </c>
      <c r="O158" s="21" t="s">
        <v>439</v>
      </c>
      <c r="P158" s="23" t="s">
        <v>34</v>
      </c>
      <c r="Q158" s="24" t="s">
        <v>75</v>
      </c>
    </row>
    <row r="159" spans="1:17" ht="69.75" x14ac:dyDescent="0.25">
      <c r="A159" s="25" t="s">
        <v>440</v>
      </c>
      <c r="B159" s="26" t="s">
        <v>441</v>
      </c>
      <c r="C159" s="27" t="s">
        <v>256</v>
      </c>
      <c r="D159" s="27" t="s">
        <v>431</v>
      </c>
      <c r="E159" s="28">
        <f>SUM(E160:E160)+200000</f>
        <v>200000</v>
      </c>
      <c r="F159" s="28">
        <f>SUM(F160:F160)+200000</f>
        <v>200000</v>
      </c>
      <c r="G159" s="28">
        <f t="shared" ref="G159:N159" si="72">SUM(G160:G160)</f>
        <v>0</v>
      </c>
      <c r="H159" s="28">
        <f t="shared" si="72"/>
        <v>0</v>
      </c>
      <c r="I159" s="28">
        <f t="shared" si="72"/>
        <v>0</v>
      </c>
      <c r="J159" s="28">
        <f t="shared" si="72"/>
        <v>0</v>
      </c>
      <c r="K159" s="28">
        <f t="shared" si="72"/>
        <v>0</v>
      </c>
      <c r="L159" s="28">
        <f t="shared" si="72"/>
        <v>0</v>
      </c>
      <c r="M159" s="28">
        <f t="shared" si="72"/>
        <v>0</v>
      </c>
      <c r="N159" s="28">
        <f t="shared" si="72"/>
        <v>0</v>
      </c>
      <c r="O159" s="27" t="s">
        <v>301</v>
      </c>
      <c r="P159" s="29" t="s">
        <v>34</v>
      </c>
      <c r="Q159" s="30" t="s">
        <v>75</v>
      </c>
    </row>
    <row r="160" spans="1:17" ht="46.5" x14ac:dyDescent="0.25">
      <c r="A160" s="25" t="s">
        <v>442</v>
      </c>
      <c r="B160" s="26" t="s">
        <v>443</v>
      </c>
      <c r="C160" s="27"/>
      <c r="D160" s="27"/>
      <c r="E160" s="31">
        <v>0</v>
      </c>
      <c r="F160" s="31">
        <v>0</v>
      </c>
      <c r="G160" s="31">
        <v>0</v>
      </c>
      <c r="H160" s="31">
        <v>0</v>
      </c>
      <c r="I160" s="31">
        <v>0</v>
      </c>
      <c r="J160" s="31">
        <v>0</v>
      </c>
      <c r="K160" s="31">
        <v>0</v>
      </c>
      <c r="L160" s="31">
        <v>0</v>
      </c>
      <c r="M160" s="31">
        <v>0</v>
      </c>
      <c r="N160" s="31">
        <v>0</v>
      </c>
      <c r="O160" s="27"/>
      <c r="P160" s="29"/>
      <c r="Q160" s="30"/>
    </row>
    <row r="161" spans="1:17" ht="67.5" x14ac:dyDescent="0.25">
      <c r="A161" s="13" t="s">
        <v>444</v>
      </c>
      <c r="B161" s="14" t="s">
        <v>445</v>
      </c>
      <c r="C161" s="15" t="s">
        <v>256</v>
      </c>
      <c r="D161" s="15" t="s">
        <v>259</v>
      </c>
      <c r="E161" s="16">
        <f t="shared" ref="E161:N161" si="73">E162+E165</f>
        <v>153460</v>
      </c>
      <c r="F161" s="16">
        <f t="shared" si="73"/>
        <v>153460</v>
      </c>
      <c r="G161" s="16">
        <f t="shared" si="73"/>
        <v>0</v>
      </c>
      <c r="H161" s="16">
        <f t="shared" si="73"/>
        <v>0</v>
      </c>
      <c r="I161" s="16">
        <f t="shared" si="73"/>
        <v>0</v>
      </c>
      <c r="J161" s="16">
        <f t="shared" si="73"/>
        <v>0</v>
      </c>
      <c r="K161" s="16">
        <f t="shared" si="73"/>
        <v>0</v>
      </c>
      <c r="L161" s="16">
        <f t="shared" si="73"/>
        <v>0</v>
      </c>
      <c r="M161" s="16">
        <f t="shared" si="73"/>
        <v>0</v>
      </c>
      <c r="N161" s="16">
        <f t="shared" si="73"/>
        <v>0</v>
      </c>
      <c r="O161" s="15" t="s">
        <v>446</v>
      </c>
      <c r="P161" s="17" t="s">
        <v>34</v>
      </c>
      <c r="Q161" s="18" t="s">
        <v>184</v>
      </c>
    </row>
    <row r="162" spans="1:17" ht="90" x14ac:dyDescent="0.25">
      <c r="A162" s="19" t="s">
        <v>447</v>
      </c>
      <c r="B162" s="20" t="s">
        <v>448</v>
      </c>
      <c r="C162" s="21" t="s">
        <v>256</v>
      </c>
      <c r="D162" s="21" t="s">
        <v>259</v>
      </c>
      <c r="E162" s="22">
        <f t="shared" ref="E162:N162" si="74">SUM(E163:E163)</f>
        <v>150000</v>
      </c>
      <c r="F162" s="22">
        <f t="shared" si="74"/>
        <v>150000</v>
      </c>
      <c r="G162" s="22">
        <f t="shared" si="74"/>
        <v>0</v>
      </c>
      <c r="H162" s="22">
        <f t="shared" si="74"/>
        <v>0</v>
      </c>
      <c r="I162" s="22">
        <f t="shared" si="74"/>
        <v>0</v>
      </c>
      <c r="J162" s="22">
        <f t="shared" si="74"/>
        <v>0</v>
      </c>
      <c r="K162" s="22">
        <f t="shared" si="74"/>
        <v>0</v>
      </c>
      <c r="L162" s="22">
        <f t="shared" si="74"/>
        <v>0</v>
      </c>
      <c r="M162" s="22">
        <f t="shared" si="74"/>
        <v>0</v>
      </c>
      <c r="N162" s="22">
        <f t="shared" si="74"/>
        <v>0</v>
      </c>
      <c r="O162" s="21" t="s">
        <v>449</v>
      </c>
      <c r="P162" s="23" t="s">
        <v>34</v>
      </c>
      <c r="Q162" s="24" t="s">
        <v>184</v>
      </c>
    </row>
    <row r="163" spans="1:17" ht="69.75" x14ac:dyDescent="0.25">
      <c r="A163" s="25" t="s">
        <v>450</v>
      </c>
      <c r="B163" s="26" t="s">
        <v>451</v>
      </c>
      <c r="C163" s="27" t="s">
        <v>256</v>
      </c>
      <c r="D163" s="27" t="s">
        <v>259</v>
      </c>
      <c r="E163" s="28">
        <f>SUM(E164:E164)+150000</f>
        <v>150000</v>
      </c>
      <c r="F163" s="28">
        <f>SUM(F164:F164)+150000</f>
        <v>150000</v>
      </c>
      <c r="G163" s="28">
        <f t="shared" ref="G163:N163" si="75">SUM(G164:G164)</f>
        <v>0</v>
      </c>
      <c r="H163" s="28">
        <f t="shared" si="75"/>
        <v>0</v>
      </c>
      <c r="I163" s="28">
        <f t="shared" si="75"/>
        <v>0</v>
      </c>
      <c r="J163" s="28">
        <f t="shared" si="75"/>
        <v>0</v>
      </c>
      <c r="K163" s="28">
        <f t="shared" si="75"/>
        <v>0</v>
      </c>
      <c r="L163" s="28">
        <f t="shared" si="75"/>
        <v>0</v>
      </c>
      <c r="M163" s="28">
        <f t="shared" si="75"/>
        <v>0</v>
      </c>
      <c r="N163" s="28">
        <f t="shared" si="75"/>
        <v>0</v>
      </c>
      <c r="O163" s="27" t="s">
        <v>452</v>
      </c>
      <c r="P163" s="29" t="s">
        <v>34</v>
      </c>
      <c r="Q163" s="30" t="s">
        <v>184</v>
      </c>
    </row>
    <row r="164" spans="1:17" ht="69.75" x14ac:dyDescent="0.25">
      <c r="A164" s="25" t="s">
        <v>453</v>
      </c>
      <c r="B164" s="26" t="s">
        <v>454</v>
      </c>
      <c r="C164" s="27"/>
      <c r="D164" s="27"/>
      <c r="E164" s="31">
        <v>0</v>
      </c>
      <c r="F164" s="31">
        <v>0</v>
      </c>
      <c r="G164" s="31">
        <v>0</v>
      </c>
      <c r="H164" s="31">
        <v>0</v>
      </c>
      <c r="I164" s="31">
        <v>0</v>
      </c>
      <c r="J164" s="31">
        <v>0</v>
      </c>
      <c r="K164" s="31">
        <v>0</v>
      </c>
      <c r="L164" s="31">
        <v>0</v>
      </c>
      <c r="M164" s="31">
        <v>0</v>
      </c>
      <c r="N164" s="31">
        <v>0</v>
      </c>
      <c r="O164" s="27"/>
      <c r="P164" s="29"/>
      <c r="Q164" s="30"/>
    </row>
    <row r="165" spans="1:17" ht="112.5" x14ac:dyDescent="0.25">
      <c r="A165" s="19" t="s">
        <v>455</v>
      </c>
      <c r="B165" s="20" t="s">
        <v>456</v>
      </c>
      <c r="C165" s="21" t="s">
        <v>256</v>
      </c>
      <c r="D165" s="21" t="s">
        <v>259</v>
      </c>
      <c r="E165" s="22">
        <f t="shared" ref="E165:N165" si="76">SUM(E166:E166)</f>
        <v>3460</v>
      </c>
      <c r="F165" s="22">
        <f t="shared" si="76"/>
        <v>3460</v>
      </c>
      <c r="G165" s="22">
        <f t="shared" si="76"/>
        <v>0</v>
      </c>
      <c r="H165" s="22">
        <f t="shared" si="76"/>
        <v>0</v>
      </c>
      <c r="I165" s="22">
        <f t="shared" si="76"/>
        <v>0</v>
      </c>
      <c r="J165" s="22">
        <f t="shared" si="76"/>
        <v>0</v>
      </c>
      <c r="K165" s="22">
        <f t="shared" si="76"/>
        <v>0</v>
      </c>
      <c r="L165" s="22">
        <f t="shared" si="76"/>
        <v>0</v>
      </c>
      <c r="M165" s="22">
        <f t="shared" si="76"/>
        <v>0</v>
      </c>
      <c r="N165" s="22">
        <f t="shared" si="76"/>
        <v>0</v>
      </c>
      <c r="O165" s="21" t="s">
        <v>457</v>
      </c>
      <c r="P165" s="23" t="s">
        <v>34</v>
      </c>
      <c r="Q165" s="24" t="s">
        <v>411</v>
      </c>
    </row>
    <row r="166" spans="1:17" ht="69.75" x14ac:dyDescent="0.25">
      <c r="A166" s="25" t="s">
        <v>458</v>
      </c>
      <c r="B166" s="26" t="s">
        <v>459</v>
      </c>
      <c r="C166" s="27" t="s">
        <v>256</v>
      </c>
      <c r="D166" s="27" t="s">
        <v>259</v>
      </c>
      <c r="E166" s="28">
        <f>SUM(E167:E167)+3460</f>
        <v>3460</v>
      </c>
      <c r="F166" s="28">
        <f>SUM(F167:F167)+3460</f>
        <v>3460</v>
      </c>
      <c r="G166" s="28">
        <f t="shared" ref="G166:N166" si="77">SUM(G167:G167)</f>
        <v>0</v>
      </c>
      <c r="H166" s="28">
        <f t="shared" si="77"/>
        <v>0</v>
      </c>
      <c r="I166" s="28">
        <f t="shared" si="77"/>
        <v>0</v>
      </c>
      <c r="J166" s="28">
        <f t="shared" si="77"/>
        <v>0</v>
      </c>
      <c r="K166" s="28">
        <f t="shared" si="77"/>
        <v>0</v>
      </c>
      <c r="L166" s="28">
        <f t="shared" si="77"/>
        <v>0</v>
      </c>
      <c r="M166" s="28">
        <f t="shared" si="77"/>
        <v>0</v>
      </c>
      <c r="N166" s="28">
        <f t="shared" si="77"/>
        <v>0</v>
      </c>
      <c r="O166" s="27" t="s">
        <v>452</v>
      </c>
      <c r="P166" s="29" t="s">
        <v>34</v>
      </c>
      <c r="Q166" s="30" t="s">
        <v>75</v>
      </c>
    </row>
    <row r="167" spans="1:17" ht="69.75" x14ac:dyDescent="0.25">
      <c r="A167" s="25" t="s">
        <v>460</v>
      </c>
      <c r="B167" s="26" t="s">
        <v>461</v>
      </c>
      <c r="C167" s="27"/>
      <c r="D167" s="27"/>
      <c r="E167" s="31">
        <v>0</v>
      </c>
      <c r="F167" s="31">
        <v>0</v>
      </c>
      <c r="G167" s="31">
        <v>0</v>
      </c>
      <c r="H167" s="31">
        <v>0</v>
      </c>
      <c r="I167" s="31">
        <v>0</v>
      </c>
      <c r="J167" s="31">
        <v>0</v>
      </c>
      <c r="K167" s="31">
        <v>0</v>
      </c>
      <c r="L167" s="31">
        <v>0</v>
      </c>
      <c r="M167" s="31">
        <v>0</v>
      </c>
      <c r="N167" s="31">
        <v>0</v>
      </c>
      <c r="O167" s="27"/>
      <c r="P167" s="29"/>
      <c r="Q167" s="30"/>
    </row>
    <row r="168" spans="1:17" ht="45" x14ac:dyDescent="0.25">
      <c r="A168" s="13" t="s">
        <v>462</v>
      </c>
      <c r="B168" s="14" t="s">
        <v>463</v>
      </c>
      <c r="C168" s="15" t="s">
        <v>256</v>
      </c>
      <c r="D168" s="15" t="s">
        <v>259</v>
      </c>
      <c r="E168" s="16">
        <f t="shared" ref="E168:N169" si="78">SUM(E169:E169)</f>
        <v>10000</v>
      </c>
      <c r="F168" s="16">
        <f t="shared" si="78"/>
        <v>10000</v>
      </c>
      <c r="G168" s="16">
        <f t="shared" si="78"/>
        <v>0</v>
      </c>
      <c r="H168" s="16">
        <f t="shared" si="78"/>
        <v>0</v>
      </c>
      <c r="I168" s="16">
        <f t="shared" si="78"/>
        <v>0</v>
      </c>
      <c r="J168" s="16">
        <f t="shared" si="78"/>
        <v>0</v>
      </c>
      <c r="K168" s="16">
        <f t="shared" si="78"/>
        <v>0</v>
      </c>
      <c r="L168" s="16">
        <f t="shared" si="78"/>
        <v>0</v>
      </c>
      <c r="M168" s="16">
        <f t="shared" si="78"/>
        <v>0</v>
      </c>
      <c r="N168" s="16">
        <f t="shared" si="78"/>
        <v>0</v>
      </c>
      <c r="O168" s="15" t="s">
        <v>464</v>
      </c>
      <c r="P168" s="17" t="s">
        <v>29</v>
      </c>
      <c r="Q168" s="18" t="s">
        <v>465</v>
      </c>
    </row>
    <row r="169" spans="1:17" ht="45" x14ac:dyDescent="0.25">
      <c r="A169" s="19" t="s">
        <v>466</v>
      </c>
      <c r="B169" s="20" t="s">
        <v>467</v>
      </c>
      <c r="C169" s="21" t="s">
        <v>256</v>
      </c>
      <c r="D169" s="21" t="s">
        <v>259</v>
      </c>
      <c r="E169" s="22">
        <f t="shared" si="78"/>
        <v>10000</v>
      </c>
      <c r="F169" s="22">
        <f t="shared" si="78"/>
        <v>10000</v>
      </c>
      <c r="G169" s="22">
        <f t="shared" si="78"/>
        <v>0</v>
      </c>
      <c r="H169" s="22">
        <f t="shared" si="78"/>
        <v>0</v>
      </c>
      <c r="I169" s="22">
        <f t="shared" si="78"/>
        <v>0</v>
      </c>
      <c r="J169" s="22">
        <f t="shared" si="78"/>
        <v>0</v>
      </c>
      <c r="K169" s="22">
        <f t="shared" si="78"/>
        <v>0</v>
      </c>
      <c r="L169" s="22">
        <f t="shared" si="78"/>
        <v>0</v>
      </c>
      <c r="M169" s="22">
        <f t="shared" si="78"/>
        <v>0</v>
      </c>
      <c r="N169" s="22">
        <f t="shared" si="78"/>
        <v>0</v>
      </c>
      <c r="O169" s="21" t="s">
        <v>468</v>
      </c>
      <c r="P169" s="23" t="s">
        <v>34</v>
      </c>
      <c r="Q169" s="24" t="s">
        <v>75</v>
      </c>
    </row>
    <row r="170" spans="1:17" ht="46.5" x14ac:dyDescent="0.25">
      <c r="A170" s="25" t="s">
        <v>469</v>
      </c>
      <c r="B170" s="26" t="s">
        <v>470</v>
      </c>
      <c r="C170" s="27" t="s">
        <v>256</v>
      </c>
      <c r="D170" s="27" t="s">
        <v>259</v>
      </c>
      <c r="E170" s="28">
        <f>SUM(E171:E171)+10000</f>
        <v>10000</v>
      </c>
      <c r="F170" s="28">
        <f>SUM(F171:F171)+10000</f>
        <v>10000</v>
      </c>
      <c r="G170" s="28">
        <f t="shared" ref="G170:N170" si="79">SUM(G171:G171)</f>
        <v>0</v>
      </c>
      <c r="H170" s="28">
        <f t="shared" si="79"/>
        <v>0</v>
      </c>
      <c r="I170" s="28">
        <f t="shared" si="79"/>
        <v>0</v>
      </c>
      <c r="J170" s="28">
        <f t="shared" si="79"/>
        <v>0</v>
      </c>
      <c r="K170" s="28">
        <f t="shared" si="79"/>
        <v>0</v>
      </c>
      <c r="L170" s="28">
        <f t="shared" si="79"/>
        <v>0</v>
      </c>
      <c r="M170" s="28">
        <f t="shared" si="79"/>
        <v>0</v>
      </c>
      <c r="N170" s="28">
        <f t="shared" si="79"/>
        <v>0</v>
      </c>
      <c r="O170" s="27" t="s">
        <v>268</v>
      </c>
      <c r="P170" s="29" t="s">
        <v>34</v>
      </c>
      <c r="Q170" s="30" t="s">
        <v>75</v>
      </c>
    </row>
    <row r="171" spans="1:17" ht="46.5" x14ac:dyDescent="0.25">
      <c r="A171" s="25" t="s">
        <v>471</v>
      </c>
      <c r="B171" s="26" t="s">
        <v>472</v>
      </c>
      <c r="C171" s="27"/>
      <c r="D171" s="27"/>
      <c r="E171" s="31">
        <v>0</v>
      </c>
      <c r="F171" s="31">
        <v>0</v>
      </c>
      <c r="G171" s="31">
        <v>0</v>
      </c>
      <c r="H171" s="31">
        <v>0</v>
      </c>
      <c r="I171" s="31">
        <v>0</v>
      </c>
      <c r="J171" s="31">
        <v>0</v>
      </c>
      <c r="K171" s="31">
        <v>0</v>
      </c>
      <c r="L171" s="31">
        <v>0</v>
      </c>
      <c r="M171" s="31">
        <v>0</v>
      </c>
      <c r="N171" s="31">
        <v>0</v>
      </c>
      <c r="O171" s="27"/>
      <c r="P171" s="29"/>
      <c r="Q171" s="30"/>
    </row>
    <row r="172" spans="1:17" ht="112.5" x14ac:dyDescent="0.25">
      <c r="A172" s="13" t="s">
        <v>473</v>
      </c>
      <c r="B172" s="14" t="s">
        <v>474</v>
      </c>
      <c r="C172" s="15" t="s">
        <v>256</v>
      </c>
      <c r="D172" s="15" t="s">
        <v>259</v>
      </c>
      <c r="E172" s="16">
        <f t="shared" ref="E172:N173" si="80">SUM(E173:E173)</f>
        <v>20000</v>
      </c>
      <c r="F172" s="16">
        <f t="shared" si="80"/>
        <v>20000</v>
      </c>
      <c r="G172" s="16">
        <f t="shared" si="80"/>
        <v>0</v>
      </c>
      <c r="H172" s="16">
        <f t="shared" si="80"/>
        <v>0</v>
      </c>
      <c r="I172" s="16">
        <f t="shared" si="80"/>
        <v>0</v>
      </c>
      <c r="J172" s="16">
        <f t="shared" si="80"/>
        <v>0</v>
      </c>
      <c r="K172" s="16">
        <f t="shared" si="80"/>
        <v>0</v>
      </c>
      <c r="L172" s="16">
        <f t="shared" si="80"/>
        <v>0</v>
      </c>
      <c r="M172" s="16">
        <f t="shared" si="80"/>
        <v>0</v>
      </c>
      <c r="N172" s="16">
        <f t="shared" si="80"/>
        <v>0</v>
      </c>
      <c r="O172" s="15" t="s">
        <v>475</v>
      </c>
      <c r="P172" s="17" t="s">
        <v>29</v>
      </c>
      <c r="Q172" s="18" t="s">
        <v>476</v>
      </c>
    </row>
    <row r="173" spans="1:17" ht="90" x14ac:dyDescent="0.25">
      <c r="A173" s="19" t="s">
        <v>477</v>
      </c>
      <c r="B173" s="20" t="s">
        <v>478</v>
      </c>
      <c r="C173" s="21" t="s">
        <v>256</v>
      </c>
      <c r="D173" s="21" t="s">
        <v>259</v>
      </c>
      <c r="E173" s="22">
        <f t="shared" si="80"/>
        <v>20000</v>
      </c>
      <c r="F173" s="22">
        <f t="shared" si="80"/>
        <v>20000</v>
      </c>
      <c r="G173" s="22">
        <f t="shared" si="80"/>
        <v>0</v>
      </c>
      <c r="H173" s="22">
        <f t="shared" si="80"/>
        <v>0</v>
      </c>
      <c r="I173" s="22">
        <f t="shared" si="80"/>
        <v>0</v>
      </c>
      <c r="J173" s="22">
        <f t="shared" si="80"/>
        <v>0</v>
      </c>
      <c r="K173" s="22">
        <f t="shared" si="80"/>
        <v>0</v>
      </c>
      <c r="L173" s="22">
        <f t="shared" si="80"/>
        <v>0</v>
      </c>
      <c r="M173" s="22">
        <f t="shared" si="80"/>
        <v>0</v>
      </c>
      <c r="N173" s="22">
        <f t="shared" si="80"/>
        <v>0</v>
      </c>
      <c r="O173" s="21" t="s">
        <v>479</v>
      </c>
      <c r="P173" s="23" t="s">
        <v>34</v>
      </c>
      <c r="Q173" s="24" t="s">
        <v>75</v>
      </c>
    </row>
    <row r="174" spans="1:17" ht="116.25" x14ac:dyDescent="0.25">
      <c r="A174" s="25" t="s">
        <v>480</v>
      </c>
      <c r="B174" s="26" t="s">
        <v>481</v>
      </c>
      <c r="C174" s="27" t="s">
        <v>256</v>
      </c>
      <c r="D174" s="27" t="s">
        <v>295</v>
      </c>
      <c r="E174" s="28">
        <f>SUM(E175:E175)+20000</f>
        <v>20000</v>
      </c>
      <c r="F174" s="28">
        <f>SUM(F175:F175)+20000</f>
        <v>20000</v>
      </c>
      <c r="G174" s="28">
        <f t="shared" ref="G174:N174" si="81">SUM(G175:G175)</f>
        <v>0</v>
      </c>
      <c r="H174" s="28">
        <f t="shared" si="81"/>
        <v>0</v>
      </c>
      <c r="I174" s="28">
        <f t="shared" si="81"/>
        <v>0</v>
      </c>
      <c r="J174" s="28">
        <f t="shared" si="81"/>
        <v>0</v>
      </c>
      <c r="K174" s="28">
        <f t="shared" si="81"/>
        <v>0</v>
      </c>
      <c r="L174" s="28">
        <f t="shared" si="81"/>
        <v>0</v>
      </c>
      <c r="M174" s="28">
        <f t="shared" si="81"/>
        <v>0</v>
      </c>
      <c r="N174" s="28">
        <f t="shared" si="81"/>
        <v>0</v>
      </c>
      <c r="O174" s="27" t="s">
        <v>482</v>
      </c>
      <c r="P174" s="29" t="s">
        <v>34</v>
      </c>
      <c r="Q174" s="30" t="s">
        <v>75</v>
      </c>
    </row>
    <row r="175" spans="1:17" ht="93" x14ac:dyDescent="0.25">
      <c r="A175" s="25" t="s">
        <v>483</v>
      </c>
      <c r="B175" s="26" t="s">
        <v>484</v>
      </c>
      <c r="C175" s="27"/>
      <c r="D175" s="27"/>
      <c r="E175" s="31">
        <v>0</v>
      </c>
      <c r="F175" s="31">
        <v>0</v>
      </c>
      <c r="G175" s="31">
        <v>0</v>
      </c>
      <c r="H175" s="31">
        <v>0</v>
      </c>
      <c r="I175" s="31">
        <v>0</v>
      </c>
      <c r="J175" s="31">
        <v>0</v>
      </c>
      <c r="K175" s="31">
        <v>0</v>
      </c>
      <c r="L175" s="31">
        <v>0</v>
      </c>
      <c r="M175" s="31">
        <v>0</v>
      </c>
      <c r="N175" s="31">
        <v>0</v>
      </c>
      <c r="O175" s="27"/>
      <c r="P175" s="29"/>
      <c r="Q175" s="30"/>
    </row>
    <row r="176" spans="1:17" ht="90" x14ac:dyDescent="0.25">
      <c r="A176" s="13" t="s">
        <v>485</v>
      </c>
      <c r="B176" s="14" t="s">
        <v>486</v>
      </c>
      <c r="C176" s="15" t="s">
        <v>256</v>
      </c>
      <c r="D176" s="15" t="s">
        <v>259</v>
      </c>
      <c r="E176" s="16">
        <f t="shared" ref="E176:N176" si="82">E177+E190</f>
        <v>512139.36</v>
      </c>
      <c r="F176" s="16">
        <f t="shared" si="82"/>
        <v>168037</v>
      </c>
      <c r="G176" s="16">
        <f t="shared" si="82"/>
        <v>0</v>
      </c>
      <c r="H176" s="16">
        <f t="shared" si="82"/>
        <v>0</v>
      </c>
      <c r="I176" s="16">
        <f t="shared" si="82"/>
        <v>0</v>
      </c>
      <c r="J176" s="16">
        <f t="shared" si="82"/>
        <v>0</v>
      </c>
      <c r="K176" s="16">
        <f t="shared" si="82"/>
        <v>344102.36</v>
      </c>
      <c r="L176" s="16">
        <f t="shared" si="82"/>
        <v>0</v>
      </c>
      <c r="M176" s="16">
        <f t="shared" si="82"/>
        <v>0</v>
      </c>
      <c r="N176" s="16">
        <f t="shared" si="82"/>
        <v>0</v>
      </c>
      <c r="O176" s="15" t="s">
        <v>487</v>
      </c>
      <c r="P176" s="17" t="s">
        <v>29</v>
      </c>
      <c r="Q176" s="18" t="s">
        <v>344</v>
      </c>
    </row>
    <row r="177" spans="1:17" ht="135" x14ac:dyDescent="0.25">
      <c r="A177" s="19" t="s">
        <v>488</v>
      </c>
      <c r="B177" s="20" t="s">
        <v>489</v>
      </c>
      <c r="C177" s="21" t="s">
        <v>256</v>
      </c>
      <c r="D177" s="21" t="s">
        <v>259</v>
      </c>
      <c r="E177" s="22">
        <f t="shared" ref="E177:N177" si="83">E178+E180+E182+E184+E186+E188</f>
        <v>240000</v>
      </c>
      <c r="F177" s="22">
        <f t="shared" si="83"/>
        <v>155000</v>
      </c>
      <c r="G177" s="22">
        <f t="shared" si="83"/>
        <v>0</v>
      </c>
      <c r="H177" s="22">
        <f t="shared" si="83"/>
        <v>0</v>
      </c>
      <c r="I177" s="22">
        <f t="shared" si="83"/>
        <v>0</v>
      </c>
      <c r="J177" s="22">
        <f t="shared" si="83"/>
        <v>0</v>
      </c>
      <c r="K177" s="22">
        <f t="shared" si="83"/>
        <v>85000</v>
      </c>
      <c r="L177" s="22">
        <f t="shared" si="83"/>
        <v>0</v>
      </c>
      <c r="M177" s="22">
        <f t="shared" si="83"/>
        <v>0</v>
      </c>
      <c r="N177" s="22">
        <f t="shared" si="83"/>
        <v>0</v>
      </c>
      <c r="O177" s="21" t="s">
        <v>490</v>
      </c>
      <c r="P177" s="23" t="s">
        <v>29</v>
      </c>
      <c r="Q177" s="24" t="s">
        <v>344</v>
      </c>
    </row>
    <row r="178" spans="1:17" ht="116.25" x14ac:dyDescent="0.25">
      <c r="A178" s="25" t="s">
        <v>491</v>
      </c>
      <c r="B178" s="26" t="s">
        <v>492</v>
      </c>
      <c r="C178" s="27" t="s">
        <v>256</v>
      </c>
      <c r="D178" s="27" t="s">
        <v>295</v>
      </c>
      <c r="E178" s="28">
        <f>SUM(E179:E179)+80000</f>
        <v>80000</v>
      </c>
      <c r="F178" s="28">
        <f>SUM(F179:F179)+80000</f>
        <v>80000</v>
      </c>
      <c r="G178" s="28">
        <f t="shared" ref="G178:N178" si="84">SUM(G179:G179)</f>
        <v>0</v>
      </c>
      <c r="H178" s="28">
        <f t="shared" si="84"/>
        <v>0</v>
      </c>
      <c r="I178" s="28">
        <f t="shared" si="84"/>
        <v>0</v>
      </c>
      <c r="J178" s="28">
        <f t="shared" si="84"/>
        <v>0</v>
      </c>
      <c r="K178" s="28">
        <f t="shared" si="84"/>
        <v>0</v>
      </c>
      <c r="L178" s="28">
        <f t="shared" si="84"/>
        <v>0</v>
      </c>
      <c r="M178" s="28">
        <f t="shared" si="84"/>
        <v>0</v>
      </c>
      <c r="N178" s="28">
        <f t="shared" si="84"/>
        <v>0</v>
      </c>
      <c r="O178" s="27" t="s">
        <v>301</v>
      </c>
      <c r="P178" s="29" t="s">
        <v>34</v>
      </c>
      <c r="Q178" s="30" t="s">
        <v>75</v>
      </c>
    </row>
    <row r="179" spans="1:17" ht="46.5" x14ac:dyDescent="0.25">
      <c r="A179" s="25" t="s">
        <v>493</v>
      </c>
      <c r="B179" s="26" t="s">
        <v>443</v>
      </c>
      <c r="C179" s="27"/>
      <c r="D179" s="27"/>
      <c r="E179" s="31">
        <v>0</v>
      </c>
      <c r="F179" s="31">
        <v>0</v>
      </c>
      <c r="G179" s="31">
        <v>0</v>
      </c>
      <c r="H179" s="31">
        <v>0</v>
      </c>
      <c r="I179" s="31">
        <v>0</v>
      </c>
      <c r="J179" s="31">
        <v>0</v>
      </c>
      <c r="K179" s="31">
        <v>0</v>
      </c>
      <c r="L179" s="31">
        <v>0</v>
      </c>
      <c r="M179" s="31">
        <v>0</v>
      </c>
      <c r="N179" s="31">
        <v>0</v>
      </c>
      <c r="O179" s="27"/>
      <c r="P179" s="29"/>
      <c r="Q179" s="30"/>
    </row>
    <row r="180" spans="1:17" ht="69.75" x14ac:dyDescent="0.25">
      <c r="A180" s="25" t="s">
        <v>494</v>
      </c>
      <c r="B180" s="26" t="s">
        <v>495</v>
      </c>
      <c r="C180" s="27" t="s">
        <v>256</v>
      </c>
      <c r="D180" s="27" t="s">
        <v>295</v>
      </c>
      <c r="E180" s="28">
        <f>SUM(E181:E181)+100000</f>
        <v>100000</v>
      </c>
      <c r="F180" s="28">
        <f>SUM(F181:F181)+15000</f>
        <v>15000</v>
      </c>
      <c r="G180" s="28">
        <f>SUM(G181:G181)</f>
        <v>0</v>
      </c>
      <c r="H180" s="28">
        <f>SUM(H181:H181)</f>
        <v>0</v>
      </c>
      <c r="I180" s="28">
        <f>SUM(I181:I181)</f>
        <v>0</v>
      </c>
      <c r="J180" s="28">
        <f>SUM(J181:J181)</f>
        <v>0</v>
      </c>
      <c r="K180" s="28">
        <f>SUM(K181:K181)+85000</f>
        <v>85000</v>
      </c>
      <c r="L180" s="28">
        <f>SUM(L181:L181)</f>
        <v>0</v>
      </c>
      <c r="M180" s="28">
        <f>SUM(M181:M181)</f>
        <v>0</v>
      </c>
      <c r="N180" s="28">
        <f>SUM(N181:N181)</f>
        <v>0</v>
      </c>
      <c r="O180" s="27" t="s">
        <v>496</v>
      </c>
      <c r="P180" s="29" t="s">
        <v>34</v>
      </c>
      <c r="Q180" s="30" t="s">
        <v>75</v>
      </c>
    </row>
    <row r="181" spans="1:17" ht="46.5" x14ac:dyDescent="0.25">
      <c r="A181" s="25" t="s">
        <v>497</v>
      </c>
      <c r="B181" s="26" t="s">
        <v>443</v>
      </c>
      <c r="C181" s="27"/>
      <c r="D181" s="27"/>
      <c r="E181" s="31">
        <v>0</v>
      </c>
      <c r="F181" s="31">
        <v>0</v>
      </c>
      <c r="G181" s="31">
        <v>0</v>
      </c>
      <c r="H181" s="31">
        <v>0</v>
      </c>
      <c r="I181" s="31">
        <v>0</v>
      </c>
      <c r="J181" s="31">
        <v>0</v>
      </c>
      <c r="K181" s="31">
        <v>0</v>
      </c>
      <c r="L181" s="31">
        <v>0</v>
      </c>
      <c r="M181" s="31">
        <v>0</v>
      </c>
      <c r="N181" s="31">
        <v>0</v>
      </c>
      <c r="O181" s="27"/>
      <c r="P181" s="29"/>
      <c r="Q181" s="30"/>
    </row>
    <row r="182" spans="1:17" ht="46.5" x14ac:dyDescent="0.25">
      <c r="A182" s="25" t="s">
        <v>498</v>
      </c>
      <c r="B182" s="26" t="s">
        <v>499</v>
      </c>
      <c r="C182" s="27" t="s">
        <v>256</v>
      </c>
      <c r="D182" s="27" t="s">
        <v>295</v>
      </c>
      <c r="E182" s="28">
        <f>SUM(E183:E183)+40000</f>
        <v>40000</v>
      </c>
      <c r="F182" s="28">
        <f>SUM(F183:F183)+40000</f>
        <v>40000</v>
      </c>
      <c r="G182" s="28">
        <f t="shared" ref="G182:N182" si="85">SUM(G183:G183)</f>
        <v>0</v>
      </c>
      <c r="H182" s="28">
        <f t="shared" si="85"/>
        <v>0</v>
      </c>
      <c r="I182" s="28">
        <f t="shared" si="85"/>
        <v>0</v>
      </c>
      <c r="J182" s="28">
        <f t="shared" si="85"/>
        <v>0</v>
      </c>
      <c r="K182" s="28">
        <f t="shared" si="85"/>
        <v>0</v>
      </c>
      <c r="L182" s="28">
        <f t="shared" si="85"/>
        <v>0</v>
      </c>
      <c r="M182" s="28">
        <f t="shared" si="85"/>
        <v>0</v>
      </c>
      <c r="N182" s="28">
        <f t="shared" si="85"/>
        <v>0</v>
      </c>
      <c r="O182" s="27" t="s">
        <v>301</v>
      </c>
      <c r="P182" s="29" t="s">
        <v>34</v>
      </c>
      <c r="Q182" s="30" t="s">
        <v>75</v>
      </c>
    </row>
    <row r="183" spans="1:17" ht="46.5" x14ac:dyDescent="0.25">
      <c r="A183" s="25" t="s">
        <v>500</v>
      </c>
      <c r="B183" s="26" t="s">
        <v>443</v>
      </c>
      <c r="C183" s="27"/>
      <c r="D183" s="27"/>
      <c r="E183" s="31">
        <v>0</v>
      </c>
      <c r="F183" s="31">
        <v>0</v>
      </c>
      <c r="G183" s="31">
        <v>0</v>
      </c>
      <c r="H183" s="31">
        <v>0</v>
      </c>
      <c r="I183" s="31">
        <v>0</v>
      </c>
      <c r="J183" s="31">
        <v>0</v>
      </c>
      <c r="K183" s="31">
        <v>0</v>
      </c>
      <c r="L183" s="31">
        <v>0</v>
      </c>
      <c r="M183" s="31">
        <v>0</v>
      </c>
      <c r="N183" s="31">
        <v>0</v>
      </c>
      <c r="O183" s="27"/>
      <c r="P183" s="29"/>
      <c r="Q183" s="30"/>
    </row>
    <row r="184" spans="1:17" ht="69.75" x14ac:dyDescent="0.25">
      <c r="A184" s="25" t="s">
        <v>501</v>
      </c>
      <c r="B184" s="26" t="s">
        <v>502</v>
      </c>
      <c r="C184" s="27" t="s">
        <v>256</v>
      </c>
      <c r="D184" s="27" t="s">
        <v>266</v>
      </c>
      <c r="E184" s="28">
        <f>SUM(E185:E185)+5000</f>
        <v>5000</v>
      </c>
      <c r="F184" s="28">
        <f>SUM(F185:F185)+5000</f>
        <v>5000</v>
      </c>
      <c r="G184" s="28">
        <f t="shared" ref="G184:N184" si="86">SUM(G185:G185)</f>
        <v>0</v>
      </c>
      <c r="H184" s="28">
        <f t="shared" si="86"/>
        <v>0</v>
      </c>
      <c r="I184" s="28">
        <f t="shared" si="86"/>
        <v>0</v>
      </c>
      <c r="J184" s="28">
        <f t="shared" si="86"/>
        <v>0</v>
      </c>
      <c r="K184" s="28">
        <f t="shared" si="86"/>
        <v>0</v>
      </c>
      <c r="L184" s="28">
        <f t="shared" si="86"/>
        <v>0</v>
      </c>
      <c r="M184" s="28">
        <f t="shared" si="86"/>
        <v>0</v>
      </c>
      <c r="N184" s="28">
        <f t="shared" si="86"/>
        <v>0</v>
      </c>
      <c r="O184" s="27" t="s">
        <v>503</v>
      </c>
      <c r="P184" s="29" t="s">
        <v>34</v>
      </c>
      <c r="Q184" s="30" t="s">
        <v>75</v>
      </c>
    </row>
    <row r="185" spans="1:17" ht="93" x14ac:dyDescent="0.25">
      <c r="A185" s="25" t="s">
        <v>504</v>
      </c>
      <c r="B185" s="26" t="s">
        <v>505</v>
      </c>
      <c r="C185" s="27"/>
      <c r="D185" s="27"/>
      <c r="E185" s="31">
        <v>0</v>
      </c>
      <c r="F185" s="31">
        <v>0</v>
      </c>
      <c r="G185" s="31">
        <v>0</v>
      </c>
      <c r="H185" s="31">
        <v>0</v>
      </c>
      <c r="I185" s="31">
        <v>0</v>
      </c>
      <c r="J185" s="31">
        <v>0</v>
      </c>
      <c r="K185" s="31">
        <v>0</v>
      </c>
      <c r="L185" s="31">
        <v>0</v>
      </c>
      <c r="M185" s="31">
        <v>0</v>
      </c>
      <c r="N185" s="31">
        <v>0</v>
      </c>
      <c r="O185" s="27"/>
      <c r="P185" s="29"/>
      <c r="Q185" s="30"/>
    </row>
    <row r="186" spans="1:17" ht="93" x14ac:dyDescent="0.25">
      <c r="A186" s="25" t="s">
        <v>506</v>
      </c>
      <c r="B186" s="26" t="s">
        <v>507</v>
      </c>
      <c r="C186" s="27" t="s">
        <v>256</v>
      </c>
      <c r="D186" s="27" t="s">
        <v>266</v>
      </c>
      <c r="E186" s="28">
        <f>SUM(E187:E187)+10000</f>
        <v>10000</v>
      </c>
      <c r="F186" s="28">
        <f>SUM(F187:F187)+10000</f>
        <v>10000</v>
      </c>
      <c r="G186" s="28">
        <f t="shared" ref="G186:N186" si="87">SUM(G187:G187)</f>
        <v>0</v>
      </c>
      <c r="H186" s="28">
        <f t="shared" si="87"/>
        <v>0</v>
      </c>
      <c r="I186" s="28">
        <f t="shared" si="87"/>
        <v>0</v>
      </c>
      <c r="J186" s="28">
        <f t="shared" si="87"/>
        <v>0</v>
      </c>
      <c r="K186" s="28">
        <f t="shared" si="87"/>
        <v>0</v>
      </c>
      <c r="L186" s="28">
        <f t="shared" si="87"/>
        <v>0</v>
      </c>
      <c r="M186" s="28">
        <f t="shared" si="87"/>
        <v>0</v>
      </c>
      <c r="N186" s="28">
        <f t="shared" si="87"/>
        <v>0</v>
      </c>
      <c r="O186" s="27" t="s">
        <v>508</v>
      </c>
      <c r="P186" s="29" t="s">
        <v>34</v>
      </c>
      <c r="Q186" s="30" t="s">
        <v>75</v>
      </c>
    </row>
    <row r="187" spans="1:17" ht="46.5" x14ac:dyDescent="0.25">
      <c r="A187" s="25" t="s">
        <v>509</v>
      </c>
      <c r="B187" s="26" t="s">
        <v>510</v>
      </c>
      <c r="C187" s="27"/>
      <c r="D187" s="27"/>
      <c r="E187" s="31">
        <v>0</v>
      </c>
      <c r="F187" s="31">
        <v>0</v>
      </c>
      <c r="G187" s="31">
        <v>0</v>
      </c>
      <c r="H187" s="31">
        <v>0</v>
      </c>
      <c r="I187" s="31">
        <v>0</v>
      </c>
      <c r="J187" s="31">
        <v>0</v>
      </c>
      <c r="K187" s="31">
        <v>0</v>
      </c>
      <c r="L187" s="31">
        <v>0</v>
      </c>
      <c r="M187" s="31">
        <v>0</v>
      </c>
      <c r="N187" s="31">
        <v>0</v>
      </c>
      <c r="O187" s="27"/>
      <c r="P187" s="29"/>
      <c r="Q187" s="30"/>
    </row>
    <row r="188" spans="1:17" ht="69.75" x14ac:dyDescent="0.25">
      <c r="A188" s="25" t="s">
        <v>511</v>
      </c>
      <c r="B188" s="26" t="s">
        <v>512</v>
      </c>
      <c r="C188" s="27" t="s">
        <v>256</v>
      </c>
      <c r="D188" s="27" t="s">
        <v>266</v>
      </c>
      <c r="E188" s="28">
        <f>SUM(E189:E189)+5000</f>
        <v>5000</v>
      </c>
      <c r="F188" s="28">
        <f>SUM(F189:F189)+5000</f>
        <v>5000</v>
      </c>
      <c r="G188" s="28">
        <f t="shared" ref="G188:N188" si="88">SUM(G189:G189)</f>
        <v>0</v>
      </c>
      <c r="H188" s="28">
        <f t="shared" si="88"/>
        <v>0</v>
      </c>
      <c r="I188" s="28">
        <f t="shared" si="88"/>
        <v>0</v>
      </c>
      <c r="J188" s="28">
        <f t="shared" si="88"/>
        <v>0</v>
      </c>
      <c r="K188" s="28">
        <f t="shared" si="88"/>
        <v>0</v>
      </c>
      <c r="L188" s="28">
        <f t="shared" si="88"/>
        <v>0</v>
      </c>
      <c r="M188" s="28">
        <f t="shared" si="88"/>
        <v>0</v>
      </c>
      <c r="N188" s="28">
        <f t="shared" si="88"/>
        <v>0</v>
      </c>
      <c r="O188" s="27" t="s">
        <v>513</v>
      </c>
      <c r="P188" s="29" t="s">
        <v>34</v>
      </c>
      <c r="Q188" s="30" t="s">
        <v>75</v>
      </c>
    </row>
    <row r="189" spans="1:17" ht="46.5" x14ac:dyDescent="0.25">
      <c r="A189" s="25" t="s">
        <v>514</v>
      </c>
      <c r="B189" s="26" t="s">
        <v>515</v>
      </c>
      <c r="C189" s="27"/>
      <c r="D189" s="27"/>
      <c r="E189" s="31">
        <v>0</v>
      </c>
      <c r="F189" s="31">
        <v>0</v>
      </c>
      <c r="G189" s="31">
        <v>0</v>
      </c>
      <c r="H189" s="31">
        <v>0</v>
      </c>
      <c r="I189" s="31">
        <v>0</v>
      </c>
      <c r="J189" s="31">
        <v>0</v>
      </c>
      <c r="K189" s="31">
        <v>0</v>
      </c>
      <c r="L189" s="31">
        <v>0</v>
      </c>
      <c r="M189" s="31">
        <v>0</v>
      </c>
      <c r="N189" s="31">
        <v>0</v>
      </c>
      <c r="O189" s="27"/>
      <c r="P189" s="29"/>
      <c r="Q189" s="30"/>
    </row>
    <row r="190" spans="1:17" ht="90" x14ac:dyDescent="0.25">
      <c r="A190" s="19" t="s">
        <v>516</v>
      </c>
      <c r="B190" s="20" t="s">
        <v>517</v>
      </c>
      <c r="C190" s="21" t="s">
        <v>256</v>
      </c>
      <c r="D190" s="21" t="s">
        <v>259</v>
      </c>
      <c r="E190" s="22">
        <f t="shared" ref="E190:N190" si="89">E191+E193+E195+E197</f>
        <v>272139.36</v>
      </c>
      <c r="F190" s="22">
        <f t="shared" si="89"/>
        <v>13037</v>
      </c>
      <c r="G190" s="22">
        <f t="shared" si="89"/>
        <v>0</v>
      </c>
      <c r="H190" s="22">
        <f t="shared" si="89"/>
        <v>0</v>
      </c>
      <c r="I190" s="22">
        <f t="shared" si="89"/>
        <v>0</v>
      </c>
      <c r="J190" s="22">
        <f t="shared" si="89"/>
        <v>0</v>
      </c>
      <c r="K190" s="22">
        <f t="shared" si="89"/>
        <v>259102.36</v>
      </c>
      <c r="L190" s="22">
        <f t="shared" si="89"/>
        <v>0</v>
      </c>
      <c r="M190" s="22">
        <f t="shared" si="89"/>
        <v>0</v>
      </c>
      <c r="N190" s="22">
        <f t="shared" si="89"/>
        <v>0</v>
      </c>
      <c r="O190" s="21" t="s">
        <v>518</v>
      </c>
      <c r="P190" s="23" t="s">
        <v>34</v>
      </c>
      <c r="Q190" s="24" t="s">
        <v>519</v>
      </c>
    </row>
    <row r="191" spans="1:17" ht="93" x14ac:dyDescent="0.25">
      <c r="A191" s="25" t="s">
        <v>520</v>
      </c>
      <c r="B191" s="26" t="s">
        <v>521</v>
      </c>
      <c r="C191" s="27" t="s">
        <v>256</v>
      </c>
      <c r="D191" s="27" t="s">
        <v>431</v>
      </c>
      <c r="E191" s="28">
        <f>SUM(E192:E192)+36000</f>
        <v>36000</v>
      </c>
      <c r="F191" s="28">
        <f>SUM(F192:F192)+5400</f>
        <v>5400</v>
      </c>
      <c r="G191" s="28">
        <f>SUM(G192:G192)</f>
        <v>0</v>
      </c>
      <c r="H191" s="28">
        <f>SUM(H192:H192)</f>
        <v>0</v>
      </c>
      <c r="I191" s="28">
        <f>SUM(I192:I192)</f>
        <v>0</v>
      </c>
      <c r="J191" s="28">
        <f>SUM(J192:J192)</f>
        <v>0</v>
      </c>
      <c r="K191" s="28">
        <f>SUM(K192:K192)+30600</f>
        <v>30600</v>
      </c>
      <c r="L191" s="28">
        <f>SUM(L192:L192)</f>
        <v>0</v>
      </c>
      <c r="M191" s="28">
        <f>SUM(M192:M192)</f>
        <v>0</v>
      </c>
      <c r="N191" s="28">
        <f>SUM(N192:N192)</f>
        <v>0</v>
      </c>
      <c r="O191" s="27" t="s">
        <v>522</v>
      </c>
      <c r="P191" s="29" t="s">
        <v>34</v>
      </c>
      <c r="Q191" s="30" t="s">
        <v>411</v>
      </c>
    </row>
    <row r="192" spans="1:17" ht="46.5" x14ac:dyDescent="0.25">
      <c r="A192" s="25" t="s">
        <v>523</v>
      </c>
      <c r="B192" s="26" t="s">
        <v>524</v>
      </c>
      <c r="C192" s="27"/>
      <c r="D192" s="27"/>
      <c r="E192" s="31">
        <v>0</v>
      </c>
      <c r="F192" s="31">
        <v>0</v>
      </c>
      <c r="G192" s="31">
        <v>0</v>
      </c>
      <c r="H192" s="31">
        <v>0</v>
      </c>
      <c r="I192" s="31">
        <v>0</v>
      </c>
      <c r="J192" s="31">
        <v>0</v>
      </c>
      <c r="K192" s="31">
        <v>0</v>
      </c>
      <c r="L192" s="31">
        <v>0</v>
      </c>
      <c r="M192" s="31">
        <v>0</v>
      </c>
      <c r="N192" s="31">
        <v>0</v>
      </c>
      <c r="O192" s="27"/>
      <c r="P192" s="29"/>
      <c r="Q192" s="30"/>
    </row>
    <row r="193" spans="1:17" ht="93" x14ac:dyDescent="0.25">
      <c r="A193" s="25" t="s">
        <v>525</v>
      </c>
      <c r="B193" s="26" t="s">
        <v>526</v>
      </c>
      <c r="C193" s="27" t="s">
        <v>256</v>
      </c>
      <c r="D193" s="27" t="s">
        <v>431</v>
      </c>
      <c r="E193" s="28">
        <f>SUM(E194:E194)+65232.36</f>
        <v>65232.36</v>
      </c>
      <c r="F193" s="28">
        <f>SUM(F194:F194)</f>
        <v>0</v>
      </c>
      <c r="G193" s="28">
        <f>SUM(G194:G194)</f>
        <v>0</v>
      </c>
      <c r="H193" s="28">
        <f>SUM(H194:H194)</f>
        <v>0</v>
      </c>
      <c r="I193" s="28">
        <f>SUM(I194:I194)</f>
        <v>0</v>
      </c>
      <c r="J193" s="28">
        <f>SUM(J194:J194)</f>
        <v>0</v>
      </c>
      <c r="K193" s="28">
        <f>SUM(K194:K194)+65232.36</f>
        <v>65232.36</v>
      </c>
      <c r="L193" s="28">
        <f>SUM(L194:L194)</f>
        <v>0</v>
      </c>
      <c r="M193" s="28">
        <f>SUM(M194:M194)</f>
        <v>0</v>
      </c>
      <c r="N193" s="28">
        <f>SUM(N194:N194)</f>
        <v>0</v>
      </c>
      <c r="O193" s="27" t="s">
        <v>527</v>
      </c>
      <c r="P193" s="29" t="s">
        <v>34</v>
      </c>
      <c r="Q193" s="30" t="s">
        <v>75</v>
      </c>
    </row>
    <row r="194" spans="1:17" ht="46.5" x14ac:dyDescent="0.25">
      <c r="A194" s="25" t="s">
        <v>528</v>
      </c>
      <c r="B194" s="26" t="s">
        <v>524</v>
      </c>
      <c r="C194" s="27"/>
      <c r="D194" s="27"/>
      <c r="E194" s="31">
        <v>0</v>
      </c>
      <c r="F194" s="31">
        <v>0</v>
      </c>
      <c r="G194" s="31">
        <v>0</v>
      </c>
      <c r="H194" s="31">
        <v>0</v>
      </c>
      <c r="I194" s="31">
        <v>0</v>
      </c>
      <c r="J194" s="31">
        <v>0</v>
      </c>
      <c r="K194" s="31">
        <v>0</v>
      </c>
      <c r="L194" s="31">
        <v>0</v>
      </c>
      <c r="M194" s="31">
        <v>0</v>
      </c>
      <c r="N194" s="31">
        <v>0</v>
      </c>
      <c r="O194" s="27"/>
      <c r="P194" s="29"/>
      <c r="Q194" s="30"/>
    </row>
    <row r="195" spans="1:17" ht="116.25" x14ac:dyDescent="0.25">
      <c r="A195" s="25" t="s">
        <v>529</v>
      </c>
      <c r="B195" s="26" t="s">
        <v>530</v>
      </c>
      <c r="C195" s="27" t="s">
        <v>256</v>
      </c>
      <c r="D195" s="27" t="s">
        <v>431</v>
      </c>
      <c r="E195" s="28">
        <f>SUM(E196:E196)+120000</f>
        <v>120000</v>
      </c>
      <c r="F195" s="28">
        <f>SUM(F196:F196)</f>
        <v>0</v>
      </c>
      <c r="G195" s="28">
        <f>SUM(G196:G196)</f>
        <v>0</v>
      </c>
      <c r="H195" s="28">
        <f>SUM(H196:H196)</f>
        <v>0</v>
      </c>
      <c r="I195" s="28">
        <f>SUM(I196:I196)</f>
        <v>0</v>
      </c>
      <c r="J195" s="28">
        <f>SUM(J196:J196)</f>
        <v>0</v>
      </c>
      <c r="K195" s="28">
        <f>SUM(K196:K196)+120000</f>
        <v>120000</v>
      </c>
      <c r="L195" s="28">
        <f>SUM(L196:L196)</f>
        <v>0</v>
      </c>
      <c r="M195" s="28">
        <f>SUM(M196:M196)</f>
        <v>0</v>
      </c>
      <c r="N195" s="28">
        <f>SUM(N196:N196)</f>
        <v>0</v>
      </c>
      <c r="O195" s="27" t="s">
        <v>531</v>
      </c>
      <c r="P195" s="29" t="s">
        <v>34</v>
      </c>
      <c r="Q195" s="30" t="s">
        <v>75</v>
      </c>
    </row>
    <row r="196" spans="1:17" ht="46.5" x14ac:dyDescent="0.25">
      <c r="A196" s="25" t="s">
        <v>532</v>
      </c>
      <c r="B196" s="26" t="s">
        <v>524</v>
      </c>
      <c r="C196" s="27"/>
      <c r="D196" s="27"/>
      <c r="E196" s="31">
        <v>0</v>
      </c>
      <c r="F196" s="31">
        <v>0</v>
      </c>
      <c r="G196" s="31">
        <v>0</v>
      </c>
      <c r="H196" s="31">
        <v>0</v>
      </c>
      <c r="I196" s="31">
        <v>0</v>
      </c>
      <c r="J196" s="31">
        <v>0</v>
      </c>
      <c r="K196" s="31">
        <v>0</v>
      </c>
      <c r="L196" s="31">
        <v>0</v>
      </c>
      <c r="M196" s="31">
        <v>0</v>
      </c>
      <c r="N196" s="31">
        <v>0</v>
      </c>
      <c r="O196" s="27"/>
      <c r="P196" s="29"/>
      <c r="Q196" s="30"/>
    </row>
    <row r="197" spans="1:17" ht="69.75" x14ac:dyDescent="0.25">
      <c r="A197" s="25" t="s">
        <v>533</v>
      </c>
      <c r="B197" s="26" t="s">
        <v>534</v>
      </c>
      <c r="C197" s="27" t="s">
        <v>256</v>
      </c>
      <c r="D197" s="27" t="s">
        <v>431</v>
      </c>
      <c r="E197" s="28">
        <f>SUM(E198:E199)+50907</f>
        <v>50907</v>
      </c>
      <c r="F197" s="28">
        <f>SUM(F198:F199)+7637</f>
        <v>7637</v>
      </c>
      <c r="G197" s="28">
        <f>SUM(G198:G199)</f>
        <v>0</v>
      </c>
      <c r="H197" s="28">
        <f>SUM(H198:H199)</f>
        <v>0</v>
      </c>
      <c r="I197" s="28">
        <f>SUM(I198:I199)</f>
        <v>0</v>
      </c>
      <c r="J197" s="28">
        <f>SUM(J198:J199)</f>
        <v>0</v>
      </c>
      <c r="K197" s="28">
        <f>SUM(K198:K199)+43270</f>
        <v>43270</v>
      </c>
      <c r="L197" s="28">
        <f>SUM(L198:L199)</f>
        <v>0</v>
      </c>
      <c r="M197" s="28">
        <f>SUM(M198:M199)</f>
        <v>0</v>
      </c>
      <c r="N197" s="28">
        <f>SUM(N198:N199)</f>
        <v>0</v>
      </c>
      <c r="O197" s="27" t="s">
        <v>535</v>
      </c>
      <c r="P197" s="29" t="s">
        <v>34</v>
      </c>
      <c r="Q197" s="30" t="s">
        <v>411</v>
      </c>
    </row>
    <row r="198" spans="1:17" ht="46.5" x14ac:dyDescent="0.25">
      <c r="A198" s="32"/>
      <c r="B198" s="33"/>
      <c r="C198" s="34"/>
      <c r="D198" s="34"/>
      <c r="E198" s="35">
        <v>0</v>
      </c>
      <c r="F198" s="35">
        <v>0</v>
      </c>
      <c r="G198" s="35">
        <v>0</v>
      </c>
      <c r="H198" s="35">
        <v>0</v>
      </c>
      <c r="I198" s="35">
        <v>0</v>
      </c>
      <c r="J198" s="35">
        <v>0</v>
      </c>
      <c r="K198" s="35">
        <v>0</v>
      </c>
      <c r="L198" s="35">
        <v>0</v>
      </c>
      <c r="M198" s="35">
        <v>0</v>
      </c>
      <c r="N198" s="35">
        <v>0</v>
      </c>
      <c r="O198" s="34" t="s">
        <v>536</v>
      </c>
      <c r="P198" s="36" t="s">
        <v>34</v>
      </c>
      <c r="Q198" s="37" t="s">
        <v>75</v>
      </c>
    </row>
    <row r="199" spans="1:17" ht="93" x14ac:dyDescent="0.25">
      <c r="A199" s="25" t="s">
        <v>537</v>
      </c>
      <c r="B199" s="26" t="s">
        <v>538</v>
      </c>
      <c r="C199" s="27"/>
      <c r="D199" s="27"/>
      <c r="E199" s="31">
        <v>0</v>
      </c>
      <c r="F199" s="31">
        <v>0</v>
      </c>
      <c r="G199" s="31">
        <v>0</v>
      </c>
      <c r="H199" s="31">
        <v>0</v>
      </c>
      <c r="I199" s="31">
        <v>0</v>
      </c>
      <c r="J199" s="31">
        <v>0</v>
      </c>
      <c r="K199" s="31">
        <v>0</v>
      </c>
      <c r="L199" s="31">
        <v>0</v>
      </c>
      <c r="M199" s="31">
        <v>0</v>
      </c>
      <c r="N199" s="31">
        <v>0</v>
      </c>
      <c r="O199" s="27"/>
      <c r="P199" s="29"/>
      <c r="Q199" s="30"/>
    </row>
    <row r="200" spans="1:17" ht="90" x14ac:dyDescent="0.25">
      <c r="A200" s="13" t="s">
        <v>539</v>
      </c>
      <c r="B200" s="14" t="s">
        <v>540</v>
      </c>
      <c r="C200" s="15" t="s">
        <v>256</v>
      </c>
      <c r="D200" s="15" t="s">
        <v>259</v>
      </c>
      <c r="E200" s="16">
        <f t="shared" ref="E200:N200" si="90">E201+E208</f>
        <v>796355.15</v>
      </c>
      <c r="F200" s="16">
        <f t="shared" si="90"/>
        <v>146355.15</v>
      </c>
      <c r="G200" s="16">
        <f t="shared" si="90"/>
        <v>0</v>
      </c>
      <c r="H200" s="16">
        <f t="shared" si="90"/>
        <v>0</v>
      </c>
      <c r="I200" s="16">
        <f t="shared" si="90"/>
        <v>0</v>
      </c>
      <c r="J200" s="16">
        <f t="shared" si="90"/>
        <v>0</v>
      </c>
      <c r="K200" s="16">
        <f t="shared" si="90"/>
        <v>650000</v>
      </c>
      <c r="L200" s="16">
        <f t="shared" si="90"/>
        <v>0</v>
      </c>
      <c r="M200" s="16">
        <f t="shared" si="90"/>
        <v>0</v>
      </c>
      <c r="N200" s="16">
        <f t="shared" si="90"/>
        <v>0</v>
      </c>
      <c r="O200" s="15" t="s">
        <v>541</v>
      </c>
      <c r="P200" s="17" t="s">
        <v>29</v>
      </c>
      <c r="Q200" s="18" t="s">
        <v>200</v>
      </c>
    </row>
    <row r="201" spans="1:17" ht="90" x14ac:dyDescent="0.25">
      <c r="A201" s="19" t="s">
        <v>542</v>
      </c>
      <c r="B201" s="20" t="s">
        <v>543</v>
      </c>
      <c r="C201" s="21" t="s">
        <v>256</v>
      </c>
      <c r="D201" s="21" t="s">
        <v>259</v>
      </c>
      <c r="E201" s="22">
        <f t="shared" ref="E201:N201" si="91">E202+E204+E206</f>
        <v>346355.15</v>
      </c>
      <c r="F201" s="22">
        <f t="shared" si="91"/>
        <v>146355.15</v>
      </c>
      <c r="G201" s="22">
        <f t="shared" si="91"/>
        <v>0</v>
      </c>
      <c r="H201" s="22">
        <f t="shared" si="91"/>
        <v>0</v>
      </c>
      <c r="I201" s="22">
        <f t="shared" si="91"/>
        <v>0</v>
      </c>
      <c r="J201" s="22">
        <f t="shared" si="91"/>
        <v>0</v>
      </c>
      <c r="K201" s="22">
        <f t="shared" si="91"/>
        <v>200000</v>
      </c>
      <c r="L201" s="22">
        <f t="shared" si="91"/>
        <v>0</v>
      </c>
      <c r="M201" s="22">
        <f t="shared" si="91"/>
        <v>0</v>
      </c>
      <c r="N201" s="22">
        <f t="shared" si="91"/>
        <v>0</v>
      </c>
      <c r="O201" s="21" t="s">
        <v>544</v>
      </c>
      <c r="P201" s="23" t="s">
        <v>29</v>
      </c>
      <c r="Q201" s="24" t="s">
        <v>411</v>
      </c>
    </row>
    <row r="202" spans="1:17" ht="93" x14ac:dyDescent="0.25">
      <c r="A202" s="25" t="s">
        <v>545</v>
      </c>
      <c r="B202" s="26" t="s">
        <v>546</v>
      </c>
      <c r="C202" s="27" t="s">
        <v>256</v>
      </c>
      <c r="D202" s="27" t="s">
        <v>266</v>
      </c>
      <c r="E202" s="28">
        <f>SUM(E203:E203)+156542.06</f>
        <v>156542.06</v>
      </c>
      <c r="F202" s="28">
        <f>SUM(F203:F203)+56542.06</f>
        <v>56542.06</v>
      </c>
      <c r="G202" s="28">
        <f>SUM(G203:G203)</f>
        <v>0</v>
      </c>
      <c r="H202" s="28">
        <f>SUM(H203:H203)</f>
        <v>0</v>
      </c>
      <c r="I202" s="28">
        <f>SUM(I203:I203)</f>
        <v>0</v>
      </c>
      <c r="J202" s="28">
        <f>SUM(J203:J203)</f>
        <v>0</v>
      </c>
      <c r="K202" s="28">
        <f>SUM(K203:K203)+100000</f>
        <v>100000</v>
      </c>
      <c r="L202" s="28">
        <f>SUM(L203:L203)</f>
        <v>0</v>
      </c>
      <c r="M202" s="28">
        <f>SUM(M203:M203)</f>
        <v>0</v>
      </c>
      <c r="N202" s="28">
        <f>SUM(N203:N203)</f>
        <v>0</v>
      </c>
      <c r="O202" s="27" t="s">
        <v>503</v>
      </c>
      <c r="P202" s="29" t="s">
        <v>34</v>
      </c>
      <c r="Q202" s="30" t="s">
        <v>75</v>
      </c>
    </row>
    <row r="203" spans="1:17" ht="93" x14ac:dyDescent="0.25">
      <c r="A203" s="25" t="s">
        <v>547</v>
      </c>
      <c r="B203" s="26" t="s">
        <v>505</v>
      </c>
      <c r="C203" s="27"/>
      <c r="D203" s="27"/>
      <c r="E203" s="31">
        <v>0</v>
      </c>
      <c r="F203" s="31">
        <v>0</v>
      </c>
      <c r="G203" s="31">
        <v>0</v>
      </c>
      <c r="H203" s="31">
        <v>0</v>
      </c>
      <c r="I203" s="31">
        <v>0</v>
      </c>
      <c r="J203" s="31">
        <v>0</v>
      </c>
      <c r="K203" s="31">
        <v>0</v>
      </c>
      <c r="L203" s="31">
        <v>0</v>
      </c>
      <c r="M203" s="31">
        <v>0</v>
      </c>
      <c r="N203" s="31">
        <v>0</v>
      </c>
      <c r="O203" s="27"/>
      <c r="P203" s="29"/>
      <c r="Q203" s="30"/>
    </row>
    <row r="204" spans="1:17" ht="69.75" x14ac:dyDescent="0.25">
      <c r="A204" s="25" t="s">
        <v>548</v>
      </c>
      <c r="B204" s="26" t="s">
        <v>549</v>
      </c>
      <c r="C204" s="27" t="s">
        <v>256</v>
      </c>
      <c r="D204" s="27" t="s">
        <v>266</v>
      </c>
      <c r="E204" s="28">
        <f>SUM(E205:E205)+156542.06</f>
        <v>156542.06</v>
      </c>
      <c r="F204" s="28">
        <f>SUM(F205:F205)+56542.06</f>
        <v>56542.06</v>
      </c>
      <c r="G204" s="28">
        <f>SUM(G205:G205)</f>
        <v>0</v>
      </c>
      <c r="H204" s="28">
        <f>SUM(H205:H205)</f>
        <v>0</v>
      </c>
      <c r="I204" s="28">
        <f>SUM(I205:I205)</f>
        <v>0</v>
      </c>
      <c r="J204" s="28">
        <f>SUM(J205:J205)</f>
        <v>0</v>
      </c>
      <c r="K204" s="28">
        <f>SUM(K205:K205)+100000</f>
        <v>100000</v>
      </c>
      <c r="L204" s="28">
        <f>SUM(L205:L205)</f>
        <v>0</v>
      </c>
      <c r="M204" s="28">
        <f>SUM(M205:M205)</f>
        <v>0</v>
      </c>
      <c r="N204" s="28">
        <f>SUM(N205:N205)</f>
        <v>0</v>
      </c>
      <c r="O204" s="27" t="s">
        <v>503</v>
      </c>
      <c r="P204" s="29" t="s">
        <v>34</v>
      </c>
      <c r="Q204" s="30" t="s">
        <v>75</v>
      </c>
    </row>
    <row r="205" spans="1:17" ht="93" x14ac:dyDescent="0.25">
      <c r="A205" s="25" t="s">
        <v>550</v>
      </c>
      <c r="B205" s="26" t="s">
        <v>505</v>
      </c>
      <c r="C205" s="27"/>
      <c r="D205" s="27"/>
      <c r="E205" s="31">
        <v>0</v>
      </c>
      <c r="F205" s="31">
        <v>0</v>
      </c>
      <c r="G205" s="31">
        <v>0</v>
      </c>
      <c r="H205" s="31">
        <v>0</v>
      </c>
      <c r="I205" s="31">
        <v>0</v>
      </c>
      <c r="J205" s="31">
        <v>0</v>
      </c>
      <c r="K205" s="31">
        <v>0</v>
      </c>
      <c r="L205" s="31">
        <v>0</v>
      </c>
      <c r="M205" s="31">
        <v>0</v>
      </c>
      <c r="N205" s="31">
        <v>0</v>
      </c>
      <c r="O205" s="27"/>
      <c r="P205" s="29"/>
      <c r="Q205" s="30"/>
    </row>
    <row r="206" spans="1:17" ht="116.25" x14ac:dyDescent="0.25">
      <c r="A206" s="25" t="s">
        <v>551</v>
      </c>
      <c r="B206" s="26" t="s">
        <v>552</v>
      </c>
      <c r="C206" s="27" t="s">
        <v>256</v>
      </c>
      <c r="D206" s="27" t="s">
        <v>266</v>
      </c>
      <c r="E206" s="28">
        <f>SUM(E207:E207)+33271.03</f>
        <v>33271.03</v>
      </c>
      <c r="F206" s="28">
        <f>SUM(F207:F207)+33271.03</f>
        <v>33271.03</v>
      </c>
      <c r="G206" s="28">
        <f t="shared" ref="G206:N206" si="92">SUM(G207:G207)</f>
        <v>0</v>
      </c>
      <c r="H206" s="28">
        <f t="shared" si="92"/>
        <v>0</v>
      </c>
      <c r="I206" s="28">
        <f t="shared" si="92"/>
        <v>0</v>
      </c>
      <c r="J206" s="28">
        <f t="shared" si="92"/>
        <v>0</v>
      </c>
      <c r="K206" s="28">
        <f t="shared" si="92"/>
        <v>0</v>
      </c>
      <c r="L206" s="28">
        <f t="shared" si="92"/>
        <v>0</v>
      </c>
      <c r="M206" s="28">
        <f t="shared" si="92"/>
        <v>0</v>
      </c>
      <c r="N206" s="28">
        <f t="shared" si="92"/>
        <v>0</v>
      </c>
      <c r="O206" s="27" t="s">
        <v>503</v>
      </c>
      <c r="P206" s="29" t="s">
        <v>34</v>
      </c>
      <c r="Q206" s="30" t="s">
        <v>75</v>
      </c>
    </row>
    <row r="207" spans="1:17" ht="69.75" x14ac:dyDescent="0.25">
      <c r="A207" s="25" t="s">
        <v>553</v>
      </c>
      <c r="B207" s="26" t="s">
        <v>554</v>
      </c>
      <c r="C207" s="27"/>
      <c r="D207" s="27"/>
      <c r="E207" s="31">
        <v>0</v>
      </c>
      <c r="F207" s="31">
        <v>0</v>
      </c>
      <c r="G207" s="31">
        <v>0</v>
      </c>
      <c r="H207" s="31">
        <v>0</v>
      </c>
      <c r="I207" s="31">
        <v>0</v>
      </c>
      <c r="J207" s="31">
        <v>0</v>
      </c>
      <c r="K207" s="31">
        <v>0</v>
      </c>
      <c r="L207" s="31">
        <v>0</v>
      </c>
      <c r="M207" s="31">
        <v>0</v>
      </c>
      <c r="N207" s="31">
        <v>0</v>
      </c>
      <c r="O207" s="27"/>
      <c r="P207" s="29"/>
      <c r="Q207" s="30"/>
    </row>
    <row r="208" spans="1:17" ht="67.5" x14ac:dyDescent="0.25">
      <c r="A208" s="19" t="s">
        <v>555</v>
      </c>
      <c r="B208" s="20" t="s">
        <v>556</v>
      </c>
      <c r="C208" s="21" t="s">
        <v>256</v>
      </c>
      <c r="D208" s="21" t="s">
        <v>259</v>
      </c>
      <c r="E208" s="22">
        <f t="shared" ref="E208:N208" si="93">SUM(E209:E209)</f>
        <v>450000</v>
      </c>
      <c r="F208" s="22">
        <f t="shared" si="93"/>
        <v>0</v>
      </c>
      <c r="G208" s="22">
        <f t="shared" si="93"/>
        <v>0</v>
      </c>
      <c r="H208" s="22">
        <f t="shared" si="93"/>
        <v>0</v>
      </c>
      <c r="I208" s="22">
        <f t="shared" si="93"/>
        <v>0</v>
      </c>
      <c r="J208" s="22">
        <f t="shared" si="93"/>
        <v>0</v>
      </c>
      <c r="K208" s="22">
        <f t="shared" si="93"/>
        <v>450000</v>
      </c>
      <c r="L208" s="22">
        <f t="shared" si="93"/>
        <v>0</v>
      </c>
      <c r="M208" s="22">
        <f t="shared" si="93"/>
        <v>0</v>
      </c>
      <c r="N208" s="22">
        <f t="shared" si="93"/>
        <v>0</v>
      </c>
      <c r="O208" s="21" t="s">
        <v>229</v>
      </c>
      <c r="P208" s="23" t="s">
        <v>29</v>
      </c>
      <c r="Q208" s="24" t="s">
        <v>30</v>
      </c>
    </row>
    <row r="209" spans="1:17" ht="69.75" x14ac:dyDescent="0.25">
      <c r="A209" s="25" t="s">
        <v>557</v>
      </c>
      <c r="B209" s="26" t="s">
        <v>558</v>
      </c>
      <c r="C209" s="27" t="s">
        <v>256</v>
      </c>
      <c r="D209" s="27" t="s">
        <v>266</v>
      </c>
      <c r="E209" s="28">
        <f>SUM(E210:E211)+450000</f>
        <v>450000</v>
      </c>
      <c r="F209" s="28">
        <f>SUM(F210:F211)</f>
        <v>0</v>
      </c>
      <c r="G209" s="28">
        <f>SUM(G210:G211)</f>
        <v>0</v>
      </c>
      <c r="H209" s="28">
        <f>SUM(H210:H211)</f>
        <v>0</v>
      </c>
      <c r="I209" s="28">
        <f>SUM(I210:I211)</f>
        <v>0</v>
      </c>
      <c r="J209" s="28">
        <f>SUM(J210:J211)</f>
        <v>0</v>
      </c>
      <c r="K209" s="28">
        <f>SUM(K210:K211)+450000</f>
        <v>450000</v>
      </c>
      <c r="L209" s="28">
        <f>SUM(L210:L211)</f>
        <v>0</v>
      </c>
      <c r="M209" s="28">
        <f>SUM(M210:M211)</f>
        <v>0</v>
      </c>
      <c r="N209" s="28">
        <f>SUM(N210:N211)</f>
        <v>0</v>
      </c>
      <c r="O209" s="27" t="s">
        <v>559</v>
      </c>
      <c r="P209" s="29" t="s">
        <v>34</v>
      </c>
      <c r="Q209" s="30" t="s">
        <v>246</v>
      </c>
    </row>
    <row r="210" spans="1:17" ht="46.5" x14ac:dyDescent="0.25">
      <c r="A210" s="25" t="s">
        <v>560</v>
      </c>
      <c r="B210" s="26" t="s">
        <v>561</v>
      </c>
      <c r="C210" s="27"/>
      <c r="D210" s="27"/>
      <c r="E210" s="31">
        <v>0</v>
      </c>
      <c r="F210" s="31">
        <v>0</v>
      </c>
      <c r="G210" s="31">
        <v>0</v>
      </c>
      <c r="H210" s="31">
        <v>0</v>
      </c>
      <c r="I210" s="31">
        <v>0</v>
      </c>
      <c r="J210" s="31">
        <v>0</v>
      </c>
      <c r="K210" s="31">
        <v>0</v>
      </c>
      <c r="L210" s="31">
        <v>0</v>
      </c>
      <c r="M210" s="31">
        <v>0</v>
      </c>
      <c r="N210" s="31">
        <v>0</v>
      </c>
      <c r="O210" s="27"/>
      <c r="P210" s="29"/>
      <c r="Q210" s="30"/>
    </row>
    <row r="211" spans="1:17" ht="93" x14ac:dyDescent="0.25">
      <c r="A211" s="25" t="s">
        <v>562</v>
      </c>
      <c r="B211" s="26" t="s">
        <v>563</v>
      </c>
      <c r="C211" s="27"/>
      <c r="D211" s="27"/>
      <c r="E211" s="31">
        <v>0</v>
      </c>
      <c r="F211" s="31">
        <v>0</v>
      </c>
      <c r="G211" s="31">
        <v>0</v>
      </c>
      <c r="H211" s="31">
        <v>0</v>
      </c>
      <c r="I211" s="31">
        <v>0</v>
      </c>
      <c r="J211" s="31">
        <v>0</v>
      </c>
      <c r="K211" s="31">
        <v>0</v>
      </c>
      <c r="L211" s="31">
        <v>0</v>
      </c>
      <c r="M211" s="31">
        <v>0</v>
      </c>
      <c r="N211" s="31">
        <v>0</v>
      </c>
      <c r="O211" s="27"/>
      <c r="P211" s="29"/>
      <c r="Q211" s="30"/>
    </row>
    <row r="212" spans="1:17" ht="90" x14ac:dyDescent="0.25">
      <c r="A212" s="13" t="s">
        <v>564</v>
      </c>
      <c r="B212" s="14" t="s">
        <v>565</v>
      </c>
      <c r="C212" s="15" t="s">
        <v>256</v>
      </c>
      <c r="D212" s="15" t="s">
        <v>259</v>
      </c>
      <c r="E212" s="16">
        <f t="shared" ref="E212:N212" si="94">SUM(E213:E213)</f>
        <v>230000</v>
      </c>
      <c r="F212" s="16">
        <f t="shared" si="94"/>
        <v>230000</v>
      </c>
      <c r="G212" s="16">
        <f t="shared" si="94"/>
        <v>0</v>
      </c>
      <c r="H212" s="16">
        <f t="shared" si="94"/>
        <v>0</v>
      </c>
      <c r="I212" s="16">
        <f t="shared" si="94"/>
        <v>0</v>
      </c>
      <c r="J212" s="16">
        <f t="shared" si="94"/>
        <v>0</v>
      </c>
      <c r="K212" s="16">
        <f t="shared" si="94"/>
        <v>0</v>
      </c>
      <c r="L212" s="16">
        <f t="shared" si="94"/>
        <v>0</v>
      </c>
      <c r="M212" s="16">
        <f t="shared" si="94"/>
        <v>0</v>
      </c>
      <c r="N212" s="16">
        <f t="shared" si="94"/>
        <v>0</v>
      </c>
      <c r="O212" s="15" t="s">
        <v>566</v>
      </c>
      <c r="P212" s="17" t="s">
        <v>29</v>
      </c>
      <c r="Q212" s="18" t="s">
        <v>57</v>
      </c>
    </row>
    <row r="213" spans="1:17" ht="112.5" x14ac:dyDescent="0.25">
      <c r="A213" s="19" t="s">
        <v>567</v>
      </c>
      <c r="B213" s="20" t="s">
        <v>568</v>
      </c>
      <c r="C213" s="21" t="s">
        <v>256</v>
      </c>
      <c r="D213" s="21" t="s">
        <v>259</v>
      </c>
      <c r="E213" s="22">
        <f t="shared" ref="E213:N213" si="95">E214+E216+E218+E220</f>
        <v>230000</v>
      </c>
      <c r="F213" s="22">
        <f t="shared" si="95"/>
        <v>230000</v>
      </c>
      <c r="G213" s="22">
        <f t="shared" si="95"/>
        <v>0</v>
      </c>
      <c r="H213" s="22">
        <f t="shared" si="95"/>
        <v>0</v>
      </c>
      <c r="I213" s="22">
        <f t="shared" si="95"/>
        <v>0</v>
      </c>
      <c r="J213" s="22">
        <f t="shared" si="95"/>
        <v>0</v>
      </c>
      <c r="K213" s="22">
        <f t="shared" si="95"/>
        <v>0</v>
      </c>
      <c r="L213" s="22">
        <f t="shared" si="95"/>
        <v>0</v>
      </c>
      <c r="M213" s="22">
        <f t="shared" si="95"/>
        <v>0</v>
      </c>
      <c r="N213" s="22">
        <f t="shared" si="95"/>
        <v>0</v>
      </c>
      <c r="O213" s="21" t="s">
        <v>569</v>
      </c>
      <c r="P213" s="23" t="s">
        <v>29</v>
      </c>
      <c r="Q213" s="24" t="s">
        <v>411</v>
      </c>
    </row>
    <row r="214" spans="1:17" ht="139.5" x14ac:dyDescent="0.25">
      <c r="A214" s="25" t="s">
        <v>570</v>
      </c>
      <c r="B214" s="26" t="s">
        <v>571</v>
      </c>
      <c r="C214" s="27" t="s">
        <v>256</v>
      </c>
      <c r="D214" s="27" t="s">
        <v>266</v>
      </c>
      <c r="E214" s="28">
        <f>SUM(E215:E215)+30000</f>
        <v>30000</v>
      </c>
      <c r="F214" s="28">
        <f>SUM(F215:F215)+30000</f>
        <v>30000</v>
      </c>
      <c r="G214" s="28">
        <f t="shared" ref="G214:N214" si="96">SUM(G215:G215)</f>
        <v>0</v>
      </c>
      <c r="H214" s="28">
        <f t="shared" si="96"/>
        <v>0</v>
      </c>
      <c r="I214" s="28">
        <f t="shared" si="96"/>
        <v>0</v>
      </c>
      <c r="J214" s="28">
        <f t="shared" si="96"/>
        <v>0</v>
      </c>
      <c r="K214" s="28">
        <f t="shared" si="96"/>
        <v>0</v>
      </c>
      <c r="L214" s="28">
        <f t="shared" si="96"/>
        <v>0</v>
      </c>
      <c r="M214" s="28">
        <f t="shared" si="96"/>
        <v>0</v>
      </c>
      <c r="N214" s="28">
        <f t="shared" si="96"/>
        <v>0</v>
      </c>
      <c r="O214" s="27" t="s">
        <v>301</v>
      </c>
      <c r="P214" s="29" t="s">
        <v>34</v>
      </c>
      <c r="Q214" s="30" t="s">
        <v>75</v>
      </c>
    </row>
    <row r="215" spans="1:17" ht="46.5" x14ac:dyDescent="0.25">
      <c r="A215" s="25" t="s">
        <v>572</v>
      </c>
      <c r="B215" s="26" t="s">
        <v>443</v>
      </c>
      <c r="C215" s="27"/>
      <c r="D215" s="27"/>
      <c r="E215" s="31">
        <v>0</v>
      </c>
      <c r="F215" s="31">
        <v>0</v>
      </c>
      <c r="G215" s="31">
        <v>0</v>
      </c>
      <c r="H215" s="31">
        <v>0</v>
      </c>
      <c r="I215" s="31">
        <v>0</v>
      </c>
      <c r="J215" s="31">
        <v>0</v>
      </c>
      <c r="K215" s="31">
        <v>0</v>
      </c>
      <c r="L215" s="31">
        <v>0</v>
      </c>
      <c r="M215" s="31">
        <v>0</v>
      </c>
      <c r="N215" s="31">
        <v>0</v>
      </c>
      <c r="O215" s="27"/>
      <c r="P215" s="29"/>
      <c r="Q215" s="30"/>
    </row>
    <row r="216" spans="1:17" ht="69.75" x14ac:dyDescent="0.25">
      <c r="A216" s="25" t="s">
        <v>573</v>
      </c>
      <c r="B216" s="26" t="s">
        <v>574</v>
      </c>
      <c r="C216" s="27" t="s">
        <v>256</v>
      </c>
      <c r="D216" s="27" t="s">
        <v>266</v>
      </c>
      <c r="E216" s="28">
        <f>SUM(E217:E217)+100000</f>
        <v>100000</v>
      </c>
      <c r="F216" s="28">
        <f>SUM(F217:F217)+100000</f>
        <v>100000</v>
      </c>
      <c r="G216" s="28">
        <f t="shared" ref="G216:N216" si="97">SUM(G217:G217)</f>
        <v>0</v>
      </c>
      <c r="H216" s="28">
        <f t="shared" si="97"/>
        <v>0</v>
      </c>
      <c r="I216" s="28">
        <f t="shared" si="97"/>
        <v>0</v>
      </c>
      <c r="J216" s="28">
        <f t="shared" si="97"/>
        <v>0</v>
      </c>
      <c r="K216" s="28">
        <f t="shared" si="97"/>
        <v>0</v>
      </c>
      <c r="L216" s="28">
        <f t="shared" si="97"/>
        <v>0</v>
      </c>
      <c r="M216" s="28">
        <f t="shared" si="97"/>
        <v>0</v>
      </c>
      <c r="N216" s="28">
        <f t="shared" si="97"/>
        <v>0</v>
      </c>
      <c r="O216" s="27" t="s">
        <v>301</v>
      </c>
      <c r="P216" s="29" t="s">
        <v>34</v>
      </c>
      <c r="Q216" s="30" t="s">
        <v>75</v>
      </c>
    </row>
    <row r="217" spans="1:17" ht="46.5" x14ac:dyDescent="0.25">
      <c r="A217" s="25" t="s">
        <v>575</v>
      </c>
      <c r="B217" s="26" t="s">
        <v>443</v>
      </c>
      <c r="C217" s="27"/>
      <c r="D217" s="27"/>
      <c r="E217" s="31">
        <v>0</v>
      </c>
      <c r="F217" s="31">
        <v>0</v>
      </c>
      <c r="G217" s="31">
        <v>0</v>
      </c>
      <c r="H217" s="31">
        <v>0</v>
      </c>
      <c r="I217" s="31">
        <v>0</v>
      </c>
      <c r="J217" s="31">
        <v>0</v>
      </c>
      <c r="K217" s="31">
        <v>0</v>
      </c>
      <c r="L217" s="31">
        <v>0</v>
      </c>
      <c r="M217" s="31">
        <v>0</v>
      </c>
      <c r="N217" s="31">
        <v>0</v>
      </c>
      <c r="O217" s="27"/>
      <c r="P217" s="29"/>
      <c r="Q217" s="30"/>
    </row>
    <row r="218" spans="1:17" ht="69.75" x14ac:dyDescent="0.25">
      <c r="A218" s="25" t="s">
        <v>576</v>
      </c>
      <c r="B218" s="26" t="s">
        <v>577</v>
      </c>
      <c r="C218" s="27" t="s">
        <v>256</v>
      </c>
      <c r="D218" s="27" t="s">
        <v>266</v>
      </c>
      <c r="E218" s="28">
        <f>SUM(E219:E219)+50000</f>
        <v>50000</v>
      </c>
      <c r="F218" s="28">
        <f>SUM(F219:F219)+50000</f>
        <v>50000</v>
      </c>
      <c r="G218" s="28">
        <f t="shared" ref="G218:N218" si="98">SUM(G219:G219)</f>
        <v>0</v>
      </c>
      <c r="H218" s="28">
        <f t="shared" si="98"/>
        <v>0</v>
      </c>
      <c r="I218" s="28">
        <f t="shared" si="98"/>
        <v>0</v>
      </c>
      <c r="J218" s="28">
        <f t="shared" si="98"/>
        <v>0</v>
      </c>
      <c r="K218" s="28">
        <f t="shared" si="98"/>
        <v>0</v>
      </c>
      <c r="L218" s="28">
        <f t="shared" si="98"/>
        <v>0</v>
      </c>
      <c r="M218" s="28">
        <f t="shared" si="98"/>
        <v>0</v>
      </c>
      <c r="N218" s="28">
        <f t="shared" si="98"/>
        <v>0</v>
      </c>
      <c r="O218" s="27" t="s">
        <v>301</v>
      </c>
      <c r="P218" s="29" t="s">
        <v>34</v>
      </c>
      <c r="Q218" s="30" t="s">
        <v>75</v>
      </c>
    </row>
    <row r="219" spans="1:17" ht="46.5" x14ac:dyDescent="0.25">
      <c r="A219" s="25" t="s">
        <v>578</v>
      </c>
      <c r="B219" s="26" t="s">
        <v>443</v>
      </c>
      <c r="C219" s="27"/>
      <c r="D219" s="27"/>
      <c r="E219" s="31">
        <v>0</v>
      </c>
      <c r="F219" s="31">
        <v>0</v>
      </c>
      <c r="G219" s="31">
        <v>0</v>
      </c>
      <c r="H219" s="31">
        <v>0</v>
      </c>
      <c r="I219" s="31">
        <v>0</v>
      </c>
      <c r="J219" s="31">
        <v>0</v>
      </c>
      <c r="K219" s="31">
        <v>0</v>
      </c>
      <c r="L219" s="31">
        <v>0</v>
      </c>
      <c r="M219" s="31">
        <v>0</v>
      </c>
      <c r="N219" s="31">
        <v>0</v>
      </c>
      <c r="O219" s="27"/>
      <c r="P219" s="29"/>
      <c r="Q219" s="30"/>
    </row>
    <row r="220" spans="1:17" ht="69.75" x14ac:dyDescent="0.25">
      <c r="A220" s="25" t="s">
        <v>579</v>
      </c>
      <c r="B220" s="26" t="s">
        <v>580</v>
      </c>
      <c r="C220" s="27" t="s">
        <v>256</v>
      </c>
      <c r="D220" s="27" t="s">
        <v>266</v>
      </c>
      <c r="E220" s="28">
        <f>SUM(E221:E221)+50000</f>
        <v>50000</v>
      </c>
      <c r="F220" s="28">
        <f>SUM(F221:F221)+50000</f>
        <v>50000</v>
      </c>
      <c r="G220" s="28">
        <f t="shared" ref="G220:N220" si="99">SUM(G221:G221)</f>
        <v>0</v>
      </c>
      <c r="H220" s="28">
        <f t="shared" si="99"/>
        <v>0</v>
      </c>
      <c r="I220" s="28">
        <f t="shared" si="99"/>
        <v>0</v>
      </c>
      <c r="J220" s="28">
        <f t="shared" si="99"/>
        <v>0</v>
      </c>
      <c r="K220" s="28">
        <f t="shared" si="99"/>
        <v>0</v>
      </c>
      <c r="L220" s="28">
        <f t="shared" si="99"/>
        <v>0</v>
      </c>
      <c r="M220" s="28">
        <f t="shared" si="99"/>
        <v>0</v>
      </c>
      <c r="N220" s="28">
        <f t="shared" si="99"/>
        <v>0</v>
      </c>
      <c r="O220" s="27" t="s">
        <v>301</v>
      </c>
      <c r="P220" s="29" t="s">
        <v>34</v>
      </c>
      <c r="Q220" s="30" t="s">
        <v>75</v>
      </c>
    </row>
    <row r="221" spans="1:17" ht="46.5" x14ac:dyDescent="0.25">
      <c r="A221" s="25" t="s">
        <v>581</v>
      </c>
      <c r="B221" s="26" t="s">
        <v>443</v>
      </c>
      <c r="C221" s="27"/>
      <c r="D221" s="27"/>
      <c r="E221" s="31">
        <v>0</v>
      </c>
      <c r="F221" s="31">
        <v>0</v>
      </c>
      <c r="G221" s="31">
        <v>0</v>
      </c>
      <c r="H221" s="31">
        <v>0</v>
      </c>
      <c r="I221" s="31">
        <v>0</v>
      </c>
      <c r="J221" s="31">
        <v>0</v>
      </c>
      <c r="K221" s="31">
        <v>0</v>
      </c>
      <c r="L221" s="31">
        <v>0</v>
      </c>
      <c r="M221" s="31">
        <v>0</v>
      </c>
      <c r="N221" s="31">
        <v>0</v>
      </c>
      <c r="O221" s="27"/>
      <c r="P221" s="29"/>
      <c r="Q221" s="30"/>
    </row>
    <row r="222" spans="1:17" ht="157.5" x14ac:dyDescent="0.25">
      <c r="A222" s="13" t="s">
        <v>582</v>
      </c>
      <c r="B222" s="14" t="s">
        <v>583</v>
      </c>
      <c r="C222" s="15" t="s">
        <v>256</v>
      </c>
      <c r="D222" s="15" t="s">
        <v>259</v>
      </c>
      <c r="E222" s="16">
        <f t="shared" ref="E222:N222" si="100">E223+E228</f>
        <v>150000</v>
      </c>
      <c r="F222" s="16">
        <f t="shared" si="100"/>
        <v>150000</v>
      </c>
      <c r="G222" s="16">
        <f t="shared" si="100"/>
        <v>0</v>
      </c>
      <c r="H222" s="16">
        <f t="shared" si="100"/>
        <v>0</v>
      </c>
      <c r="I222" s="16">
        <f t="shared" si="100"/>
        <v>0</v>
      </c>
      <c r="J222" s="16">
        <f t="shared" si="100"/>
        <v>0</v>
      </c>
      <c r="K222" s="16">
        <f t="shared" si="100"/>
        <v>0</v>
      </c>
      <c r="L222" s="16">
        <f t="shared" si="100"/>
        <v>0</v>
      </c>
      <c r="M222" s="16">
        <f t="shared" si="100"/>
        <v>0</v>
      </c>
      <c r="N222" s="16">
        <f t="shared" si="100"/>
        <v>0</v>
      </c>
      <c r="O222" s="15" t="s">
        <v>584</v>
      </c>
      <c r="P222" s="17" t="s">
        <v>29</v>
      </c>
      <c r="Q222" s="18" t="s">
        <v>57</v>
      </c>
    </row>
    <row r="223" spans="1:17" ht="112.5" x14ac:dyDescent="0.25">
      <c r="A223" s="19" t="s">
        <v>585</v>
      </c>
      <c r="B223" s="20" t="s">
        <v>586</v>
      </c>
      <c r="C223" s="21" t="s">
        <v>256</v>
      </c>
      <c r="D223" s="21" t="s">
        <v>259</v>
      </c>
      <c r="E223" s="22">
        <f t="shared" ref="E223:N223" si="101">SUM(E224:E224)</f>
        <v>100000</v>
      </c>
      <c r="F223" s="22">
        <f t="shared" si="101"/>
        <v>100000</v>
      </c>
      <c r="G223" s="22">
        <f t="shared" si="101"/>
        <v>0</v>
      </c>
      <c r="H223" s="22">
        <f t="shared" si="101"/>
        <v>0</v>
      </c>
      <c r="I223" s="22">
        <f t="shared" si="101"/>
        <v>0</v>
      </c>
      <c r="J223" s="22">
        <f t="shared" si="101"/>
        <v>0</v>
      </c>
      <c r="K223" s="22">
        <f t="shared" si="101"/>
        <v>0</v>
      </c>
      <c r="L223" s="22">
        <f t="shared" si="101"/>
        <v>0</v>
      </c>
      <c r="M223" s="22">
        <f t="shared" si="101"/>
        <v>0</v>
      </c>
      <c r="N223" s="22">
        <f t="shared" si="101"/>
        <v>0</v>
      </c>
      <c r="O223" s="21" t="s">
        <v>587</v>
      </c>
      <c r="P223" s="23" t="s">
        <v>29</v>
      </c>
      <c r="Q223" s="24" t="s">
        <v>588</v>
      </c>
    </row>
    <row r="224" spans="1:17" ht="69.75" x14ac:dyDescent="0.25">
      <c r="A224" s="25" t="s">
        <v>589</v>
      </c>
      <c r="B224" s="26" t="s">
        <v>590</v>
      </c>
      <c r="C224" s="27" t="s">
        <v>256</v>
      </c>
      <c r="D224" s="27" t="s">
        <v>295</v>
      </c>
      <c r="E224" s="28">
        <f>SUM(E225:E227)+100000</f>
        <v>100000</v>
      </c>
      <c r="F224" s="28">
        <f>SUM(F225:F227)+100000</f>
        <v>100000</v>
      </c>
      <c r="G224" s="28">
        <f t="shared" ref="G224:N224" si="102">SUM(G225:G227)</f>
        <v>0</v>
      </c>
      <c r="H224" s="28">
        <f t="shared" si="102"/>
        <v>0</v>
      </c>
      <c r="I224" s="28">
        <f t="shared" si="102"/>
        <v>0</v>
      </c>
      <c r="J224" s="28">
        <f t="shared" si="102"/>
        <v>0</v>
      </c>
      <c r="K224" s="28">
        <f t="shared" si="102"/>
        <v>0</v>
      </c>
      <c r="L224" s="28">
        <f t="shared" si="102"/>
        <v>0</v>
      </c>
      <c r="M224" s="28">
        <f t="shared" si="102"/>
        <v>0</v>
      </c>
      <c r="N224" s="28">
        <f t="shared" si="102"/>
        <v>0</v>
      </c>
      <c r="O224" s="27" t="s">
        <v>301</v>
      </c>
      <c r="P224" s="29" t="s">
        <v>34</v>
      </c>
      <c r="Q224" s="30" t="s">
        <v>75</v>
      </c>
    </row>
    <row r="225" spans="1:17" ht="69.75" x14ac:dyDescent="0.25">
      <c r="A225" s="32"/>
      <c r="B225" s="33"/>
      <c r="C225" s="34"/>
      <c r="D225" s="34"/>
      <c r="E225" s="35">
        <v>0</v>
      </c>
      <c r="F225" s="35">
        <v>0</v>
      </c>
      <c r="G225" s="35">
        <v>0</v>
      </c>
      <c r="H225" s="35">
        <v>0</v>
      </c>
      <c r="I225" s="35">
        <v>0</v>
      </c>
      <c r="J225" s="35">
        <v>0</v>
      </c>
      <c r="K225" s="35">
        <v>0</v>
      </c>
      <c r="L225" s="35">
        <v>0</v>
      </c>
      <c r="M225" s="35">
        <v>0</v>
      </c>
      <c r="N225" s="35">
        <v>0</v>
      </c>
      <c r="O225" s="34" t="s">
        <v>503</v>
      </c>
      <c r="P225" s="36" t="s">
        <v>34</v>
      </c>
      <c r="Q225" s="37" t="s">
        <v>75</v>
      </c>
    </row>
    <row r="226" spans="1:17" ht="93" x14ac:dyDescent="0.25">
      <c r="A226" s="25" t="s">
        <v>591</v>
      </c>
      <c r="B226" s="26" t="s">
        <v>505</v>
      </c>
      <c r="C226" s="27"/>
      <c r="D226" s="27"/>
      <c r="E226" s="31">
        <v>0</v>
      </c>
      <c r="F226" s="31">
        <v>0</v>
      </c>
      <c r="G226" s="31">
        <v>0</v>
      </c>
      <c r="H226" s="31">
        <v>0</v>
      </c>
      <c r="I226" s="31">
        <v>0</v>
      </c>
      <c r="J226" s="31">
        <v>0</v>
      </c>
      <c r="K226" s="31">
        <v>0</v>
      </c>
      <c r="L226" s="31">
        <v>0</v>
      </c>
      <c r="M226" s="31">
        <v>0</v>
      </c>
      <c r="N226" s="31">
        <v>0</v>
      </c>
      <c r="O226" s="27"/>
      <c r="P226" s="29"/>
      <c r="Q226" s="30"/>
    </row>
    <row r="227" spans="1:17" ht="46.5" x14ac:dyDescent="0.25">
      <c r="A227" s="25" t="s">
        <v>592</v>
      </c>
      <c r="B227" s="26" t="s">
        <v>443</v>
      </c>
      <c r="C227" s="27"/>
      <c r="D227" s="27"/>
      <c r="E227" s="31">
        <v>0</v>
      </c>
      <c r="F227" s="31">
        <v>0</v>
      </c>
      <c r="G227" s="31">
        <v>0</v>
      </c>
      <c r="H227" s="31">
        <v>0</v>
      </c>
      <c r="I227" s="31">
        <v>0</v>
      </c>
      <c r="J227" s="31">
        <v>0</v>
      </c>
      <c r="K227" s="31">
        <v>0</v>
      </c>
      <c r="L227" s="31">
        <v>0</v>
      </c>
      <c r="M227" s="31">
        <v>0</v>
      </c>
      <c r="N227" s="31">
        <v>0</v>
      </c>
      <c r="O227" s="27"/>
      <c r="P227" s="29"/>
      <c r="Q227" s="30"/>
    </row>
    <row r="228" spans="1:17" ht="67.5" x14ac:dyDescent="0.25">
      <c r="A228" s="19" t="s">
        <v>593</v>
      </c>
      <c r="B228" s="20" t="s">
        <v>594</v>
      </c>
      <c r="C228" s="21" t="s">
        <v>256</v>
      </c>
      <c r="D228" s="21" t="s">
        <v>259</v>
      </c>
      <c r="E228" s="22">
        <f t="shared" ref="E228:N228" si="103">SUM(E229:E229)</f>
        <v>50000</v>
      </c>
      <c r="F228" s="22">
        <f t="shared" si="103"/>
        <v>50000</v>
      </c>
      <c r="G228" s="22">
        <f t="shared" si="103"/>
        <v>0</v>
      </c>
      <c r="H228" s="22">
        <f t="shared" si="103"/>
        <v>0</v>
      </c>
      <c r="I228" s="22">
        <f t="shared" si="103"/>
        <v>0</v>
      </c>
      <c r="J228" s="22">
        <f t="shared" si="103"/>
        <v>0</v>
      </c>
      <c r="K228" s="22">
        <f t="shared" si="103"/>
        <v>0</v>
      </c>
      <c r="L228" s="22">
        <f t="shared" si="103"/>
        <v>0</v>
      </c>
      <c r="M228" s="22">
        <f t="shared" si="103"/>
        <v>0</v>
      </c>
      <c r="N228" s="22">
        <f t="shared" si="103"/>
        <v>0</v>
      </c>
      <c r="O228" s="21" t="s">
        <v>595</v>
      </c>
      <c r="P228" s="23" t="s">
        <v>29</v>
      </c>
      <c r="Q228" s="24" t="s">
        <v>596</v>
      </c>
    </row>
    <row r="229" spans="1:17" ht="116.25" x14ac:dyDescent="0.25">
      <c r="A229" s="25" t="s">
        <v>597</v>
      </c>
      <c r="B229" s="26" t="s">
        <v>598</v>
      </c>
      <c r="C229" s="27" t="s">
        <v>256</v>
      </c>
      <c r="D229" s="27" t="s">
        <v>295</v>
      </c>
      <c r="E229" s="28">
        <f>SUM(E230:E230)+50000</f>
        <v>50000</v>
      </c>
      <c r="F229" s="28">
        <f>SUM(F230:F230)+50000</f>
        <v>50000</v>
      </c>
      <c r="G229" s="28">
        <f t="shared" ref="G229:N229" si="104">SUM(G230:G230)</f>
        <v>0</v>
      </c>
      <c r="H229" s="28">
        <f t="shared" si="104"/>
        <v>0</v>
      </c>
      <c r="I229" s="28">
        <f t="shared" si="104"/>
        <v>0</v>
      </c>
      <c r="J229" s="28">
        <f t="shared" si="104"/>
        <v>0</v>
      </c>
      <c r="K229" s="28">
        <f t="shared" si="104"/>
        <v>0</v>
      </c>
      <c r="L229" s="28">
        <f t="shared" si="104"/>
        <v>0</v>
      </c>
      <c r="M229" s="28">
        <f t="shared" si="104"/>
        <v>0</v>
      </c>
      <c r="N229" s="28">
        <f t="shared" si="104"/>
        <v>0</v>
      </c>
      <c r="O229" s="27" t="s">
        <v>301</v>
      </c>
      <c r="P229" s="29" t="s">
        <v>34</v>
      </c>
      <c r="Q229" s="30" t="s">
        <v>75</v>
      </c>
    </row>
    <row r="230" spans="1:17" ht="46.5" x14ac:dyDescent="0.25">
      <c r="A230" s="25" t="s">
        <v>599</v>
      </c>
      <c r="B230" s="26" t="s">
        <v>443</v>
      </c>
      <c r="C230" s="27"/>
      <c r="D230" s="27"/>
      <c r="E230" s="31">
        <v>0</v>
      </c>
      <c r="F230" s="31">
        <v>0</v>
      </c>
      <c r="G230" s="31">
        <v>0</v>
      </c>
      <c r="H230" s="31">
        <v>0</v>
      </c>
      <c r="I230" s="31">
        <v>0</v>
      </c>
      <c r="J230" s="31">
        <v>0</v>
      </c>
      <c r="K230" s="31">
        <v>0</v>
      </c>
      <c r="L230" s="31">
        <v>0</v>
      </c>
      <c r="M230" s="31">
        <v>0</v>
      </c>
      <c r="N230" s="31">
        <v>0</v>
      </c>
      <c r="O230" s="27"/>
      <c r="P230" s="29"/>
      <c r="Q230" s="30"/>
    </row>
    <row r="231" spans="1:17" ht="57" customHeight="1" x14ac:dyDescent="0.25">
      <c r="A231" s="7" t="s">
        <v>600</v>
      </c>
      <c r="B231" s="8" t="s">
        <v>601</v>
      </c>
      <c r="C231" s="9" t="s">
        <v>23</v>
      </c>
      <c r="D231" s="9" t="s">
        <v>1931</v>
      </c>
      <c r="E231" s="10">
        <f t="shared" ref="E231:N231" si="105">E232+E239+E253</f>
        <v>282800</v>
      </c>
      <c r="F231" s="10">
        <f t="shared" si="105"/>
        <v>230800</v>
      </c>
      <c r="G231" s="10">
        <f t="shared" si="105"/>
        <v>0</v>
      </c>
      <c r="H231" s="10">
        <f t="shared" si="105"/>
        <v>0</v>
      </c>
      <c r="I231" s="10">
        <f t="shared" si="105"/>
        <v>0</v>
      </c>
      <c r="J231" s="10">
        <f t="shared" si="105"/>
        <v>0</v>
      </c>
      <c r="K231" s="10">
        <f t="shared" si="105"/>
        <v>0</v>
      </c>
      <c r="L231" s="10">
        <f t="shared" si="105"/>
        <v>52000</v>
      </c>
      <c r="M231" s="10">
        <f t="shared" si="105"/>
        <v>0</v>
      </c>
      <c r="N231" s="10">
        <f t="shared" si="105"/>
        <v>0</v>
      </c>
      <c r="O231" s="9"/>
      <c r="P231" s="11"/>
      <c r="Q231" s="12"/>
    </row>
    <row r="232" spans="1:17" ht="90" x14ac:dyDescent="0.25">
      <c r="A232" s="13" t="s">
        <v>602</v>
      </c>
      <c r="B232" s="14" t="s">
        <v>603</v>
      </c>
      <c r="C232" s="15" t="s">
        <v>23</v>
      </c>
      <c r="D232" s="15" t="s">
        <v>604</v>
      </c>
      <c r="E232" s="16">
        <f t="shared" ref="E232:N232" si="106">E233+E236</f>
        <v>12100</v>
      </c>
      <c r="F232" s="16">
        <f t="shared" si="106"/>
        <v>12100</v>
      </c>
      <c r="G232" s="16">
        <f t="shared" si="106"/>
        <v>0</v>
      </c>
      <c r="H232" s="16">
        <f t="shared" si="106"/>
        <v>0</v>
      </c>
      <c r="I232" s="16">
        <f t="shared" si="106"/>
        <v>0</v>
      </c>
      <c r="J232" s="16">
        <f t="shared" si="106"/>
        <v>0</v>
      </c>
      <c r="K232" s="16">
        <f t="shared" si="106"/>
        <v>0</v>
      </c>
      <c r="L232" s="16">
        <f t="shared" si="106"/>
        <v>0</v>
      </c>
      <c r="M232" s="16">
        <f t="shared" si="106"/>
        <v>0</v>
      </c>
      <c r="N232" s="16">
        <f t="shared" si="106"/>
        <v>0</v>
      </c>
      <c r="O232" s="15" t="s">
        <v>605</v>
      </c>
      <c r="P232" s="17" t="s">
        <v>29</v>
      </c>
      <c r="Q232" s="18" t="s">
        <v>606</v>
      </c>
    </row>
    <row r="233" spans="1:17" ht="90" x14ac:dyDescent="0.25">
      <c r="A233" s="19" t="s">
        <v>607</v>
      </c>
      <c r="B233" s="20" t="s">
        <v>608</v>
      </c>
      <c r="C233" s="21"/>
      <c r="D233" s="21" t="s">
        <v>604</v>
      </c>
      <c r="E233" s="22">
        <f t="shared" ref="E233:N233" si="107">SUM(E234:E234)</f>
        <v>10000</v>
      </c>
      <c r="F233" s="22">
        <f t="shared" si="107"/>
        <v>10000</v>
      </c>
      <c r="G233" s="22">
        <f t="shared" si="107"/>
        <v>0</v>
      </c>
      <c r="H233" s="22">
        <f t="shared" si="107"/>
        <v>0</v>
      </c>
      <c r="I233" s="22">
        <f t="shared" si="107"/>
        <v>0</v>
      </c>
      <c r="J233" s="22">
        <f t="shared" si="107"/>
        <v>0</v>
      </c>
      <c r="K233" s="22">
        <f t="shared" si="107"/>
        <v>0</v>
      </c>
      <c r="L233" s="22">
        <f t="shared" si="107"/>
        <v>0</v>
      </c>
      <c r="M233" s="22">
        <f t="shared" si="107"/>
        <v>0</v>
      </c>
      <c r="N233" s="22">
        <f t="shared" si="107"/>
        <v>0</v>
      </c>
      <c r="O233" s="21" t="s">
        <v>609</v>
      </c>
      <c r="P233" s="23" t="s">
        <v>34</v>
      </c>
      <c r="Q233" s="24" t="s">
        <v>363</v>
      </c>
    </row>
    <row r="234" spans="1:17" ht="209.25" x14ac:dyDescent="0.25">
      <c r="A234" s="25" t="s">
        <v>610</v>
      </c>
      <c r="B234" s="26" t="s">
        <v>611</v>
      </c>
      <c r="C234" s="27" t="s">
        <v>23</v>
      </c>
      <c r="D234" s="27" t="s">
        <v>604</v>
      </c>
      <c r="E234" s="28">
        <f>SUM(E235:E235)+10000</f>
        <v>10000</v>
      </c>
      <c r="F234" s="28">
        <f>SUM(F235:F235)+10000</f>
        <v>10000</v>
      </c>
      <c r="G234" s="28">
        <f t="shared" ref="G234:N234" si="108">SUM(G235:G235)</f>
        <v>0</v>
      </c>
      <c r="H234" s="28">
        <f t="shared" si="108"/>
        <v>0</v>
      </c>
      <c r="I234" s="28">
        <f t="shared" si="108"/>
        <v>0</v>
      </c>
      <c r="J234" s="28">
        <f t="shared" si="108"/>
        <v>0</v>
      </c>
      <c r="K234" s="28">
        <f t="shared" si="108"/>
        <v>0</v>
      </c>
      <c r="L234" s="28">
        <f t="shared" si="108"/>
        <v>0</v>
      </c>
      <c r="M234" s="28">
        <f t="shared" si="108"/>
        <v>0</v>
      </c>
      <c r="N234" s="28">
        <f t="shared" si="108"/>
        <v>0</v>
      </c>
      <c r="O234" s="27" t="s">
        <v>612</v>
      </c>
      <c r="P234" s="29" t="s">
        <v>34</v>
      </c>
      <c r="Q234" s="30" t="s">
        <v>363</v>
      </c>
    </row>
    <row r="235" spans="1:17" ht="46.5" x14ac:dyDescent="0.25">
      <c r="A235" s="25" t="s">
        <v>613</v>
      </c>
      <c r="B235" s="26" t="s">
        <v>614</v>
      </c>
      <c r="C235" s="27"/>
      <c r="D235" s="27"/>
      <c r="E235" s="31">
        <v>0</v>
      </c>
      <c r="F235" s="31">
        <v>0</v>
      </c>
      <c r="G235" s="31">
        <v>0</v>
      </c>
      <c r="H235" s="31">
        <v>0</v>
      </c>
      <c r="I235" s="31">
        <v>0</v>
      </c>
      <c r="J235" s="31">
        <v>0</v>
      </c>
      <c r="K235" s="31">
        <v>0</v>
      </c>
      <c r="L235" s="31">
        <v>0</v>
      </c>
      <c r="M235" s="31">
        <v>0</v>
      </c>
      <c r="N235" s="31">
        <v>0</v>
      </c>
      <c r="O235" s="27"/>
      <c r="P235" s="29"/>
      <c r="Q235" s="30"/>
    </row>
    <row r="236" spans="1:17" ht="90" x14ac:dyDescent="0.25">
      <c r="A236" s="19" t="s">
        <v>615</v>
      </c>
      <c r="B236" s="20" t="s">
        <v>616</v>
      </c>
      <c r="C236" s="21"/>
      <c r="D236" s="21" t="s">
        <v>604</v>
      </c>
      <c r="E236" s="22">
        <f t="shared" ref="E236:N236" si="109">SUM(E237:E237)</f>
        <v>2100</v>
      </c>
      <c r="F236" s="22">
        <f t="shared" si="109"/>
        <v>2100</v>
      </c>
      <c r="G236" s="22">
        <f t="shared" si="109"/>
        <v>0</v>
      </c>
      <c r="H236" s="22">
        <f t="shared" si="109"/>
        <v>0</v>
      </c>
      <c r="I236" s="22">
        <f t="shared" si="109"/>
        <v>0</v>
      </c>
      <c r="J236" s="22">
        <f t="shared" si="109"/>
        <v>0</v>
      </c>
      <c r="K236" s="22">
        <f t="shared" si="109"/>
        <v>0</v>
      </c>
      <c r="L236" s="22">
        <f t="shared" si="109"/>
        <v>0</v>
      </c>
      <c r="M236" s="22">
        <f t="shared" si="109"/>
        <v>0</v>
      </c>
      <c r="N236" s="22">
        <f t="shared" si="109"/>
        <v>0</v>
      </c>
      <c r="O236" s="21" t="s">
        <v>617</v>
      </c>
      <c r="P236" s="23" t="s">
        <v>34</v>
      </c>
      <c r="Q236" s="24" t="s">
        <v>246</v>
      </c>
    </row>
    <row r="237" spans="1:17" ht="46.5" x14ac:dyDescent="0.25">
      <c r="A237" s="25" t="s">
        <v>618</v>
      </c>
      <c r="B237" s="26" t="s">
        <v>619</v>
      </c>
      <c r="C237" s="27" t="s">
        <v>23</v>
      </c>
      <c r="D237" s="27" t="s">
        <v>604</v>
      </c>
      <c r="E237" s="28">
        <f>SUM(E238:E238)+2100</f>
        <v>2100</v>
      </c>
      <c r="F237" s="28">
        <f>SUM(F238:F238)+2100</f>
        <v>2100</v>
      </c>
      <c r="G237" s="28">
        <f t="shared" ref="G237:N237" si="110">SUM(G238:G238)</f>
        <v>0</v>
      </c>
      <c r="H237" s="28">
        <f t="shared" si="110"/>
        <v>0</v>
      </c>
      <c r="I237" s="28">
        <f t="shared" si="110"/>
        <v>0</v>
      </c>
      <c r="J237" s="28">
        <f t="shared" si="110"/>
        <v>0</v>
      </c>
      <c r="K237" s="28">
        <f t="shared" si="110"/>
        <v>0</v>
      </c>
      <c r="L237" s="28">
        <f t="shared" si="110"/>
        <v>0</v>
      </c>
      <c r="M237" s="28">
        <f t="shared" si="110"/>
        <v>0</v>
      </c>
      <c r="N237" s="28">
        <f t="shared" si="110"/>
        <v>0</v>
      </c>
      <c r="O237" s="27" t="s">
        <v>620</v>
      </c>
      <c r="P237" s="29" t="s">
        <v>34</v>
      </c>
      <c r="Q237" s="30" t="s">
        <v>246</v>
      </c>
    </row>
    <row r="238" spans="1:17" ht="46.5" x14ac:dyDescent="0.25">
      <c r="A238" s="25" t="s">
        <v>621</v>
      </c>
      <c r="B238" s="26" t="s">
        <v>622</v>
      </c>
      <c r="C238" s="27"/>
      <c r="D238" s="27"/>
      <c r="E238" s="31">
        <v>0</v>
      </c>
      <c r="F238" s="31">
        <v>0</v>
      </c>
      <c r="G238" s="31">
        <v>0</v>
      </c>
      <c r="H238" s="31">
        <v>0</v>
      </c>
      <c r="I238" s="31">
        <v>0</v>
      </c>
      <c r="J238" s="31">
        <v>0</v>
      </c>
      <c r="K238" s="31">
        <v>0</v>
      </c>
      <c r="L238" s="31">
        <v>0</v>
      </c>
      <c r="M238" s="31">
        <v>0</v>
      </c>
      <c r="N238" s="31">
        <v>0</v>
      </c>
      <c r="O238" s="27"/>
      <c r="P238" s="29"/>
      <c r="Q238" s="30"/>
    </row>
    <row r="239" spans="1:17" ht="112.5" x14ac:dyDescent="0.25">
      <c r="A239" s="13" t="s">
        <v>623</v>
      </c>
      <c r="B239" s="14" t="s">
        <v>624</v>
      </c>
      <c r="C239" s="15"/>
      <c r="D239" s="15" t="s">
        <v>625</v>
      </c>
      <c r="E239" s="16">
        <f t="shared" ref="E239:N239" si="111">E240+E249</f>
        <v>197700</v>
      </c>
      <c r="F239" s="16">
        <f t="shared" si="111"/>
        <v>145700</v>
      </c>
      <c r="G239" s="16">
        <f t="shared" si="111"/>
        <v>0</v>
      </c>
      <c r="H239" s="16">
        <f t="shared" si="111"/>
        <v>0</v>
      </c>
      <c r="I239" s="16">
        <f t="shared" si="111"/>
        <v>0</v>
      </c>
      <c r="J239" s="16">
        <f t="shared" si="111"/>
        <v>0</v>
      </c>
      <c r="K239" s="16">
        <f t="shared" si="111"/>
        <v>0</v>
      </c>
      <c r="L239" s="16">
        <f t="shared" si="111"/>
        <v>52000</v>
      </c>
      <c r="M239" s="16">
        <f t="shared" si="111"/>
        <v>0</v>
      </c>
      <c r="N239" s="16">
        <f t="shared" si="111"/>
        <v>0</v>
      </c>
      <c r="O239" s="15" t="s">
        <v>626</v>
      </c>
      <c r="P239" s="17" t="s">
        <v>29</v>
      </c>
      <c r="Q239" s="18" t="s">
        <v>627</v>
      </c>
    </row>
    <row r="240" spans="1:17" ht="112.5" x14ac:dyDescent="0.25">
      <c r="A240" s="19" t="s">
        <v>628</v>
      </c>
      <c r="B240" s="20" t="s">
        <v>629</v>
      </c>
      <c r="C240" s="21"/>
      <c r="D240" s="21" t="s">
        <v>625</v>
      </c>
      <c r="E240" s="22">
        <f t="shared" ref="E240:N240" si="112">E241+E245+E247</f>
        <v>183500</v>
      </c>
      <c r="F240" s="22">
        <f t="shared" si="112"/>
        <v>131500</v>
      </c>
      <c r="G240" s="22">
        <f t="shared" si="112"/>
        <v>0</v>
      </c>
      <c r="H240" s="22">
        <f t="shared" si="112"/>
        <v>0</v>
      </c>
      <c r="I240" s="22">
        <f t="shared" si="112"/>
        <v>0</v>
      </c>
      <c r="J240" s="22">
        <f t="shared" si="112"/>
        <v>0</v>
      </c>
      <c r="K240" s="22">
        <f t="shared" si="112"/>
        <v>0</v>
      </c>
      <c r="L240" s="22">
        <f t="shared" si="112"/>
        <v>52000</v>
      </c>
      <c r="M240" s="22">
        <f t="shared" si="112"/>
        <v>0</v>
      </c>
      <c r="N240" s="22">
        <f t="shared" si="112"/>
        <v>0</v>
      </c>
      <c r="O240" s="21" t="s">
        <v>630</v>
      </c>
      <c r="P240" s="23" t="s">
        <v>34</v>
      </c>
      <c r="Q240" s="24" t="s">
        <v>627</v>
      </c>
    </row>
    <row r="241" spans="1:17" ht="69.75" x14ac:dyDescent="0.25">
      <c r="A241" s="25" t="s">
        <v>631</v>
      </c>
      <c r="B241" s="26" t="s">
        <v>632</v>
      </c>
      <c r="C241" s="27" t="s">
        <v>23</v>
      </c>
      <c r="D241" s="27" t="s">
        <v>625</v>
      </c>
      <c r="E241" s="28">
        <f>SUM(E242:E244)+107500</f>
        <v>107500</v>
      </c>
      <c r="F241" s="28">
        <f>SUM(F242:F244)+55500</f>
        <v>55500</v>
      </c>
      <c r="G241" s="28">
        <f>SUM(G242:G244)</f>
        <v>0</v>
      </c>
      <c r="H241" s="28">
        <f>SUM(H242:H244)</f>
        <v>0</v>
      </c>
      <c r="I241" s="28">
        <f>SUM(I242:I244)</f>
        <v>0</v>
      </c>
      <c r="J241" s="28">
        <f>SUM(J242:J244)</f>
        <v>0</v>
      </c>
      <c r="K241" s="28">
        <f>SUM(K242:K244)</f>
        <v>0</v>
      </c>
      <c r="L241" s="28">
        <f>SUM(L242:L244)+52000</f>
        <v>52000</v>
      </c>
      <c r="M241" s="28">
        <f>SUM(M242:M244)</f>
        <v>0</v>
      </c>
      <c r="N241" s="28">
        <f>SUM(N242:N244)</f>
        <v>0</v>
      </c>
      <c r="O241" s="27" t="s">
        <v>633</v>
      </c>
      <c r="P241" s="29" t="s">
        <v>34</v>
      </c>
      <c r="Q241" s="30" t="s">
        <v>75</v>
      </c>
    </row>
    <row r="242" spans="1:17" ht="46.5" x14ac:dyDescent="0.25">
      <c r="A242" s="32"/>
      <c r="B242" s="33"/>
      <c r="C242" s="34"/>
      <c r="D242" s="34"/>
      <c r="E242" s="35">
        <v>0</v>
      </c>
      <c r="F242" s="35">
        <v>0</v>
      </c>
      <c r="G242" s="35">
        <v>0</v>
      </c>
      <c r="H242" s="35">
        <v>0</v>
      </c>
      <c r="I242" s="35">
        <v>0</v>
      </c>
      <c r="J242" s="35">
        <v>0</v>
      </c>
      <c r="K242" s="35">
        <v>0</v>
      </c>
      <c r="L242" s="35">
        <v>0</v>
      </c>
      <c r="M242" s="35">
        <v>0</v>
      </c>
      <c r="N242" s="35">
        <v>0</v>
      </c>
      <c r="O242" s="34" t="s">
        <v>634</v>
      </c>
      <c r="P242" s="36" t="s">
        <v>34</v>
      </c>
      <c r="Q242" s="37" t="s">
        <v>75</v>
      </c>
    </row>
    <row r="243" spans="1:17" ht="46.5" x14ac:dyDescent="0.25">
      <c r="A243" s="25" t="s">
        <v>635</v>
      </c>
      <c r="B243" s="26" t="s">
        <v>636</v>
      </c>
      <c r="C243" s="27"/>
      <c r="D243" s="27"/>
      <c r="E243" s="31">
        <v>0</v>
      </c>
      <c r="F243" s="31">
        <v>0</v>
      </c>
      <c r="G243" s="31">
        <v>0</v>
      </c>
      <c r="H243" s="31">
        <v>0</v>
      </c>
      <c r="I243" s="31">
        <v>0</v>
      </c>
      <c r="J243" s="31">
        <v>0</v>
      </c>
      <c r="K243" s="31">
        <v>0</v>
      </c>
      <c r="L243" s="31">
        <v>0</v>
      </c>
      <c r="M243" s="31">
        <v>0</v>
      </c>
      <c r="N243" s="31">
        <v>0</v>
      </c>
      <c r="O243" s="27"/>
      <c r="P243" s="29"/>
      <c r="Q243" s="30"/>
    </row>
    <row r="244" spans="1:17" ht="93" x14ac:dyDescent="0.25">
      <c r="A244" s="25" t="s">
        <v>637</v>
      </c>
      <c r="B244" s="26" t="s">
        <v>638</v>
      </c>
      <c r="C244" s="27"/>
      <c r="D244" s="27"/>
      <c r="E244" s="31">
        <v>0</v>
      </c>
      <c r="F244" s="31">
        <v>0</v>
      </c>
      <c r="G244" s="31">
        <v>0</v>
      </c>
      <c r="H244" s="31">
        <v>0</v>
      </c>
      <c r="I244" s="31">
        <v>0</v>
      </c>
      <c r="J244" s="31">
        <v>0</v>
      </c>
      <c r="K244" s="31">
        <v>0</v>
      </c>
      <c r="L244" s="31">
        <v>0</v>
      </c>
      <c r="M244" s="31">
        <v>0</v>
      </c>
      <c r="N244" s="31">
        <v>0</v>
      </c>
      <c r="O244" s="27"/>
      <c r="P244" s="29"/>
      <c r="Q244" s="30"/>
    </row>
    <row r="245" spans="1:17" ht="46.5" x14ac:dyDescent="0.25">
      <c r="A245" s="25" t="s">
        <v>639</v>
      </c>
      <c r="B245" s="26" t="s">
        <v>640</v>
      </c>
      <c r="C245" s="27"/>
      <c r="D245" s="27" t="s">
        <v>625</v>
      </c>
      <c r="E245" s="28">
        <f>SUM(E246:E246)+41000</f>
        <v>41000</v>
      </c>
      <c r="F245" s="28">
        <f>SUM(F246:F246)+41000</f>
        <v>41000</v>
      </c>
      <c r="G245" s="28">
        <f t="shared" ref="G245:N245" si="113">SUM(G246:G246)</f>
        <v>0</v>
      </c>
      <c r="H245" s="28">
        <f t="shared" si="113"/>
        <v>0</v>
      </c>
      <c r="I245" s="28">
        <f t="shared" si="113"/>
        <v>0</v>
      </c>
      <c r="J245" s="28">
        <f t="shared" si="113"/>
        <v>0</v>
      </c>
      <c r="K245" s="28">
        <f t="shared" si="113"/>
        <v>0</v>
      </c>
      <c r="L245" s="28">
        <f t="shared" si="113"/>
        <v>0</v>
      </c>
      <c r="M245" s="28">
        <f t="shared" si="113"/>
        <v>0</v>
      </c>
      <c r="N245" s="28">
        <f t="shared" si="113"/>
        <v>0</v>
      </c>
      <c r="O245" s="27" t="s">
        <v>641</v>
      </c>
      <c r="P245" s="29" t="s">
        <v>34</v>
      </c>
      <c r="Q245" s="30" t="s">
        <v>75</v>
      </c>
    </row>
    <row r="246" spans="1:17" ht="69.75" x14ac:dyDescent="0.25">
      <c r="A246" s="25" t="s">
        <v>642</v>
      </c>
      <c r="B246" s="26" t="s">
        <v>643</v>
      </c>
      <c r="C246" s="27"/>
      <c r="D246" s="27"/>
      <c r="E246" s="31">
        <v>0</v>
      </c>
      <c r="F246" s="31">
        <v>0</v>
      </c>
      <c r="G246" s="31">
        <v>0</v>
      </c>
      <c r="H246" s="31">
        <v>0</v>
      </c>
      <c r="I246" s="31">
        <v>0</v>
      </c>
      <c r="J246" s="31">
        <v>0</v>
      </c>
      <c r="K246" s="31">
        <v>0</v>
      </c>
      <c r="L246" s="31">
        <v>0</v>
      </c>
      <c r="M246" s="31">
        <v>0</v>
      </c>
      <c r="N246" s="31">
        <v>0</v>
      </c>
      <c r="O246" s="27"/>
      <c r="P246" s="29"/>
      <c r="Q246" s="30"/>
    </row>
    <row r="247" spans="1:17" ht="69.75" x14ac:dyDescent="0.25">
      <c r="A247" s="25" t="s">
        <v>644</v>
      </c>
      <c r="B247" s="26" t="s">
        <v>645</v>
      </c>
      <c r="C247" s="27" t="s">
        <v>23</v>
      </c>
      <c r="D247" s="27" t="s">
        <v>625</v>
      </c>
      <c r="E247" s="28">
        <f>SUM(E248:E248)+35000</f>
        <v>35000</v>
      </c>
      <c r="F247" s="28">
        <f>SUM(F248:F248)+35000</f>
        <v>35000</v>
      </c>
      <c r="G247" s="28">
        <f t="shared" ref="G247:N247" si="114">SUM(G248:G248)</f>
        <v>0</v>
      </c>
      <c r="H247" s="28">
        <f t="shared" si="114"/>
        <v>0</v>
      </c>
      <c r="I247" s="28">
        <f t="shared" si="114"/>
        <v>0</v>
      </c>
      <c r="J247" s="28">
        <f t="shared" si="114"/>
        <v>0</v>
      </c>
      <c r="K247" s="28">
        <f t="shared" si="114"/>
        <v>0</v>
      </c>
      <c r="L247" s="28">
        <f t="shared" si="114"/>
        <v>0</v>
      </c>
      <c r="M247" s="28">
        <f t="shared" si="114"/>
        <v>0</v>
      </c>
      <c r="N247" s="28">
        <f t="shared" si="114"/>
        <v>0</v>
      </c>
      <c r="O247" s="27" t="s">
        <v>646</v>
      </c>
      <c r="P247" s="29" t="s">
        <v>34</v>
      </c>
      <c r="Q247" s="30" t="s">
        <v>184</v>
      </c>
    </row>
    <row r="248" spans="1:17" ht="69.75" x14ac:dyDescent="0.25">
      <c r="A248" s="25" t="s">
        <v>647</v>
      </c>
      <c r="B248" s="26" t="s">
        <v>648</v>
      </c>
      <c r="C248" s="27"/>
      <c r="D248" s="27"/>
      <c r="E248" s="31">
        <v>0</v>
      </c>
      <c r="F248" s="31">
        <v>0</v>
      </c>
      <c r="G248" s="31">
        <v>0</v>
      </c>
      <c r="H248" s="31">
        <v>0</v>
      </c>
      <c r="I248" s="31">
        <v>0</v>
      </c>
      <c r="J248" s="31">
        <v>0</v>
      </c>
      <c r="K248" s="31">
        <v>0</v>
      </c>
      <c r="L248" s="31">
        <v>0</v>
      </c>
      <c r="M248" s="31">
        <v>0</v>
      </c>
      <c r="N248" s="31">
        <v>0</v>
      </c>
      <c r="O248" s="27"/>
      <c r="P248" s="29"/>
      <c r="Q248" s="30"/>
    </row>
    <row r="249" spans="1:17" ht="67.5" x14ac:dyDescent="0.25">
      <c r="A249" s="19" t="s">
        <v>649</v>
      </c>
      <c r="B249" s="20" t="s">
        <v>650</v>
      </c>
      <c r="C249" s="21"/>
      <c r="D249" s="21" t="s">
        <v>625</v>
      </c>
      <c r="E249" s="22">
        <f t="shared" ref="E249:N249" si="115">SUM(E250:E250)</f>
        <v>14200</v>
      </c>
      <c r="F249" s="22">
        <f t="shared" si="115"/>
        <v>14200</v>
      </c>
      <c r="G249" s="22">
        <f t="shared" si="115"/>
        <v>0</v>
      </c>
      <c r="H249" s="22">
        <f t="shared" si="115"/>
        <v>0</v>
      </c>
      <c r="I249" s="22">
        <f t="shared" si="115"/>
        <v>0</v>
      </c>
      <c r="J249" s="22">
        <f t="shared" si="115"/>
        <v>0</v>
      </c>
      <c r="K249" s="22">
        <f t="shared" si="115"/>
        <v>0</v>
      </c>
      <c r="L249" s="22">
        <f t="shared" si="115"/>
        <v>0</v>
      </c>
      <c r="M249" s="22">
        <f t="shared" si="115"/>
        <v>0</v>
      </c>
      <c r="N249" s="22">
        <f t="shared" si="115"/>
        <v>0</v>
      </c>
      <c r="O249" s="21" t="s">
        <v>651</v>
      </c>
      <c r="P249" s="23" t="s">
        <v>34</v>
      </c>
      <c r="Q249" s="24" t="s">
        <v>75</v>
      </c>
    </row>
    <row r="250" spans="1:17" ht="69.75" x14ac:dyDescent="0.25">
      <c r="A250" s="25" t="s">
        <v>652</v>
      </c>
      <c r="B250" s="26" t="s">
        <v>653</v>
      </c>
      <c r="C250" s="27" t="s">
        <v>23</v>
      </c>
      <c r="D250" s="27" t="s">
        <v>625</v>
      </c>
      <c r="E250" s="28">
        <f>SUM(E251:E252)+14200</f>
        <v>14200</v>
      </c>
      <c r="F250" s="28">
        <f>SUM(F251:F252)+14200</f>
        <v>14200</v>
      </c>
      <c r="G250" s="28">
        <f t="shared" ref="G250:N250" si="116">SUM(G251:G252)</f>
        <v>0</v>
      </c>
      <c r="H250" s="28">
        <f t="shared" si="116"/>
        <v>0</v>
      </c>
      <c r="I250" s="28">
        <f t="shared" si="116"/>
        <v>0</v>
      </c>
      <c r="J250" s="28">
        <f t="shared" si="116"/>
        <v>0</v>
      </c>
      <c r="K250" s="28">
        <f t="shared" si="116"/>
        <v>0</v>
      </c>
      <c r="L250" s="28">
        <f t="shared" si="116"/>
        <v>0</v>
      </c>
      <c r="M250" s="28">
        <f t="shared" si="116"/>
        <v>0</v>
      </c>
      <c r="N250" s="28">
        <f t="shared" si="116"/>
        <v>0</v>
      </c>
      <c r="O250" s="27" t="s">
        <v>654</v>
      </c>
      <c r="P250" s="29" t="s">
        <v>34</v>
      </c>
      <c r="Q250" s="30" t="s">
        <v>35</v>
      </c>
    </row>
    <row r="251" spans="1:17" x14ac:dyDescent="0.25">
      <c r="A251" s="32"/>
      <c r="B251" s="33"/>
      <c r="C251" s="34"/>
      <c r="D251" s="34"/>
      <c r="E251" s="35">
        <v>0</v>
      </c>
      <c r="F251" s="35">
        <v>0</v>
      </c>
      <c r="G251" s="35">
        <v>0</v>
      </c>
      <c r="H251" s="35">
        <v>0</v>
      </c>
      <c r="I251" s="35">
        <v>0</v>
      </c>
      <c r="J251" s="35">
        <v>0</v>
      </c>
      <c r="K251" s="35">
        <v>0</v>
      </c>
      <c r="L251" s="35">
        <v>0</v>
      </c>
      <c r="M251" s="35">
        <v>0</v>
      </c>
      <c r="N251" s="35">
        <v>0</v>
      </c>
      <c r="O251" s="34" t="s">
        <v>655</v>
      </c>
      <c r="P251" s="36" t="s">
        <v>34</v>
      </c>
      <c r="Q251" s="37" t="s">
        <v>184</v>
      </c>
    </row>
    <row r="252" spans="1:17" ht="46.5" x14ac:dyDescent="0.25">
      <c r="A252" s="25" t="s">
        <v>656</v>
      </c>
      <c r="B252" s="26" t="s">
        <v>657</v>
      </c>
      <c r="C252" s="27"/>
      <c r="D252" s="27"/>
      <c r="E252" s="31">
        <v>0</v>
      </c>
      <c r="F252" s="31">
        <v>0</v>
      </c>
      <c r="G252" s="31">
        <v>0</v>
      </c>
      <c r="H252" s="31">
        <v>0</v>
      </c>
      <c r="I252" s="31">
        <v>0</v>
      </c>
      <c r="J252" s="31">
        <v>0</v>
      </c>
      <c r="K252" s="31">
        <v>0</v>
      </c>
      <c r="L252" s="31">
        <v>0</v>
      </c>
      <c r="M252" s="31">
        <v>0</v>
      </c>
      <c r="N252" s="31">
        <v>0</v>
      </c>
      <c r="O252" s="27"/>
      <c r="P252" s="29"/>
      <c r="Q252" s="30"/>
    </row>
    <row r="253" spans="1:17" ht="90" x14ac:dyDescent="0.25">
      <c r="A253" s="13" t="s">
        <v>658</v>
      </c>
      <c r="B253" s="14" t="s">
        <v>659</v>
      </c>
      <c r="C253" s="15"/>
      <c r="D253" s="15" t="s">
        <v>660</v>
      </c>
      <c r="E253" s="16">
        <f t="shared" ref="E253:N253" si="117">E254+E263</f>
        <v>73000</v>
      </c>
      <c r="F253" s="16">
        <f t="shared" si="117"/>
        <v>73000</v>
      </c>
      <c r="G253" s="16">
        <f t="shared" si="117"/>
        <v>0</v>
      </c>
      <c r="H253" s="16">
        <f t="shared" si="117"/>
        <v>0</v>
      </c>
      <c r="I253" s="16">
        <f t="shared" si="117"/>
        <v>0</v>
      </c>
      <c r="J253" s="16">
        <f t="shared" si="117"/>
        <v>0</v>
      </c>
      <c r="K253" s="16">
        <f t="shared" si="117"/>
        <v>0</v>
      </c>
      <c r="L253" s="16">
        <f t="shared" si="117"/>
        <v>0</v>
      </c>
      <c r="M253" s="16">
        <f t="shared" si="117"/>
        <v>0</v>
      </c>
      <c r="N253" s="16">
        <f t="shared" si="117"/>
        <v>0</v>
      </c>
      <c r="O253" s="15" t="s">
        <v>661</v>
      </c>
      <c r="P253" s="17" t="s">
        <v>29</v>
      </c>
      <c r="Q253" s="18" t="s">
        <v>200</v>
      </c>
    </row>
    <row r="254" spans="1:17" ht="90" x14ac:dyDescent="0.25">
      <c r="A254" s="19" t="s">
        <v>662</v>
      </c>
      <c r="B254" s="20" t="s">
        <v>663</v>
      </c>
      <c r="C254" s="21" t="s">
        <v>23</v>
      </c>
      <c r="D254" s="21" t="s">
        <v>660</v>
      </c>
      <c r="E254" s="22">
        <f t="shared" ref="E254:N254" si="118">E255+E256+E259+E261</f>
        <v>61000</v>
      </c>
      <c r="F254" s="22">
        <f t="shared" si="118"/>
        <v>61000</v>
      </c>
      <c r="G254" s="22">
        <f t="shared" si="118"/>
        <v>0</v>
      </c>
      <c r="H254" s="22">
        <f t="shared" si="118"/>
        <v>0</v>
      </c>
      <c r="I254" s="22">
        <f t="shared" si="118"/>
        <v>0</v>
      </c>
      <c r="J254" s="22">
        <f t="shared" si="118"/>
        <v>0</v>
      </c>
      <c r="K254" s="22">
        <f t="shared" si="118"/>
        <v>0</v>
      </c>
      <c r="L254" s="22">
        <f t="shared" si="118"/>
        <v>0</v>
      </c>
      <c r="M254" s="22">
        <f t="shared" si="118"/>
        <v>0</v>
      </c>
      <c r="N254" s="22">
        <f t="shared" si="118"/>
        <v>0</v>
      </c>
      <c r="O254" s="21" t="s">
        <v>664</v>
      </c>
      <c r="P254" s="23" t="s">
        <v>34</v>
      </c>
      <c r="Q254" s="24" t="s">
        <v>184</v>
      </c>
    </row>
    <row r="255" spans="1:17" x14ac:dyDescent="0.25">
      <c r="A255" s="32"/>
      <c r="B255" s="33"/>
      <c r="C255" s="34"/>
      <c r="D255" s="34"/>
      <c r="E255" s="35">
        <v>0</v>
      </c>
      <c r="F255" s="35">
        <v>0</v>
      </c>
      <c r="G255" s="35">
        <v>0</v>
      </c>
      <c r="H255" s="35">
        <v>0</v>
      </c>
      <c r="I255" s="35">
        <v>0</v>
      </c>
      <c r="J255" s="35">
        <v>0</v>
      </c>
      <c r="K255" s="35">
        <v>0</v>
      </c>
      <c r="L255" s="35">
        <v>0</v>
      </c>
      <c r="M255" s="35">
        <v>0</v>
      </c>
      <c r="N255" s="35">
        <v>0</v>
      </c>
      <c r="O255" s="34" t="s">
        <v>665</v>
      </c>
      <c r="P255" s="36" t="s">
        <v>34</v>
      </c>
      <c r="Q255" s="37" t="s">
        <v>606</v>
      </c>
    </row>
    <row r="256" spans="1:17" ht="46.5" x14ac:dyDescent="0.25">
      <c r="A256" s="25" t="s">
        <v>666</v>
      </c>
      <c r="B256" s="26" t="s">
        <v>667</v>
      </c>
      <c r="C256" s="27" t="s">
        <v>23</v>
      </c>
      <c r="D256" s="27" t="s">
        <v>660</v>
      </c>
      <c r="E256" s="28">
        <f>SUM(E257:E258)+30000</f>
        <v>30000</v>
      </c>
      <c r="F256" s="28">
        <f>SUM(F257:F258)+30000</f>
        <v>30000</v>
      </c>
      <c r="G256" s="28">
        <f t="shared" ref="G256:N256" si="119">SUM(G257:G258)</f>
        <v>0</v>
      </c>
      <c r="H256" s="28">
        <f t="shared" si="119"/>
        <v>0</v>
      </c>
      <c r="I256" s="28">
        <f t="shared" si="119"/>
        <v>0</v>
      </c>
      <c r="J256" s="28">
        <f t="shared" si="119"/>
        <v>0</v>
      </c>
      <c r="K256" s="28">
        <f t="shared" si="119"/>
        <v>0</v>
      </c>
      <c r="L256" s="28">
        <f t="shared" si="119"/>
        <v>0</v>
      </c>
      <c r="M256" s="28">
        <f t="shared" si="119"/>
        <v>0</v>
      </c>
      <c r="N256" s="28">
        <f t="shared" si="119"/>
        <v>0</v>
      </c>
      <c r="O256" s="27" t="s">
        <v>654</v>
      </c>
      <c r="P256" s="29" t="s">
        <v>34</v>
      </c>
      <c r="Q256" s="30" t="s">
        <v>160</v>
      </c>
    </row>
    <row r="257" spans="1:17" ht="46.5" x14ac:dyDescent="0.25">
      <c r="A257" s="25" t="s">
        <v>668</v>
      </c>
      <c r="B257" s="26" t="s">
        <v>669</v>
      </c>
      <c r="C257" s="27"/>
      <c r="D257" s="27"/>
      <c r="E257" s="31">
        <v>0</v>
      </c>
      <c r="F257" s="31">
        <v>0</v>
      </c>
      <c r="G257" s="31">
        <v>0</v>
      </c>
      <c r="H257" s="31">
        <v>0</v>
      </c>
      <c r="I257" s="31">
        <v>0</v>
      </c>
      <c r="J257" s="31">
        <v>0</v>
      </c>
      <c r="K257" s="31">
        <v>0</v>
      </c>
      <c r="L257" s="31">
        <v>0</v>
      </c>
      <c r="M257" s="31">
        <v>0</v>
      </c>
      <c r="N257" s="31">
        <v>0</v>
      </c>
      <c r="O257" s="27"/>
      <c r="P257" s="29"/>
      <c r="Q257" s="30"/>
    </row>
    <row r="258" spans="1:17" ht="93" x14ac:dyDescent="0.25">
      <c r="A258" s="25" t="s">
        <v>670</v>
      </c>
      <c r="B258" s="26" t="s">
        <v>671</v>
      </c>
      <c r="C258" s="27"/>
      <c r="D258" s="27"/>
      <c r="E258" s="31">
        <v>0</v>
      </c>
      <c r="F258" s="31">
        <v>0</v>
      </c>
      <c r="G258" s="31">
        <v>0</v>
      </c>
      <c r="H258" s="31">
        <v>0</v>
      </c>
      <c r="I258" s="31">
        <v>0</v>
      </c>
      <c r="J258" s="31">
        <v>0</v>
      </c>
      <c r="K258" s="31">
        <v>0</v>
      </c>
      <c r="L258" s="31">
        <v>0</v>
      </c>
      <c r="M258" s="31">
        <v>0</v>
      </c>
      <c r="N258" s="31">
        <v>0</v>
      </c>
      <c r="O258" s="27"/>
      <c r="P258" s="29"/>
      <c r="Q258" s="30"/>
    </row>
    <row r="259" spans="1:17" ht="46.5" x14ac:dyDescent="0.25">
      <c r="A259" s="25" t="s">
        <v>672</v>
      </c>
      <c r="B259" s="26" t="s">
        <v>673</v>
      </c>
      <c r="C259" s="27" t="s">
        <v>23</v>
      </c>
      <c r="D259" s="27" t="s">
        <v>660</v>
      </c>
      <c r="E259" s="28">
        <f>SUM(E260:E260)+1000</f>
        <v>1000</v>
      </c>
      <c r="F259" s="28">
        <f>SUM(F260:F260)+1000</f>
        <v>1000</v>
      </c>
      <c r="G259" s="28">
        <f t="shared" ref="G259:N259" si="120">SUM(G260:G260)</f>
        <v>0</v>
      </c>
      <c r="H259" s="28">
        <f t="shared" si="120"/>
        <v>0</v>
      </c>
      <c r="I259" s="28">
        <f t="shared" si="120"/>
        <v>0</v>
      </c>
      <c r="J259" s="28">
        <f t="shared" si="120"/>
        <v>0</v>
      </c>
      <c r="K259" s="28">
        <f t="shared" si="120"/>
        <v>0</v>
      </c>
      <c r="L259" s="28">
        <f t="shared" si="120"/>
        <v>0</v>
      </c>
      <c r="M259" s="28">
        <f t="shared" si="120"/>
        <v>0</v>
      </c>
      <c r="N259" s="28">
        <f t="shared" si="120"/>
        <v>0</v>
      </c>
      <c r="O259" s="27" t="s">
        <v>674</v>
      </c>
      <c r="P259" s="29" t="s">
        <v>34</v>
      </c>
      <c r="Q259" s="30" t="s">
        <v>75</v>
      </c>
    </row>
    <row r="260" spans="1:17" ht="46.5" x14ac:dyDescent="0.25">
      <c r="A260" s="25" t="s">
        <v>675</v>
      </c>
      <c r="B260" s="26" t="s">
        <v>676</v>
      </c>
      <c r="C260" s="27"/>
      <c r="D260" s="27"/>
      <c r="E260" s="31">
        <v>0</v>
      </c>
      <c r="F260" s="31">
        <v>0</v>
      </c>
      <c r="G260" s="31">
        <v>0</v>
      </c>
      <c r="H260" s="31">
        <v>0</v>
      </c>
      <c r="I260" s="31">
        <v>0</v>
      </c>
      <c r="J260" s="31">
        <v>0</v>
      </c>
      <c r="K260" s="31">
        <v>0</v>
      </c>
      <c r="L260" s="31">
        <v>0</v>
      </c>
      <c r="M260" s="31">
        <v>0</v>
      </c>
      <c r="N260" s="31">
        <v>0</v>
      </c>
      <c r="O260" s="27"/>
      <c r="P260" s="29"/>
      <c r="Q260" s="30"/>
    </row>
    <row r="261" spans="1:17" ht="46.5" x14ac:dyDescent="0.25">
      <c r="A261" s="25" t="s">
        <v>677</v>
      </c>
      <c r="B261" s="26" t="s">
        <v>678</v>
      </c>
      <c r="C261" s="27" t="s">
        <v>23</v>
      </c>
      <c r="D261" s="27" t="s">
        <v>660</v>
      </c>
      <c r="E261" s="28">
        <f>SUM(E262:E262)+30000</f>
        <v>30000</v>
      </c>
      <c r="F261" s="28">
        <f>SUM(F262:F262)+30000</f>
        <v>30000</v>
      </c>
      <c r="G261" s="28">
        <f t="shared" ref="G261:N261" si="121">SUM(G262:G262)</f>
        <v>0</v>
      </c>
      <c r="H261" s="28">
        <f t="shared" si="121"/>
        <v>0</v>
      </c>
      <c r="I261" s="28">
        <f t="shared" si="121"/>
        <v>0</v>
      </c>
      <c r="J261" s="28">
        <f t="shared" si="121"/>
        <v>0</v>
      </c>
      <c r="K261" s="28">
        <f t="shared" si="121"/>
        <v>0</v>
      </c>
      <c r="L261" s="28">
        <f t="shared" si="121"/>
        <v>0</v>
      </c>
      <c r="M261" s="28">
        <f t="shared" si="121"/>
        <v>0</v>
      </c>
      <c r="N261" s="28">
        <f t="shared" si="121"/>
        <v>0</v>
      </c>
      <c r="O261" s="27" t="s">
        <v>679</v>
      </c>
      <c r="P261" s="29" t="s">
        <v>34</v>
      </c>
      <c r="Q261" s="30" t="s">
        <v>160</v>
      </c>
    </row>
    <row r="262" spans="1:17" ht="46.5" x14ac:dyDescent="0.25">
      <c r="A262" s="25" t="s">
        <v>680</v>
      </c>
      <c r="B262" s="26" t="s">
        <v>681</v>
      </c>
      <c r="C262" s="27"/>
      <c r="D262" s="27"/>
      <c r="E262" s="31">
        <v>0</v>
      </c>
      <c r="F262" s="31">
        <v>0</v>
      </c>
      <c r="G262" s="31">
        <v>0</v>
      </c>
      <c r="H262" s="31">
        <v>0</v>
      </c>
      <c r="I262" s="31">
        <v>0</v>
      </c>
      <c r="J262" s="31">
        <v>0</v>
      </c>
      <c r="K262" s="31">
        <v>0</v>
      </c>
      <c r="L262" s="31">
        <v>0</v>
      </c>
      <c r="M262" s="31">
        <v>0</v>
      </c>
      <c r="N262" s="31">
        <v>0</v>
      </c>
      <c r="O262" s="27"/>
      <c r="P262" s="29"/>
      <c r="Q262" s="30"/>
    </row>
    <row r="263" spans="1:17" ht="67.5" x14ac:dyDescent="0.25">
      <c r="A263" s="19" t="s">
        <v>682</v>
      </c>
      <c r="B263" s="20" t="s">
        <v>683</v>
      </c>
      <c r="C263" s="21"/>
      <c r="D263" s="21" t="s">
        <v>660</v>
      </c>
      <c r="E263" s="22">
        <f t="shared" ref="E263:N263" si="122">SUM(E264:E264)</f>
        <v>12000</v>
      </c>
      <c r="F263" s="22">
        <f t="shared" si="122"/>
        <v>12000</v>
      </c>
      <c r="G263" s="22">
        <f t="shared" si="122"/>
        <v>0</v>
      </c>
      <c r="H263" s="22">
        <f t="shared" si="122"/>
        <v>0</v>
      </c>
      <c r="I263" s="22">
        <f t="shared" si="122"/>
        <v>0</v>
      </c>
      <c r="J263" s="22">
        <f t="shared" si="122"/>
        <v>0</v>
      </c>
      <c r="K263" s="22">
        <f t="shared" si="122"/>
        <v>0</v>
      </c>
      <c r="L263" s="22">
        <f t="shared" si="122"/>
        <v>0</v>
      </c>
      <c r="M263" s="22">
        <f t="shared" si="122"/>
        <v>0</v>
      </c>
      <c r="N263" s="22">
        <f t="shared" si="122"/>
        <v>0</v>
      </c>
      <c r="O263" s="21" t="s">
        <v>684</v>
      </c>
      <c r="P263" s="23" t="s">
        <v>34</v>
      </c>
      <c r="Q263" s="24" t="s">
        <v>246</v>
      </c>
    </row>
    <row r="264" spans="1:17" ht="46.5" x14ac:dyDescent="0.25">
      <c r="A264" s="25" t="s">
        <v>685</v>
      </c>
      <c r="B264" s="26" t="s">
        <v>686</v>
      </c>
      <c r="C264" s="27" t="s">
        <v>23</v>
      </c>
      <c r="D264" s="27" t="s">
        <v>660</v>
      </c>
      <c r="E264" s="28">
        <f>SUM(E265:E265)+12000</f>
        <v>12000</v>
      </c>
      <c r="F264" s="28">
        <f>SUM(F265:F265)+12000</f>
        <v>12000</v>
      </c>
      <c r="G264" s="28">
        <f t="shared" ref="G264:N264" si="123">SUM(G265:G265)</f>
        <v>0</v>
      </c>
      <c r="H264" s="28">
        <f t="shared" si="123"/>
        <v>0</v>
      </c>
      <c r="I264" s="28">
        <f t="shared" si="123"/>
        <v>0</v>
      </c>
      <c r="J264" s="28">
        <f t="shared" si="123"/>
        <v>0</v>
      </c>
      <c r="K264" s="28">
        <f t="shared" si="123"/>
        <v>0</v>
      </c>
      <c r="L264" s="28">
        <f t="shared" si="123"/>
        <v>0</v>
      </c>
      <c r="M264" s="28">
        <f t="shared" si="123"/>
        <v>0</v>
      </c>
      <c r="N264" s="28">
        <f t="shared" si="123"/>
        <v>0</v>
      </c>
      <c r="O264" s="27" t="s">
        <v>687</v>
      </c>
      <c r="P264" s="29" t="s">
        <v>34</v>
      </c>
      <c r="Q264" s="30" t="s">
        <v>246</v>
      </c>
    </row>
    <row r="265" spans="1:17" x14ac:dyDescent="0.25">
      <c r="A265" s="25" t="s">
        <v>688</v>
      </c>
      <c r="B265" s="26" t="s">
        <v>689</v>
      </c>
      <c r="C265" s="27"/>
      <c r="D265" s="27"/>
      <c r="E265" s="31">
        <v>0</v>
      </c>
      <c r="F265" s="31">
        <v>0</v>
      </c>
      <c r="G265" s="31">
        <v>0</v>
      </c>
      <c r="H265" s="31">
        <v>0</v>
      </c>
      <c r="I265" s="31">
        <v>0</v>
      </c>
      <c r="J265" s="31">
        <v>0</v>
      </c>
      <c r="K265" s="31">
        <v>0</v>
      </c>
      <c r="L265" s="31">
        <v>0</v>
      </c>
      <c r="M265" s="31">
        <v>0</v>
      </c>
      <c r="N265" s="31">
        <v>0</v>
      </c>
      <c r="O265" s="27"/>
      <c r="P265" s="29"/>
      <c r="Q265" s="30"/>
    </row>
    <row r="266" spans="1:17" x14ac:dyDescent="0.25">
      <c r="A266" s="7" t="s">
        <v>690</v>
      </c>
      <c r="B266" s="8" t="s">
        <v>691</v>
      </c>
      <c r="C266" s="9" t="s">
        <v>692</v>
      </c>
      <c r="D266" s="9" t="s">
        <v>693</v>
      </c>
      <c r="E266" s="10">
        <f t="shared" ref="E266:N266" si="124">E267+E353</f>
        <v>7442128.3200000003</v>
      </c>
      <c r="F266" s="10">
        <f t="shared" si="124"/>
        <v>6813171.2000000002</v>
      </c>
      <c r="G266" s="10">
        <f t="shared" si="124"/>
        <v>1783.65</v>
      </c>
      <c r="H266" s="10">
        <f t="shared" si="124"/>
        <v>0</v>
      </c>
      <c r="I266" s="10">
        <f t="shared" si="124"/>
        <v>531053</v>
      </c>
      <c r="J266" s="10">
        <f t="shared" si="124"/>
        <v>0</v>
      </c>
      <c r="K266" s="10">
        <f t="shared" si="124"/>
        <v>0</v>
      </c>
      <c r="L266" s="10">
        <f t="shared" si="124"/>
        <v>27805.47</v>
      </c>
      <c r="M266" s="10">
        <f t="shared" si="124"/>
        <v>0</v>
      </c>
      <c r="N266" s="10">
        <f t="shared" si="124"/>
        <v>0</v>
      </c>
      <c r="O266" s="9"/>
      <c r="P266" s="11"/>
      <c r="Q266" s="12"/>
    </row>
    <row r="267" spans="1:17" ht="90" x14ac:dyDescent="0.25">
      <c r="A267" s="13" t="s">
        <v>694</v>
      </c>
      <c r="B267" s="14" t="s">
        <v>695</v>
      </c>
      <c r="C267" s="15" t="s">
        <v>692</v>
      </c>
      <c r="D267" s="15" t="s">
        <v>693</v>
      </c>
      <c r="E267" s="16">
        <f t="shared" ref="E267:N267" si="125">E268+E315+E318+E325+E328+E339+E344</f>
        <v>7431828.3200000003</v>
      </c>
      <c r="F267" s="16">
        <f t="shared" si="125"/>
        <v>6802871.2000000002</v>
      </c>
      <c r="G267" s="16">
        <f t="shared" si="125"/>
        <v>1783.65</v>
      </c>
      <c r="H267" s="16">
        <f t="shared" si="125"/>
        <v>0</v>
      </c>
      <c r="I267" s="16">
        <f t="shared" si="125"/>
        <v>531053</v>
      </c>
      <c r="J267" s="16">
        <f t="shared" si="125"/>
        <v>0</v>
      </c>
      <c r="K267" s="16">
        <f t="shared" si="125"/>
        <v>0</v>
      </c>
      <c r="L267" s="16">
        <f t="shared" si="125"/>
        <v>27805.47</v>
      </c>
      <c r="M267" s="16">
        <f t="shared" si="125"/>
        <v>0</v>
      </c>
      <c r="N267" s="16">
        <f t="shared" si="125"/>
        <v>0</v>
      </c>
      <c r="O267" s="15" t="s">
        <v>696</v>
      </c>
      <c r="P267" s="17" t="s">
        <v>29</v>
      </c>
      <c r="Q267" s="18" t="s">
        <v>30</v>
      </c>
    </row>
    <row r="268" spans="1:17" ht="90" x14ac:dyDescent="0.25">
      <c r="A268" s="19" t="s">
        <v>697</v>
      </c>
      <c r="B268" s="20" t="s">
        <v>698</v>
      </c>
      <c r="C268" s="21" t="s">
        <v>692</v>
      </c>
      <c r="D268" s="21" t="s">
        <v>693</v>
      </c>
      <c r="E268" s="22">
        <f t="shared" ref="E268:N268" si="126">E269+E271+E273+E275+E277+E279+E281+E285+E288+E290+E292+E294+E296+E298+E300+E302+E304+E307+E309+E311+E313</f>
        <v>5889951.6500000004</v>
      </c>
      <c r="F268" s="22">
        <f t="shared" si="126"/>
        <v>5288800</v>
      </c>
      <c r="G268" s="22">
        <f t="shared" si="126"/>
        <v>1783.65</v>
      </c>
      <c r="H268" s="22">
        <f t="shared" si="126"/>
        <v>0</v>
      </c>
      <c r="I268" s="22">
        <f t="shared" si="126"/>
        <v>531053</v>
      </c>
      <c r="J268" s="22">
        <f t="shared" si="126"/>
        <v>0</v>
      </c>
      <c r="K268" s="22">
        <f t="shared" si="126"/>
        <v>0</v>
      </c>
      <c r="L268" s="22">
        <f t="shared" si="126"/>
        <v>0</v>
      </c>
      <c r="M268" s="22">
        <f t="shared" si="126"/>
        <v>0</v>
      </c>
      <c r="N268" s="22">
        <f t="shared" si="126"/>
        <v>0</v>
      </c>
      <c r="O268" s="21" t="s">
        <v>699</v>
      </c>
      <c r="P268" s="23" t="s">
        <v>34</v>
      </c>
      <c r="Q268" s="24" t="s">
        <v>700</v>
      </c>
    </row>
    <row r="269" spans="1:17" ht="46.5" x14ac:dyDescent="0.25">
      <c r="A269" s="25" t="s">
        <v>701</v>
      </c>
      <c r="B269" s="26" t="s">
        <v>702</v>
      </c>
      <c r="C269" s="27" t="s">
        <v>692</v>
      </c>
      <c r="D269" s="27" t="s">
        <v>693</v>
      </c>
      <c r="E269" s="28">
        <f>SUM(E270:E270)+364500</f>
        <v>364500</v>
      </c>
      <c r="F269" s="28">
        <f>SUM(F270:F270)+364500</f>
        <v>364500</v>
      </c>
      <c r="G269" s="28">
        <f t="shared" ref="G269:N269" si="127">SUM(G270:G270)</f>
        <v>0</v>
      </c>
      <c r="H269" s="28">
        <f t="shared" si="127"/>
        <v>0</v>
      </c>
      <c r="I269" s="28">
        <f t="shared" si="127"/>
        <v>0</v>
      </c>
      <c r="J269" s="28">
        <f t="shared" si="127"/>
        <v>0</v>
      </c>
      <c r="K269" s="28">
        <f t="shared" si="127"/>
        <v>0</v>
      </c>
      <c r="L269" s="28">
        <f t="shared" si="127"/>
        <v>0</v>
      </c>
      <c r="M269" s="28">
        <f t="shared" si="127"/>
        <v>0</v>
      </c>
      <c r="N269" s="28">
        <f t="shared" si="127"/>
        <v>0</v>
      </c>
      <c r="O269" s="27" t="s">
        <v>703</v>
      </c>
      <c r="P269" s="29" t="s">
        <v>34</v>
      </c>
      <c r="Q269" s="30" t="s">
        <v>704</v>
      </c>
    </row>
    <row r="270" spans="1:17" ht="116.25" x14ac:dyDescent="0.25">
      <c r="A270" s="25" t="s">
        <v>705</v>
      </c>
      <c r="B270" s="26" t="s">
        <v>706</v>
      </c>
      <c r="C270" s="27"/>
      <c r="D270" s="27"/>
      <c r="E270" s="31">
        <v>0</v>
      </c>
      <c r="F270" s="31">
        <v>0</v>
      </c>
      <c r="G270" s="31">
        <v>0</v>
      </c>
      <c r="H270" s="31">
        <v>0</v>
      </c>
      <c r="I270" s="31">
        <v>0</v>
      </c>
      <c r="J270" s="31">
        <v>0</v>
      </c>
      <c r="K270" s="31">
        <v>0</v>
      </c>
      <c r="L270" s="31">
        <v>0</v>
      </c>
      <c r="M270" s="31">
        <v>0</v>
      </c>
      <c r="N270" s="31">
        <v>0</v>
      </c>
      <c r="O270" s="27"/>
      <c r="P270" s="29"/>
      <c r="Q270" s="30"/>
    </row>
    <row r="271" spans="1:17" ht="69.75" x14ac:dyDescent="0.25">
      <c r="A271" s="25" t="s">
        <v>707</v>
      </c>
      <c r="B271" s="26" t="s">
        <v>708</v>
      </c>
      <c r="C271" s="27" t="s">
        <v>692</v>
      </c>
      <c r="D271" s="27" t="s">
        <v>693</v>
      </c>
      <c r="E271" s="28">
        <f>SUM(E272:E272)+245017</f>
        <v>245017</v>
      </c>
      <c r="F271" s="28">
        <f>SUM(F272:F272)+245017</f>
        <v>245017</v>
      </c>
      <c r="G271" s="28">
        <f t="shared" ref="G271:N271" si="128">SUM(G272:G272)</f>
        <v>0</v>
      </c>
      <c r="H271" s="28">
        <f t="shared" si="128"/>
        <v>0</v>
      </c>
      <c r="I271" s="28">
        <f t="shared" si="128"/>
        <v>0</v>
      </c>
      <c r="J271" s="28">
        <f t="shared" si="128"/>
        <v>0</v>
      </c>
      <c r="K271" s="28">
        <f t="shared" si="128"/>
        <v>0</v>
      </c>
      <c r="L271" s="28">
        <f t="shared" si="128"/>
        <v>0</v>
      </c>
      <c r="M271" s="28">
        <f t="shared" si="128"/>
        <v>0</v>
      </c>
      <c r="N271" s="28">
        <f t="shared" si="128"/>
        <v>0</v>
      </c>
      <c r="O271" s="27" t="s">
        <v>709</v>
      </c>
      <c r="P271" s="29" t="s">
        <v>34</v>
      </c>
      <c r="Q271" s="30" t="s">
        <v>246</v>
      </c>
    </row>
    <row r="272" spans="1:17" ht="139.5" x14ac:dyDescent="0.25">
      <c r="A272" s="25" t="s">
        <v>710</v>
      </c>
      <c r="B272" s="26" t="s">
        <v>711</v>
      </c>
      <c r="C272" s="27"/>
      <c r="D272" s="27"/>
      <c r="E272" s="31">
        <v>0</v>
      </c>
      <c r="F272" s="31">
        <v>0</v>
      </c>
      <c r="G272" s="31">
        <v>0</v>
      </c>
      <c r="H272" s="31">
        <v>0</v>
      </c>
      <c r="I272" s="31">
        <v>0</v>
      </c>
      <c r="J272" s="31">
        <v>0</v>
      </c>
      <c r="K272" s="31">
        <v>0</v>
      </c>
      <c r="L272" s="31">
        <v>0</v>
      </c>
      <c r="M272" s="31">
        <v>0</v>
      </c>
      <c r="N272" s="31">
        <v>0</v>
      </c>
      <c r="O272" s="27"/>
      <c r="P272" s="29"/>
      <c r="Q272" s="30"/>
    </row>
    <row r="273" spans="1:17" ht="69.75" x14ac:dyDescent="0.25">
      <c r="A273" s="25" t="s">
        <v>712</v>
      </c>
      <c r="B273" s="26" t="s">
        <v>713</v>
      </c>
      <c r="C273" s="27" t="s">
        <v>714</v>
      </c>
      <c r="D273" s="27" t="s">
        <v>693</v>
      </c>
      <c r="E273" s="28">
        <f>SUM(E274:E274)+97225</f>
        <v>97225</v>
      </c>
      <c r="F273" s="28">
        <f>SUM(F274:F274)+97225</f>
        <v>97225</v>
      </c>
      <c r="G273" s="28">
        <f t="shared" ref="G273:N273" si="129">SUM(G274:G274)</f>
        <v>0</v>
      </c>
      <c r="H273" s="28">
        <f t="shared" si="129"/>
        <v>0</v>
      </c>
      <c r="I273" s="28">
        <f t="shared" si="129"/>
        <v>0</v>
      </c>
      <c r="J273" s="28">
        <f t="shared" si="129"/>
        <v>0</v>
      </c>
      <c r="K273" s="28">
        <f t="shared" si="129"/>
        <v>0</v>
      </c>
      <c r="L273" s="28">
        <f t="shared" si="129"/>
        <v>0</v>
      </c>
      <c r="M273" s="28">
        <f t="shared" si="129"/>
        <v>0</v>
      </c>
      <c r="N273" s="28">
        <f t="shared" si="129"/>
        <v>0</v>
      </c>
      <c r="O273" s="27" t="s">
        <v>715</v>
      </c>
      <c r="P273" s="29" t="s">
        <v>34</v>
      </c>
      <c r="Q273" s="30" t="s">
        <v>35</v>
      </c>
    </row>
    <row r="274" spans="1:17" ht="139.5" x14ac:dyDescent="0.25">
      <c r="A274" s="25" t="s">
        <v>716</v>
      </c>
      <c r="B274" s="26" t="s">
        <v>717</v>
      </c>
      <c r="C274" s="27"/>
      <c r="D274" s="27"/>
      <c r="E274" s="31">
        <v>0</v>
      </c>
      <c r="F274" s="31">
        <v>0</v>
      </c>
      <c r="G274" s="31">
        <v>0</v>
      </c>
      <c r="H274" s="31">
        <v>0</v>
      </c>
      <c r="I274" s="31">
        <v>0</v>
      </c>
      <c r="J274" s="31">
        <v>0</v>
      </c>
      <c r="K274" s="31">
        <v>0</v>
      </c>
      <c r="L274" s="31">
        <v>0</v>
      </c>
      <c r="M274" s="31">
        <v>0</v>
      </c>
      <c r="N274" s="31">
        <v>0</v>
      </c>
      <c r="O274" s="27"/>
      <c r="P274" s="29"/>
      <c r="Q274" s="30"/>
    </row>
    <row r="275" spans="1:17" ht="69.75" x14ac:dyDescent="0.25">
      <c r="A275" s="25" t="s">
        <v>718</v>
      </c>
      <c r="B275" s="26" t="s">
        <v>719</v>
      </c>
      <c r="C275" s="27" t="s">
        <v>692</v>
      </c>
      <c r="D275" s="27" t="s">
        <v>720</v>
      </c>
      <c r="E275" s="28">
        <f>SUM(E276:E276)+4791643.08</f>
        <v>4791643.08</v>
      </c>
      <c r="F275" s="28">
        <f>SUM(F276:F276)+4192261</f>
        <v>4192261</v>
      </c>
      <c r="G275" s="28">
        <f>SUM(G276:G276)+14.08</f>
        <v>14.08</v>
      </c>
      <c r="H275" s="28">
        <f>SUM(H276:H276)</f>
        <v>0</v>
      </c>
      <c r="I275" s="28">
        <f>SUM(I276:I276)+531053</f>
        <v>531053</v>
      </c>
      <c r="J275" s="28">
        <f>SUM(J276:J276)</f>
        <v>0</v>
      </c>
      <c r="K275" s="28">
        <f>SUM(K276:K276)</f>
        <v>0</v>
      </c>
      <c r="L275" s="28">
        <f>SUM(L276:L276)</f>
        <v>0</v>
      </c>
      <c r="M275" s="28">
        <f>SUM(M276:M276)</f>
        <v>0</v>
      </c>
      <c r="N275" s="28">
        <f>SUM(N276:N276)</f>
        <v>0</v>
      </c>
      <c r="O275" s="27" t="s">
        <v>721</v>
      </c>
      <c r="P275" s="29" t="s">
        <v>34</v>
      </c>
      <c r="Q275" s="30" t="s">
        <v>722</v>
      </c>
    </row>
    <row r="276" spans="1:17" ht="69.75" x14ac:dyDescent="0.25">
      <c r="A276" s="25" t="s">
        <v>723</v>
      </c>
      <c r="B276" s="26" t="s">
        <v>724</v>
      </c>
      <c r="C276" s="27"/>
      <c r="D276" s="27"/>
      <c r="E276" s="31">
        <v>0</v>
      </c>
      <c r="F276" s="31">
        <v>0</v>
      </c>
      <c r="G276" s="31">
        <v>0</v>
      </c>
      <c r="H276" s="31">
        <v>0</v>
      </c>
      <c r="I276" s="31">
        <v>0</v>
      </c>
      <c r="J276" s="31">
        <v>0</v>
      </c>
      <c r="K276" s="31">
        <v>0</v>
      </c>
      <c r="L276" s="31">
        <v>0</v>
      </c>
      <c r="M276" s="31">
        <v>0</v>
      </c>
      <c r="N276" s="31">
        <v>0</v>
      </c>
      <c r="O276" s="27"/>
      <c r="P276" s="29"/>
      <c r="Q276" s="30"/>
    </row>
    <row r="277" spans="1:17" ht="69.75" x14ac:dyDescent="0.25">
      <c r="A277" s="25" t="s">
        <v>725</v>
      </c>
      <c r="B277" s="26" t="s">
        <v>726</v>
      </c>
      <c r="C277" s="27" t="s">
        <v>692</v>
      </c>
      <c r="D277" s="27" t="s">
        <v>693</v>
      </c>
      <c r="E277" s="28">
        <f>SUM(E278:E278)+19290</f>
        <v>19290</v>
      </c>
      <c r="F277" s="28">
        <f>SUM(F278:F278)+19290</f>
        <v>19290</v>
      </c>
      <c r="G277" s="28">
        <f t="shared" ref="G277:N277" si="130">SUM(G278:G278)</f>
        <v>0</v>
      </c>
      <c r="H277" s="28">
        <f t="shared" si="130"/>
        <v>0</v>
      </c>
      <c r="I277" s="28">
        <f t="shared" si="130"/>
        <v>0</v>
      </c>
      <c r="J277" s="28">
        <f t="shared" si="130"/>
        <v>0</v>
      </c>
      <c r="K277" s="28">
        <f t="shared" si="130"/>
        <v>0</v>
      </c>
      <c r="L277" s="28">
        <f t="shared" si="130"/>
        <v>0</v>
      </c>
      <c r="M277" s="28">
        <f t="shared" si="130"/>
        <v>0</v>
      </c>
      <c r="N277" s="28">
        <f t="shared" si="130"/>
        <v>0</v>
      </c>
      <c r="O277" s="27" t="s">
        <v>727</v>
      </c>
      <c r="P277" s="29" t="s">
        <v>29</v>
      </c>
      <c r="Q277" s="30" t="s">
        <v>30</v>
      </c>
    </row>
    <row r="278" spans="1:17" ht="46.5" x14ac:dyDescent="0.25">
      <c r="A278" s="25" t="s">
        <v>728</v>
      </c>
      <c r="B278" s="26" t="s">
        <v>729</v>
      </c>
      <c r="C278" s="27"/>
      <c r="D278" s="27"/>
      <c r="E278" s="31">
        <v>0</v>
      </c>
      <c r="F278" s="31">
        <v>0</v>
      </c>
      <c r="G278" s="31">
        <v>0</v>
      </c>
      <c r="H278" s="31">
        <v>0</v>
      </c>
      <c r="I278" s="31">
        <v>0</v>
      </c>
      <c r="J278" s="31">
        <v>0</v>
      </c>
      <c r="K278" s="31">
        <v>0</v>
      </c>
      <c r="L278" s="31">
        <v>0</v>
      </c>
      <c r="M278" s="31">
        <v>0</v>
      </c>
      <c r="N278" s="31">
        <v>0</v>
      </c>
      <c r="O278" s="27"/>
      <c r="P278" s="29"/>
      <c r="Q278" s="30"/>
    </row>
    <row r="279" spans="1:17" ht="93" x14ac:dyDescent="0.25">
      <c r="A279" s="25" t="s">
        <v>730</v>
      </c>
      <c r="B279" s="26" t="s">
        <v>731</v>
      </c>
      <c r="C279" s="27" t="s">
        <v>692</v>
      </c>
      <c r="D279" s="27" t="s">
        <v>693</v>
      </c>
      <c r="E279" s="28">
        <f>SUM(E280:E280)+6500</f>
        <v>6500</v>
      </c>
      <c r="F279" s="28">
        <f>SUM(F280:F280)+6500</f>
        <v>6500</v>
      </c>
      <c r="G279" s="28">
        <f t="shared" ref="G279:N279" si="131">SUM(G280:G280)</f>
        <v>0</v>
      </c>
      <c r="H279" s="28">
        <f t="shared" si="131"/>
        <v>0</v>
      </c>
      <c r="I279" s="28">
        <f t="shared" si="131"/>
        <v>0</v>
      </c>
      <c r="J279" s="28">
        <f t="shared" si="131"/>
        <v>0</v>
      </c>
      <c r="K279" s="28">
        <f t="shared" si="131"/>
        <v>0</v>
      </c>
      <c r="L279" s="28">
        <f t="shared" si="131"/>
        <v>0</v>
      </c>
      <c r="M279" s="28">
        <f t="shared" si="131"/>
        <v>0</v>
      </c>
      <c r="N279" s="28">
        <f t="shared" si="131"/>
        <v>0</v>
      </c>
      <c r="O279" s="27" t="s">
        <v>727</v>
      </c>
      <c r="P279" s="29" t="s">
        <v>29</v>
      </c>
      <c r="Q279" s="30" t="s">
        <v>30</v>
      </c>
    </row>
    <row r="280" spans="1:17" ht="69.75" x14ac:dyDescent="0.25">
      <c r="A280" s="25" t="s">
        <v>732</v>
      </c>
      <c r="B280" s="26" t="s">
        <v>733</v>
      </c>
      <c r="C280" s="27"/>
      <c r="D280" s="27"/>
      <c r="E280" s="31">
        <v>0</v>
      </c>
      <c r="F280" s="31">
        <v>0</v>
      </c>
      <c r="G280" s="31">
        <v>0</v>
      </c>
      <c r="H280" s="31">
        <v>0</v>
      </c>
      <c r="I280" s="31">
        <v>0</v>
      </c>
      <c r="J280" s="31">
        <v>0</v>
      </c>
      <c r="K280" s="31">
        <v>0</v>
      </c>
      <c r="L280" s="31">
        <v>0</v>
      </c>
      <c r="M280" s="31">
        <v>0</v>
      </c>
      <c r="N280" s="31">
        <v>0</v>
      </c>
      <c r="O280" s="27"/>
      <c r="P280" s="29"/>
      <c r="Q280" s="30"/>
    </row>
    <row r="281" spans="1:17" ht="93" x14ac:dyDescent="0.25">
      <c r="A281" s="25" t="s">
        <v>734</v>
      </c>
      <c r="B281" s="26" t="s">
        <v>735</v>
      </c>
      <c r="C281" s="27" t="s">
        <v>736</v>
      </c>
      <c r="D281" s="27" t="s">
        <v>737</v>
      </c>
      <c r="E281" s="28">
        <f>SUM(E282:E284)+38000</f>
        <v>38000</v>
      </c>
      <c r="F281" s="28">
        <f>SUM(F282:F284)+38000</f>
        <v>38000</v>
      </c>
      <c r="G281" s="28">
        <f t="shared" ref="G281:N281" si="132">SUM(G282:G284)</f>
        <v>0</v>
      </c>
      <c r="H281" s="28">
        <f t="shared" si="132"/>
        <v>0</v>
      </c>
      <c r="I281" s="28">
        <f t="shared" si="132"/>
        <v>0</v>
      </c>
      <c r="J281" s="28">
        <f t="shared" si="132"/>
        <v>0</v>
      </c>
      <c r="K281" s="28">
        <f t="shared" si="132"/>
        <v>0</v>
      </c>
      <c r="L281" s="28">
        <f t="shared" si="132"/>
        <v>0</v>
      </c>
      <c r="M281" s="28">
        <f t="shared" si="132"/>
        <v>0</v>
      </c>
      <c r="N281" s="28">
        <f t="shared" si="132"/>
        <v>0</v>
      </c>
      <c r="O281" s="27" t="s">
        <v>738</v>
      </c>
      <c r="P281" s="29" t="s">
        <v>34</v>
      </c>
      <c r="Q281" s="30" t="s">
        <v>246</v>
      </c>
    </row>
    <row r="282" spans="1:17" ht="46.5" x14ac:dyDescent="0.25">
      <c r="A282" s="32"/>
      <c r="B282" s="33"/>
      <c r="C282" s="34"/>
      <c r="D282" s="34"/>
      <c r="E282" s="35">
        <v>0</v>
      </c>
      <c r="F282" s="35">
        <v>0</v>
      </c>
      <c r="G282" s="35">
        <v>0</v>
      </c>
      <c r="H282" s="35">
        <v>0</v>
      </c>
      <c r="I282" s="35">
        <v>0</v>
      </c>
      <c r="J282" s="35">
        <v>0</v>
      </c>
      <c r="K282" s="35">
        <v>0</v>
      </c>
      <c r="L282" s="35">
        <v>0</v>
      </c>
      <c r="M282" s="35">
        <v>0</v>
      </c>
      <c r="N282" s="35">
        <v>0</v>
      </c>
      <c r="O282" s="34" t="s">
        <v>739</v>
      </c>
      <c r="P282" s="36" t="s">
        <v>34</v>
      </c>
      <c r="Q282" s="37" t="s">
        <v>246</v>
      </c>
    </row>
    <row r="283" spans="1:17" ht="46.5" x14ac:dyDescent="0.25">
      <c r="A283" s="32"/>
      <c r="B283" s="33"/>
      <c r="C283" s="34"/>
      <c r="D283" s="34"/>
      <c r="E283" s="35">
        <v>0</v>
      </c>
      <c r="F283" s="35">
        <v>0</v>
      </c>
      <c r="G283" s="35">
        <v>0</v>
      </c>
      <c r="H283" s="35">
        <v>0</v>
      </c>
      <c r="I283" s="35">
        <v>0</v>
      </c>
      <c r="J283" s="35">
        <v>0</v>
      </c>
      <c r="K283" s="35">
        <v>0</v>
      </c>
      <c r="L283" s="35">
        <v>0</v>
      </c>
      <c r="M283" s="35">
        <v>0</v>
      </c>
      <c r="N283" s="35">
        <v>0</v>
      </c>
      <c r="O283" s="34" t="s">
        <v>740</v>
      </c>
      <c r="P283" s="36" t="s">
        <v>34</v>
      </c>
      <c r="Q283" s="37" t="s">
        <v>184</v>
      </c>
    </row>
    <row r="284" spans="1:17" ht="46.5" x14ac:dyDescent="0.25">
      <c r="A284" s="25" t="s">
        <v>741</v>
      </c>
      <c r="B284" s="26" t="s">
        <v>742</v>
      </c>
      <c r="C284" s="27"/>
      <c r="D284" s="27"/>
      <c r="E284" s="31">
        <v>0</v>
      </c>
      <c r="F284" s="31">
        <v>0</v>
      </c>
      <c r="G284" s="31">
        <v>0</v>
      </c>
      <c r="H284" s="31">
        <v>0</v>
      </c>
      <c r="I284" s="31">
        <v>0</v>
      </c>
      <c r="J284" s="31">
        <v>0</v>
      </c>
      <c r="K284" s="31">
        <v>0</v>
      </c>
      <c r="L284" s="31">
        <v>0</v>
      </c>
      <c r="M284" s="31">
        <v>0</v>
      </c>
      <c r="N284" s="31">
        <v>0</v>
      </c>
      <c r="O284" s="27"/>
      <c r="P284" s="29"/>
      <c r="Q284" s="30"/>
    </row>
    <row r="285" spans="1:17" ht="69.75" x14ac:dyDescent="0.25">
      <c r="A285" s="25" t="s">
        <v>743</v>
      </c>
      <c r="B285" s="26" t="s">
        <v>744</v>
      </c>
      <c r="C285" s="27" t="s">
        <v>745</v>
      </c>
      <c r="D285" s="27" t="s">
        <v>746</v>
      </c>
      <c r="E285" s="28">
        <f>SUM(E286:E287)+29201.96</f>
        <v>29201.96</v>
      </c>
      <c r="F285" s="28">
        <f>SUM(F286:F287)+28300</f>
        <v>28300</v>
      </c>
      <c r="G285" s="28">
        <f>SUM(G286:G287)+901.96</f>
        <v>901.96</v>
      </c>
      <c r="H285" s="28">
        <f t="shared" ref="H285:N285" si="133">SUM(H286:H287)</f>
        <v>0</v>
      </c>
      <c r="I285" s="28">
        <f t="shared" si="133"/>
        <v>0</v>
      </c>
      <c r="J285" s="28">
        <f t="shared" si="133"/>
        <v>0</v>
      </c>
      <c r="K285" s="28">
        <f t="shared" si="133"/>
        <v>0</v>
      </c>
      <c r="L285" s="28">
        <f t="shared" si="133"/>
        <v>0</v>
      </c>
      <c r="M285" s="28">
        <f t="shared" si="133"/>
        <v>0</v>
      </c>
      <c r="N285" s="28">
        <f t="shared" si="133"/>
        <v>0</v>
      </c>
      <c r="O285" s="27" t="s">
        <v>747</v>
      </c>
      <c r="P285" s="29" t="s">
        <v>34</v>
      </c>
      <c r="Q285" s="30" t="s">
        <v>35</v>
      </c>
    </row>
    <row r="286" spans="1:17" ht="93" x14ac:dyDescent="0.25">
      <c r="A286" s="25" t="s">
        <v>748</v>
      </c>
      <c r="B286" s="26" t="s">
        <v>749</v>
      </c>
      <c r="C286" s="27"/>
      <c r="D286" s="27"/>
      <c r="E286" s="31">
        <v>0</v>
      </c>
      <c r="F286" s="31">
        <v>0</v>
      </c>
      <c r="G286" s="31">
        <v>0</v>
      </c>
      <c r="H286" s="31">
        <v>0</v>
      </c>
      <c r="I286" s="31">
        <v>0</v>
      </c>
      <c r="J286" s="31">
        <v>0</v>
      </c>
      <c r="K286" s="31">
        <v>0</v>
      </c>
      <c r="L286" s="31">
        <v>0</v>
      </c>
      <c r="M286" s="31">
        <v>0</v>
      </c>
      <c r="N286" s="31">
        <v>0</v>
      </c>
      <c r="O286" s="27"/>
      <c r="P286" s="29"/>
      <c r="Q286" s="30"/>
    </row>
    <row r="287" spans="1:17" ht="116.25" x14ac:dyDescent="0.25">
      <c r="A287" s="25" t="s">
        <v>750</v>
      </c>
      <c r="B287" s="26" t="s">
        <v>751</v>
      </c>
      <c r="C287" s="27"/>
      <c r="D287" s="27"/>
      <c r="E287" s="31">
        <v>0</v>
      </c>
      <c r="F287" s="31">
        <v>0</v>
      </c>
      <c r="G287" s="31">
        <v>0</v>
      </c>
      <c r="H287" s="31">
        <v>0</v>
      </c>
      <c r="I287" s="31">
        <v>0</v>
      </c>
      <c r="J287" s="31">
        <v>0</v>
      </c>
      <c r="K287" s="31">
        <v>0</v>
      </c>
      <c r="L287" s="31">
        <v>0</v>
      </c>
      <c r="M287" s="31">
        <v>0</v>
      </c>
      <c r="N287" s="31">
        <v>0</v>
      </c>
      <c r="O287" s="27"/>
      <c r="P287" s="29"/>
      <c r="Q287" s="30"/>
    </row>
    <row r="288" spans="1:17" ht="69.75" x14ac:dyDescent="0.25">
      <c r="A288" s="25" t="s">
        <v>752</v>
      </c>
      <c r="B288" s="26" t="s">
        <v>753</v>
      </c>
      <c r="C288" s="27" t="s">
        <v>754</v>
      </c>
      <c r="D288" s="27" t="s">
        <v>755</v>
      </c>
      <c r="E288" s="28">
        <f>SUM(E289:E289)+16586</f>
        <v>16586</v>
      </c>
      <c r="F288" s="28">
        <f>SUM(F289:F289)+16586</f>
        <v>16586</v>
      </c>
      <c r="G288" s="28">
        <f t="shared" ref="G288:N288" si="134">SUM(G289:G289)</f>
        <v>0</v>
      </c>
      <c r="H288" s="28">
        <f t="shared" si="134"/>
        <v>0</v>
      </c>
      <c r="I288" s="28">
        <f t="shared" si="134"/>
        <v>0</v>
      </c>
      <c r="J288" s="28">
        <f t="shared" si="134"/>
        <v>0</v>
      </c>
      <c r="K288" s="28">
        <f t="shared" si="134"/>
        <v>0</v>
      </c>
      <c r="L288" s="28">
        <f t="shared" si="134"/>
        <v>0</v>
      </c>
      <c r="M288" s="28">
        <f t="shared" si="134"/>
        <v>0</v>
      </c>
      <c r="N288" s="28">
        <f t="shared" si="134"/>
        <v>0</v>
      </c>
      <c r="O288" s="27" t="s">
        <v>747</v>
      </c>
      <c r="P288" s="29" t="s">
        <v>34</v>
      </c>
      <c r="Q288" s="30" t="s">
        <v>35</v>
      </c>
    </row>
    <row r="289" spans="1:17" ht="93" x14ac:dyDescent="0.25">
      <c r="A289" s="25" t="s">
        <v>756</v>
      </c>
      <c r="B289" s="26" t="s">
        <v>757</v>
      </c>
      <c r="C289" s="27"/>
      <c r="D289" s="27"/>
      <c r="E289" s="31">
        <v>0</v>
      </c>
      <c r="F289" s="31">
        <v>0</v>
      </c>
      <c r="G289" s="31">
        <v>0</v>
      </c>
      <c r="H289" s="31">
        <v>0</v>
      </c>
      <c r="I289" s="31">
        <v>0</v>
      </c>
      <c r="J289" s="31">
        <v>0</v>
      </c>
      <c r="K289" s="31">
        <v>0</v>
      </c>
      <c r="L289" s="31">
        <v>0</v>
      </c>
      <c r="M289" s="31">
        <v>0</v>
      </c>
      <c r="N289" s="31">
        <v>0</v>
      </c>
      <c r="O289" s="27"/>
      <c r="P289" s="29"/>
      <c r="Q289" s="30"/>
    </row>
    <row r="290" spans="1:17" ht="69.75" x14ac:dyDescent="0.25">
      <c r="A290" s="25" t="s">
        <v>758</v>
      </c>
      <c r="B290" s="26" t="s">
        <v>759</v>
      </c>
      <c r="C290" s="27" t="s">
        <v>85</v>
      </c>
      <c r="D290" s="27" t="s">
        <v>760</v>
      </c>
      <c r="E290" s="28">
        <f>SUM(E291:E291)+14272</f>
        <v>14272</v>
      </c>
      <c r="F290" s="28">
        <f>SUM(F291:F291)+14272</f>
        <v>14272</v>
      </c>
      <c r="G290" s="28">
        <f t="shared" ref="G290:N290" si="135">SUM(G291:G291)</f>
        <v>0</v>
      </c>
      <c r="H290" s="28">
        <f t="shared" si="135"/>
        <v>0</v>
      </c>
      <c r="I290" s="28">
        <f t="shared" si="135"/>
        <v>0</v>
      </c>
      <c r="J290" s="28">
        <f t="shared" si="135"/>
        <v>0</v>
      </c>
      <c r="K290" s="28">
        <f t="shared" si="135"/>
        <v>0</v>
      </c>
      <c r="L290" s="28">
        <f t="shared" si="135"/>
        <v>0</v>
      </c>
      <c r="M290" s="28">
        <f t="shared" si="135"/>
        <v>0</v>
      </c>
      <c r="N290" s="28">
        <f t="shared" si="135"/>
        <v>0</v>
      </c>
      <c r="O290" s="27" t="s">
        <v>747</v>
      </c>
      <c r="P290" s="29" t="s">
        <v>34</v>
      </c>
      <c r="Q290" s="30" t="s">
        <v>35</v>
      </c>
    </row>
    <row r="291" spans="1:17" ht="93" x14ac:dyDescent="0.25">
      <c r="A291" s="25" t="s">
        <v>761</v>
      </c>
      <c r="B291" s="26" t="s">
        <v>762</v>
      </c>
      <c r="C291" s="27"/>
      <c r="D291" s="27"/>
      <c r="E291" s="31">
        <v>0</v>
      </c>
      <c r="F291" s="31">
        <v>0</v>
      </c>
      <c r="G291" s="31">
        <v>0</v>
      </c>
      <c r="H291" s="31">
        <v>0</v>
      </c>
      <c r="I291" s="31">
        <v>0</v>
      </c>
      <c r="J291" s="31">
        <v>0</v>
      </c>
      <c r="K291" s="31">
        <v>0</v>
      </c>
      <c r="L291" s="31">
        <v>0</v>
      </c>
      <c r="M291" s="31">
        <v>0</v>
      </c>
      <c r="N291" s="31">
        <v>0</v>
      </c>
      <c r="O291" s="27"/>
      <c r="P291" s="29"/>
      <c r="Q291" s="30"/>
    </row>
    <row r="292" spans="1:17" ht="69.75" x14ac:dyDescent="0.25">
      <c r="A292" s="25" t="s">
        <v>763</v>
      </c>
      <c r="B292" s="26" t="s">
        <v>764</v>
      </c>
      <c r="C292" s="27" t="s">
        <v>765</v>
      </c>
      <c r="D292" s="27" t="s">
        <v>766</v>
      </c>
      <c r="E292" s="28">
        <f>SUM(E293:E293)+17470</f>
        <v>17470</v>
      </c>
      <c r="F292" s="28">
        <f>SUM(F293:F293)+17470</f>
        <v>17470</v>
      </c>
      <c r="G292" s="28">
        <f t="shared" ref="G292:N292" si="136">SUM(G293:G293)</f>
        <v>0</v>
      </c>
      <c r="H292" s="28">
        <f t="shared" si="136"/>
        <v>0</v>
      </c>
      <c r="I292" s="28">
        <f t="shared" si="136"/>
        <v>0</v>
      </c>
      <c r="J292" s="28">
        <f t="shared" si="136"/>
        <v>0</v>
      </c>
      <c r="K292" s="28">
        <f t="shared" si="136"/>
        <v>0</v>
      </c>
      <c r="L292" s="28">
        <f t="shared" si="136"/>
        <v>0</v>
      </c>
      <c r="M292" s="28">
        <f t="shared" si="136"/>
        <v>0</v>
      </c>
      <c r="N292" s="28">
        <f t="shared" si="136"/>
        <v>0</v>
      </c>
      <c r="O292" s="27" t="s">
        <v>747</v>
      </c>
      <c r="P292" s="29" t="s">
        <v>34</v>
      </c>
      <c r="Q292" s="30" t="s">
        <v>35</v>
      </c>
    </row>
    <row r="293" spans="1:17" ht="93" x14ac:dyDescent="0.25">
      <c r="A293" s="25" t="s">
        <v>767</v>
      </c>
      <c r="B293" s="26" t="s">
        <v>768</v>
      </c>
      <c r="C293" s="27"/>
      <c r="D293" s="27"/>
      <c r="E293" s="31">
        <v>0</v>
      </c>
      <c r="F293" s="31">
        <v>0</v>
      </c>
      <c r="G293" s="31">
        <v>0</v>
      </c>
      <c r="H293" s="31">
        <v>0</v>
      </c>
      <c r="I293" s="31">
        <v>0</v>
      </c>
      <c r="J293" s="31">
        <v>0</v>
      </c>
      <c r="K293" s="31">
        <v>0</v>
      </c>
      <c r="L293" s="31">
        <v>0</v>
      </c>
      <c r="M293" s="31">
        <v>0</v>
      </c>
      <c r="N293" s="31">
        <v>0</v>
      </c>
      <c r="O293" s="27"/>
      <c r="P293" s="29"/>
      <c r="Q293" s="30"/>
    </row>
    <row r="294" spans="1:17" ht="69.75" x14ac:dyDescent="0.25">
      <c r="A294" s="25" t="s">
        <v>769</v>
      </c>
      <c r="B294" s="26" t="s">
        <v>770</v>
      </c>
      <c r="C294" s="27" t="s">
        <v>92</v>
      </c>
      <c r="D294" s="27" t="s">
        <v>771</v>
      </c>
      <c r="E294" s="28">
        <f>SUM(E295:E295)+18000</f>
        <v>18000</v>
      </c>
      <c r="F294" s="28">
        <f>SUM(F295:F295)+18000</f>
        <v>18000</v>
      </c>
      <c r="G294" s="28">
        <f t="shared" ref="G294:N294" si="137">SUM(G295:G295)</f>
        <v>0</v>
      </c>
      <c r="H294" s="28">
        <f t="shared" si="137"/>
        <v>0</v>
      </c>
      <c r="I294" s="28">
        <f t="shared" si="137"/>
        <v>0</v>
      </c>
      <c r="J294" s="28">
        <f t="shared" si="137"/>
        <v>0</v>
      </c>
      <c r="K294" s="28">
        <f t="shared" si="137"/>
        <v>0</v>
      </c>
      <c r="L294" s="28">
        <f t="shared" si="137"/>
        <v>0</v>
      </c>
      <c r="M294" s="28">
        <f t="shared" si="137"/>
        <v>0</v>
      </c>
      <c r="N294" s="28">
        <f t="shared" si="137"/>
        <v>0</v>
      </c>
      <c r="O294" s="27" t="s">
        <v>747</v>
      </c>
      <c r="P294" s="29" t="s">
        <v>34</v>
      </c>
      <c r="Q294" s="30" t="s">
        <v>35</v>
      </c>
    </row>
    <row r="295" spans="1:17" ht="93" x14ac:dyDescent="0.25">
      <c r="A295" s="25" t="s">
        <v>772</v>
      </c>
      <c r="B295" s="26" t="s">
        <v>773</v>
      </c>
      <c r="C295" s="27"/>
      <c r="D295" s="27"/>
      <c r="E295" s="31">
        <v>0</v>
      </c>
      <c r="F295" s="31">
        <v>0</v>
      </c>
      <c r="G295" s="31">
        <v>0</v>
      </c>
      <c r="H295" s="31">
        <v>0</v>
      </c>
      <c r="I295" s="31">
        <v>0</v>
      </c>
      <c r="J295" s="31">
        <v>0</v>
      </c>
      <c r="K295" s="31">
        <v>0</v>
      </c>
      <c r="L295" s="31">
        <v>0</v>
      </c>
      <c r="M295" s="31">
        <v>0</v>
      </c>
      <c r="N295" s="31">
        <v>0</v>
      </c>
      <c r="O295" s="27"/>
      <c r="P295" s="29"/>
      <c r="Q295" s="30"/>
    </row>
    <row r="296" spans="1:17" ht="93" x14ac:dyDescent="0.25">
      <c r="A296" s="25" t="s">
        <v>774</v>
      </c>
      <c r="B296" s="26" t="s">
        <v>775</v>
      </c>
      <c r="C296" s="27" t="s">
        <v>97</v>
      </c>
      <c r="D296" s="27" t="s">
        <v>776</v>
      </c>
      <c r="E296" s="28">
        <f>SUM(E297:E297)+27030</f>
        <v>27030</v>
      </c>
      <c r="F296" s="28">
        <f>SUM(F297:F297)+27030</f>
        <v>27030</v>
      </c>
      <c r="G296" s="28">
        <f t="shared" ref="G296:N296" si="138">SUM(G297:G297)</f>
        <v>0</v>
      </c>
      <c r="H296" s="28">
        <f t="shared" si="138"/>
        <v>0</v>
      </c>
      <c r="I296" s="28">
        <f t="shared" si="138"/>
        <v>0</v>
      </c>
      <c r="J296" s="28">
        <f t="shared" si="138"/>
        <v>0</v>
      </c>
      <c r="K296" s="28">
        <f t="shared" si="138"/>
        <v>0</v>
      </c>
      <c r="L296" s="28">
        <f t="shared" si="138"/>
        <v>0</v>
      </c>
      <c r="M296" s="28">
        <f t="shared" si="138"/>
        <v>0</v>
      </c>
      <c r="N296" s="28">
        <f t="shared" si="138"/>
        <v>0</v>
      </c>
      <c r="O296" s="27" t="s">
        <v>747</v>
      </c>
      <c r="P296" s="29" t="s">
        <v>34</v>
      </c>
      <c r="Q296" s="30" t="s">
        <v>35</v>
      </c>
    </row>
    <row r="297" spans="1:17" ht="116.25" x14ac:dyDescent="0.25">
      <c r="A297" s="25" t="s">
        <v>777</v>
      </c>
      <c r="B297" s="26" t="s">
        <v>778</v>
      </c>
      <c r="C297" s="27"/>
      <c r="D297" s="27"/>
      <c r="E297" s="31">
        <v>0</v>
      </c>
      <c r="F297" s="31">
        <v>0</v>
      </c>
      <c r="G297" s="31">
        <v>0</v>
      </c>
      <c r="H297" s="31">
        <v>0</v>
      </c>
      <c r="I297" s="31">
        <v>0</v>
      </c>
      <c r="J297" s="31">
        <v>0</v>
      </c>
      <c r="K297" s="31">
        <v>0</v>
      </c>
      <c r="L297" s="31">
        <v>0</v>
      </c>
      <c r="M297" s="31">
        <v>0</v>
      </c>
      <c r="N297" s="31">
        <v>0</v>
      </c>
      <c r="O297" s="27"/>
      <c r="P297" s="29"/>
      <c r="Q297" s="30"/>
    </row>
    <row r="298" spans="1:17" ht="69.75" x14ac:dyDescent="0.25">
      <c r="A298" s="25" t="s">
        <v>779</v>
      </c>
      <c r="B298" s="26" t="s">
        <v>780</v>
      </c>
      <c r="C298" s="27" t="s">
        <v>102</v>
      </c>
      <c r="D298" s="27" t="s">
        <v>781</v>
      </c>
      <c r="E298" s="28">
        <f>SUM(E299:E299)+14820</f>
        <v>14820</v>
      </c>
      <c r="F298" s="28">
        <f>SUM(F299:F299)+14820</f>
        <v>14820</v>
      </c>
      <c r="G298" s="28">
        <f t="shared" ref="G298:N298" si="139">SUM(G299:G299)</f>
        <v>0</v>
      </c>
      <c r="H298" s="28">
        <f t="shared" si="139"/>
        <v>0</v>
      </c>
      <c r="I298" s="28">
        <f t="shared" si="139"/>
        <v>0</v>
      </c>
      <c r="J298" s="28">
        <f t="shared" si="139"/>
        <v>0</v>
      </c>
      <c r="K298" s="28">
        <f t="shared" si="139"/>
        <v>0</v>
      </c>
      <c r="L298" s="28">
        <f t="shared" si="139"/>
        <v>0</v>
      </c>
      <c r="M298" s="28">
        <f t="shared" si="139"/>
        <v>0</v>
      </c>
      <c r="N298" s="28">
        <f t="shared" si="139"/>
        <v>0</v>
      </c>
      <c r="O298" s="27" t="s">
        <v>747</v>
      </c>
      <c r="P298" s="29" t="s">
        <v>34</v>
      </c>
      <c r="Q298" s="30" t="s">
        <v>35</v>
      </c>
    </row>
    <row r="299" spans="1:17" ht="93" x14ac:dyDescent="0.25">
      <c r="A299" s="25" t="s">
        <v>782</v>
      </c>
      <c r="B299" s="26" t="s">
        <v>783</v>
      </c>
      <c r="C299" s="27"/>
      <c r="D299" s="27"/>
      <c r="E299" s="31">
        <v>0</v>
      </c>
      <c r="F299" s="31">
        <v>0</v>
      </c>
      <c r="G299" s="31">
        <v>0</v>
      </c>
      <c r="H299" s="31">
        <v>0</v>
      </c>
      <c r="I299" s="31">
        <v>0</v>
      </c>
      <c r="J299" s="31">
        <v>0</v>
      </c>
      <c r="K299" s="31">
        <v>0</v>
      </c>
      <c r="L299" s="31">
        <v>0</v>
      </c>
      <c r="M299" s="31">
        <v>0</v>
      </c>
      <c r="N299" s="31">
        <v>0</v>
      </c>
      <c r="O299" s="27"/>
      <c r="P299" s="29"/>
      <c r="Q299" s="30"/>
    </row>
    <row r="300" spans="1:17" ht="69.75" x14ac:dyDescent="0.25">
      <c r="A300" s="25" t="s">
        <v>784</v>
      </c>
      <c r="B300" s="26" t="s">
        <v>785</v>
      </c>
      <c r="C300" s="27" t="s">
        <v>786</v>
      </c>
      <c r="D300" s="27" t="s">
        <v>787</v>
      </c>
      <c r="E300" s="28">
        <f>SUM(E301:E301)+32910</f>
        <v>32910</v>
      </c>
      <c r="F300" s="28">
        <f>SUM(F301:F301)+32910</f>
        <v>32910</v>
      </c>
      <c r="G300" s="28">
        <f t="shared" ref="G300:N300" si="140">SUM(G301:G301)</f>
        <v>0</v>
      </c>
      <c r="H300" s="28">
        <f t="shared" si="140"/>
        <v>0</v>
      </c>
      <c r="I300" s="28">
        <f t="shared" si="140"/>
        <v>0</v>
      </c>
      <c r="J300" s="28">
        <f t="shared" si="140"/>
        <v>0</v>
      </c>
      <c r="K300" s="28">
        <f t="shared" si="140"/>
        <v>0</v>
      </c>
      <c r="L300" s="28">
        <f t="shared" si="140"/>
        <v>0</v>
      </c>
      <c r="M300" s="28">
        <f t="shared" si="140"/>
        <v>0</v>
      </c>
      <c r="N300" s="28">
        <f t="shared" si="140"/>
        <v>0</v>
      </c>
      <c r="O300" s="27" t="s">
        <v>747</v>
      </c>
      <c r="P300" s="29" t="s">
        <v>34</v>
      </c>
      <c r="Q300" s="30" t="s">
        <v>35</v>
      </c>
    </row>
    <row r="301" spans="1:17" ht="93" x14ac:dyDescent="0.25">
      <c r="A301" s="25" t="s">
        <v>788</v>
      </c>
      <c r="B301" s="26" t="s">
        <v>789</v>
      </c>
      <c r="C301" s="27"/>
      <c r="D301" s="27"/>
      <c r="E301" s="31">
        <v>0</v>
      </c>
      <c r="F301" s="31">
        <v>0</v>
      </c>
      <c r="G301" s="31">
        <v>0</v>
      </c>
      <c r="H301" s="31">
        <v>0</v>
      </c>
      <c r="I301" s="31">
        <v>0</v>
      </c>
      <c r="J301" s="31">
        <v>0</v>
      </c>
      <c r="K301" s="31">
        <v>0</v>
      </c>
      <c r="L301" s="31">
        <v>0</v>
      </c>
      <c r="M301" s="31">
        <v>0</v>
      </c>
      <c r="N301" s="31">
        <v>0</v>
      </c>
      <c r="O301" s="27"/>
      <c r="P301" s="29"/>
      <c r="Q301" s="30"/>
    </row>
    <row r="302" spans="1:17" ht="69.75" x14ac:dyDescent="0.25">
      <c r="A302" s="25" t="s">
        <v>790</v>
      </c>
      <c r="B302" s="26" t="s">
        <v>791</v>
      </c>
      <c r="C302" s="27" t="s">
        <v>792</v>
      </c>
      <c r="D302" s="27" t="s">
        <v>793</v>
      </c>
      <c r="E302" s="28">
        <f>SUM(E303:E303)+21200</f>
        <v>21200</v>
      </c>
      <c r="F302" s="28">
        <f>SUM(F303:F303)+21200</f>
        <v>21200</v>
      </c>
      <c r="G302" s="28">
        <f t="shared" ref="G302:N302" si="141">SUM(G303:G303)</f>
        <v>0</v>
      </c>
      <c r="H302" s="28">
        <f t="shared" si="141"/>
        <v>0</v>
      </c>
      <c r="I302" s="28">
        <f t="shared" si="141"/>
        <v>0</v>
      </c>
      <c r="J302" s="28">
        <f t="shared" si="141"/>
        <v>0</v>
      </c>
      <c r="K302" s="28">
        <f t="shared" si="141"/>
        <v>0</v>
      </c>
      <c r="L302" s="28">
        <f t="shared" si="141"/>
        <v>0</v>
      </c>
      <c r="M302" s="28">
        <f t="shared" si="141"/>
        <v>0</v>
      </c>
      <c r="N302" s="28">
        <f t="shared" si="141"/>
        <v>0</v>
      </c>
      <c r="O302" s="27" t="s">
        <v>747</v>
      </c>
      <c r="P302" s="29" t="s">
        <v>34</v>
      </c>
      <c r="Q302" s="30" t="s">
        <v>35</v>
      </c>
    </row>
    <row r="303" spans="1:17" ht="93" x14ac:dyDescent="0.25">
      <c r="A303" s="25" t="s">
        <v>794</v>
      </c>
      <c r="B303" s="26" t="s">
        <v>795</v>
      </c>
      <c r="C303" s="27"/>
      <c r="D303" s="27"/>
      <c r="E303" s="31">
        <v>0</v>
      </c>
      <c r="F303" s="31">
        <v>0</v>
      </c>
      <c r="G303" s="31">
        <v>0</v>
      </c>
      <c r="H303" s="31">
        <v>0</v>
      </c>
      <c r="I303" s="31">
        <v>0</v>
      </c>
      <c r="J303" s="31">
        <v>0</v>
      </c>
      <c r="K303" s="31">
        <v>0</v>
      </c>
      <c r="L303" s="31">
        <v>0</v>
      </c>
      <c r="M303" s="31">
        <v>0</v>
      </c>
      <c r="N303" s="31">
        <v>0</v>
      </c>
      <c r="O303" s="27"/>
      <c r="P303" s="29"/>
      <c r="Q303" s="30"/>
    </row>
    <row r="304" spans="1:17" ht="69.75" x14ac:dyDescent="0.25">
      <c r="A304" s="25" t="s">
        <v>796</v>
      </c>
      <c r="B304" s="26" t="s">
        <v>797</v>
      </c>
      <c r="C304" s="27" t="s">
        <v>798</v>
      </c>
      <c r="D304" s="27" t="s">
        <v>799</v>
      </c>
      <c r="E304" s="28">
        <f>SUM(E305:E306)+27950</f>
        <v>27950</v>
      </c>
      <c r="F304" s="28">
        <f>SUM(F305:F306)+27950</f>
        <v>27950</v>
      </c>
      <c r="G304" s="28">
        <f t="shared" ref="G304:N304" si="142">SUM(G305:G306)</f>
        <v>0</v>
      </c>
      <c r="H304" s="28">
        <f t="shared" si="142"/>
        <v>0</v>
      </c>
      <c r="I304" s="28">
        <f t="shared" si="142"/>
        <v>0</v>
      </c>
      <c r="J304" s="28">
        <f t="shared" si="142"/>
        <v>0</v>
      </c>
      <c r="K304" s="28">
        <f t="shared" si="142"/>
        <v>0</v>
      </c>
      <c r="L304" s="28">
        <f t="shared" si="142"/>
        <v>0</v>
      </c>
      <c r="M304" s="28">
        <f t="shared" si="142"/>
        <v>0</v>
      </c>
      <c r="N304" s="28">
        <f t="shared" si="142"/>
        <v>0</v>
      </c>
      <c r="O304" s="27" t="s">
        <v>747</v>
      </c>
      <c r="P304" s="29" t="s">
        <v>34</v>
      </c>
      <c r="Q304" s="30" t="s">
        <v>35</v>
      </c>
    </row>
    <row r="305" spans="1:17" ht="93" x14ac:dyDescent="0.25">
      <c r="A305" s="25" t="s">
        <v>800</v>
      </c>
      <c r="B305" s="26" t="s">
        <v>801</v>
      </c>
      <c r="C305" s="27"/>
      <c r="D305" s="27"/>
      <c r="E305" s="31">
        <v>0</v>
      </c>
      <c r="F305" s="31">
        <v>0</v>
      </c>
      <c r="G305" s="31">
        <v>0</v>
      </c>
      <c r="H305" s="31">
        <v>0</v>
      </c>
      <c r="I305" s="31">
        <v>0</v>
      </c>
      <c r="J305" s="31">
        <v>0</v>
      </c>
      <c r="K305" s="31">
        <v>0</v>
      </c>
      <c r="L305" s="31">
        <v>0</v>
      </c>
      <c r="M305" s="31">
        <v>0</v>
      </c>
      <c r="N305" s="31">
        <v>0</v>
      </c>
      <c r="O305" s="27"/>
      <c r="P305" s="29"/>
      <c r="Q305" s="30"/>
    </row>
    <row r="306" spans="1:17" ht="139.5" x14ac:dyDescent="0.25">
      <c r="A306" s="25" t="s">
        <v>802</v>
      </c>
      <c r="B306" s="26" t="s">
        <v>803</v>
      </c>
      <c r="C306" s="27"/>
      <c r="D306" s="27"/>
      <c r="E306" s="31">
        <v>0</v>
      </c>
      <c r="F306" s="31">
        <v>0</v>
      </c>
      <c r="G306" s="31">
        <v>0</v>
      </c>
      <c r="H306" s="31">
        <v>0</v>
      </c>
      <c r="I306" s="31">
        <v>0</v>
      </c>
      <c r="J306" s="31">
        <v>0</v>
      </c>
      <c r="K306" s="31">
        <v>0</v>
      </c>
      <c r="L306" s="31">
        <v>0</v>
      </c>
      <c r="M306" s="31">
        <v>0</v>
      </c>
      <c r="N306" s="31">
        <v>0</v>
      </c>
      <c r="O306" s="27"/>
      <c r="P306" s="29"/>
      <c r="Q306" s="30"/>
    </row>
    <row r="307" spans="1:17" ht="69.75" x14ac:dyDescent="0.25">
      <c r="A307" s="25" t="s">
        <v>804</v>
      </c>
      <c r="B307" s="26" t="s">
        <v>805</v>
      </c>
      <c r="C307" s="27" t="s">
        <v>806</v>
      </c>
      <c r="D307" s="27" t="s">
        <v>807</v>
      </c>
      <c r="E307" s="28">
        <f>SUM(E308:E308)+40227</f>
        <v>40227</v>
      </c>
      <c r="F307" s="28">
        <f>SUM(F308:F308)+40227</f>
        <v>40227</v>
      </c>
      <c r="G307" s="28">
        <f t="shared" ref="G307:N307" si="143">SUM(G308:G308)</f>
        <v>0</v>
      </c>
      <c r="H307" s="28">
        <f t="shared" si="143"/>
        <v>0</v>
      </c>
      <c r="I307" s="28">
        <f t="shared" si="143"/>
        <v>0</v>
      </c>
      <c r="J307" s="28">
        <f t="shared" si="143"/>
        <v>0</v>
      </c>
      <c r="K307" s="28">
        <f t="shared" si="143"/>
        <v>0</v>
      </c>
      <c r="L307" s="28">
        <f t="shared" si="143"/>
        <v>0</v>
      </c>
      <c r="M307" s="28">
        <f t="shared" si="143"/>
        <v>0</v>
      </c>
      <c r="N307" s="28">
        <f t="shared" si="143"/>
        <v>0</v>
      </c>
      <c r="O307" s="27" t="s">
        <v>747</v>
      </c>
      <c r="P307" s="29" t="s">
        <v>34</v>
      </c>
      <c r="Q307" s="30" t="s">
        <v>35</v>
      </c>
    </row>
    <row r="308" spans="1:17" ht="93" x14ac:dyDescent="0.25">
      <c r="A308" s="25" t="s">
        <v>808</v>
      </c>
      <c r="B308" s="26" t="s">
        <v>809</v>
      </c>
      <c r="C308" s="27"/>
      <c r="D308" s="27"/>
      <c r="E308" s="31">
        <v>0</v>
      </c>
      <c r="F308" s="31">
        <v>0</v>
      </c>
      <c r="G308" s="31">
        <v>0</v>
      </c>
      <c r="H308" s="31">
        <v>0</v>
      </c>
      <c r="I308" s="31">
        <v>0</v>
      </c>
      <c r="J308" s="31">
        <v>0</v>
      </c>
      <c r="K308" s="31">
        <v>0</v>
      </c>
      <c r="L308" s="31">
        <v>0</v>
      </c>
      <c r="M308" s="31">
        <v>0</v>
      </c>
      <c r="N308" s="31">
        <v>0</v>
      </c>
      <c r="O308" s="27"/>
      <c r="P308" s="29"/>
      <c r="Q308" s="30"/>
    </row>
    <row r="309" spans="1:17" ht="69.75" x14ac:dyDescent="0.25">
      <c r="A309" s="25" t="s">
        <v>810</v>
      </c>
      <c r="B309" s="26" t="s">
        <v>811</v>
      </c>
      <c r="C309" s="27" t="s">
        <v>812</v>
      </c>
      <c r="D309" s="27" t="s">
        <v>813</v>
      </c>
      <c r="E309" s="28">
        <f>SUM(E310:E310)+17720</f>
        <v>17720</v>
      </c>
      <c r="F309" s="28">
        <f>SUM(F310:F310)+17720</f>
        <v>17720</v>
      </c>
      <c r="G309" s="28">
        <f t="shared" ref="G309:N309" si="144">SUM(G310:G310)</f>
        <v>0</v>
      </c>
      <c r="H309" s="28">
        <f t="shared" si="144"/>
        <v>0</v>
      </c>
      <c r="I309" s="28">
        <f t="shared" si="144"/>
        <v>0</v>
      </c>
      <c r="J309" s="28">
        <f t="shared" si="144"/>
        <v>0</v>
      </c>
      <c r="K309" s="28">
        <f t="shared" si="144"/>
        <v>0</v>
      </c>
      <c r="L309" s="28">
        <f t="shared" si="144"/>
        <v>0</v>
      </c>
      <c r="M309" s="28">
        <f t="shared" si="144"/>
        <v>0</v>
      </c>
      <c r="N309" s="28">
        <f t="shared" si="144"/>
        <v>0</v>
      </c>
      <c r="O309" s="27" t="s">
        <v>747</v>
      </c>
      <c r="P309" s="29" t="s">
        <v>34</v>
      </c>
      <c r="Q309" s="30" t="s">
        <v>35</v>
      </c>
    </row>
    <row r="310" spans="1:17" ht="93" x14ac:dyDescent="0.25">
      <c r="A310" s="25" t="s">
        <v>814</v>
      </c>
      <c r="B310" s="26" t="s">
        <v>815</v>
      </c>
      <c r="C310" s="27"/>
      <c r="D310" s="27"/>
      <c r="E310" s="31">
        <v>0</v>
      </c>
      <c r="F310" s="31">
        <v>0</v>
      </c>
      <c r="G310" s="31">
        <v>0</v>
      </c>
      <c r="H310" s="31">
        <v>0</v>
      </c>
      <c r="I310" s="31">
        <v>0</v>
      </c>
      <c r="J310" s="31">
        <v>0</v>
      </c>
      <c r="K310" s="31">
        <v>0</v>
      </c>
      <c r="L310" s="31">
        <v>0</v>
      </c>
      <c r="M310" s="31">
        <v>0</v>
      </c>
      <c r="N310" s="31">
        <v>0</v>
      </c>
      <c r="O310" s="27"/>
      <c r="P310" s="29"/>
      <c r="Q310" s="30"/>
    </row>
    <row r="311" spans="1:17" ht="69.75" x14ac:dyDescent="0.25">
      <c r="A311" s="25" t="s">
        <v>816</v>
      </c>
      <c r="B311" s="26" t="s">
        <v>817</v>
      </c>
      <c r="C311" s="27" t="s">
        <v>818</v>
      </c>
      <c r="D311" s="27" t="s">
        <v>819</v>
      </c>
      <c r="E311" s="28">
        <f>SUM(E312:E312)+25000</f>
        <v>25000</v>
      </c>
      <c r="F311" s="28">
        <f>SUM(F312:F312)+25000</f>
        <v>25000</v>
      </c>
      <c r="G311" s="28">
        <f t="shared" ref="G311:N311" si="145">SUM(G312:G312)</f>
        <v>0</v>
      </c>
      <c r="H311" s="28">
        <f t="shared" si="145"/>
        <v>0</v>
      </c>
      <c r="I311" s="28">
        <f t="shared" si="145"/>
        <v>0</v>
      </c>
      <c r="J311" s="28">
        <f t="shared" si="145"/>
        <v>0</v>
      </c>
      <c r="K311" s="28">
        <f t="shared" si="145"/>
        <v>0</v>
      </c>
      <c r="L311" s="28">
        <f t="shared" si="145"/>
        <v>0</v>
      </c>
      <c r="M311" s="28">
        <f t="shared" si="145"/>
        <v>0</v>
      </c>
      <c r="N311" s="28">
        <f t="shared" si="145"/>
        <v>0</v>
      </c>
      <c r="O311" s="27" t="s">
        <v>747</v>
      </c>
      <c r="P311" s="29" t="s">
        <v>34</v>
      </c>
      <c r="Q311" s="30" t="s">
        <v>59</v>
      </c>
    </row>
    <row r="312" spans="1:17" ht="93" x14ac:dyDescent="0.25">
      <c r="A312" s="25" t="s">
        <v>820</v>
      </c>
      <c r="B312" s="26" t="s">
        <v>821</v>
      </c>
      <c r="C312" s="27"/>
      <c r="D312" s="27"/>
      <c r="E312" s="31">
        <v>0</v>
      </c>
      <c r="F312" s="31">
        <v>0</v>
      </c>
      <c r="G312" s="31">
        <v>0</v>
      </c>
      <c r="H312" s="31">
        <v>0</v>
      </c>
      <c r="I312" s="31">
        <v>0</v>
      </c>
      <c r="J312" s="31">
        <v>0</v>
      </c>
      <c r="K312" s="31">
        <v>0</v>
      </c>
      <c r="L312" s="31">
        <v>0</v>
      </c>
      <c r="M312" s="31">
        <v>0</v>
      </c>
      <c r="N312" s="31">
        <v>0</v>
      </c>
      <c r="O312" s="27"/>
      <c r="P312" s="29"/>
      <c r="Q312" s="30"/>
    </row>
    <row r="313" spans="1:17" ht="69.75" x14ac:dyDescent="0.25">
      <c r="A313" s="25" t="s">
        <v>822</v>
      </c>
      <c r="B313" s="26" t="s">
        <v>823</v>
      </c>
      <c r="C313" s="27" t="s">
        <v>824</v>
      </c>
      <c r="D313" s="27" t="s">
        <v>825</v>
      </c>
      <c r="E313" s="28">
        <f>SUM(E314:E314)+25389.61</f>
        <v>25389.61</v>
      </c>
      <c r="F313" s="28">
        <f>SUM(F314:F314)+24522</f>
        <v>24522</v>
      </c>
      <c r="G313" s="28">
        <f>SUM(G314:G314)+867.61</f>
        <v>867.61</v>
      </c>
      <c r="H313" s="28">
        <f t="shared" ref="H313:N313" si="146">SUM(H314:H314)</f>
        <v>0</v>
      </c>
      <c r="I313" s="28">
        <f t="shared" si="146"/>
        <v>0</v>
      </c>
      <c r="J313" s="28">
        <f t="shared" si="146"/>
        <v>0</v>
      </c>
      <c r="K313" s="28">
        <f t="shared" si="146"/>
        <v>0</v>
      </c>
      <c r="L313" s="28">
        <f t="shared" si="146"/>
        <v>0</v>
      </c>
      <c r="M313" s="28">
        <f t="shared" si="146"/>
        <v>0</v>
      </c>
      <c r="N313" s="28">
        <f t="shared" si="146"/>
        <v>0</v>
      </c>
      <c r="O313" s="27" t="s">
        <v>747</v>
      </c>
      <c r="P313" s="29" t="s">
        <v>34</v>
      </c>
      <c r="Q313" s="30" t="s">
        <v>35</v>
      </c>
    </row>
    <row r="314" spans="1:17" ht="93" x14ac:dyDescent="0.25">
      <c r="A314" s="25" t="s">
        <v>826</v>
      </c>
      <c r="B314" s="26" t="s">
        <v>827</v>
      </c>
      <c r="C314" s="27"/>
      <c r="D314" s="27"/>
      <c r="E314" s="31">
        <v>0</v>
      </c>
      <c r="F314" s="31">
        <v>0</v>
      </c>
      <c r="G314" s="31">
        <v>0</v>
      </c>
      <c r="H314" s="31">
        <v>0</v>
      </c>
      <c r="I314" s="31">
        <v>0</v>
      </c>
      <c r="J314" s="31">
        <v>0</v>
      </c>
      <c r="K314" s="31">
        <v>0</v>
      </c>
      <c r="L314" s="31">
        <v>0</v>
      </c>
      <c r="M314" s="31">
        <v>0</v>
      </c>
      <c r="N314" s="31">
        <v>0</v>
      </c>
      <c r="O314" s="27"/>
      <c r="P314" s="29"/>
      <c r="Q314" s="30"/>
    </row>
    <row r="315" spans="1:17" ht="180" x14ac:dyDescent="0.25">
      <c r="A315" s="19" t="s">
        <v>828</v>
      </c>
      <c r="B315" s="20" t="s">
        <v>829</v>
      </c>
      <c r="C315" s="21" t="s">
        <v>256</v>
      </c>
      <c r="D315" s="21" t="s">
        <v>280</v>
      </c>
      <c r="E315" s="22">
        <f t="shared" ref="E315:N315" si="147">SUM(E316:E316)</f>
        <v>316311.8</v>
      </c>
      <c r="F315" s="22">
        <f t="shared" si="147"/>
        <v>316311.8</v>
      </c>
      <c r="G315" s="22">
        <f t="shared" si="147"/>
        <v>0</v>
      </c>
      <c r="H315" s="22">
        <f t="shared" si="147"/>
        <v>0</v>
      </c>
      <c r="I315" s="22">
        <f t="shared" si="147"/>
        <v>0</v>
      </c>
      <c r="J315" s="22">
        <f t="shared" si="147"/>
        <v>0</v>
      </c>
      <c r="K315" s="22">
        <f t="shared" si="147"/>
        <v>0</v>
      </c>
      <c r="L315" s="22">
        <f t="shared" si="147"/>
        <v>0</v>
      </c>
      <c r="M315" s="22">
        <f t="shared" si="147"/>
        <v>0</v>
      </c>
      <c r="N315" s="22">
        <f t="shared" si="147"/>
        <v>0</v>
      </c>
      <c r="O315" s="21" t="s">
        <v>830</v>
      </c>
      <c r="P315" s="23" t="s">
        <v>29</v>
      </c>
      <c r="Q315" s="24" t="s">
        <v>831</v>
      </c>
    </row>
    <row r="316" spans="1:17" ht="162.75" x14ac:dyDescent="0.25">
      <c r="A316" s="25" t="s">
        <v>832</v>
      </c>
      <c r="B316" s="26" t="s">
        <v>833</v>
      </c>
      <c r="C316" s="27" t="s">
        <v>256</v>
      </c>
      <c r="D316" s="27" t="s">
        <v>280</v>
      </c>
      <c r="E316" s="28">
        <f>SUM(E317:E317)+316311.8</f>
        <v>316311.8</v>
      </c>
      <c r="F316" s="28">
        <f>SUM(F317:F317)+316311.8</f>
        <v>316311.8</v>
      </c>
      <c r="G316" s="28">
        <f t="shared" ref="G316:N316" si="148">SUM(G317:G317)</f>
        <v>0</v>
      </c>
      <c r="H316" s="28">
        <f t="shared" si="148"/>
        <v>0</v>
      </c>
      <c r="I316" s="28">
        <f t="shared" si="148"/>
        <v>0</v>
      </c>
      <c r="J316" s="28">
        <f t="shared" si="148"/>
        <v>0</v>
      </c>
      <c r="K316" s="28">
        <f t="shared" si="148"/>
        <v>0</v>
      </c>
      <c r="L316" s="28">
        <f t="shared" si="148"/>
        <v>0</v>
      </c>
      <c r="M316" s="28">
        <f t="shared" si="148"/>
        <v>0</v>
      </c>
      <c r="N316" s="28">
        <f t="shared" si="148"/>
        <v>0</v>
      </c>
      <c r="O316" s="27" t="s">
        <v>830</v>
      </c>
      <c r="P316" s="29" t="s">
        <v>29</v>
      </c>
      <c r="Q316" s="30" t="s">
        <v>831</v>
      </c>
    </row>
    <row r="317" spans="1:17" ht="46.5" x14ac:dyDescent="0.25">
      <c r="A317" s="25" t="s">
        <v>834</v>
      </c>
      <c r="B317" s="26" t="s">
        <v>835</v>
      </c>
      <c r="C317" s="27"/>
      <c r="D317" s="27"/>
      <c r="E317" s="31">
        <v>0</v>
      </c>
      <c r="F317" s="31">
        <v>0</v>
      </c>
      <c r="G317" s="31">
        <v>0</v>
      </c>
      <c r="H317" s="31">
        <v>0</v>
      </c>
      <c r="I317" s="31">
        <v>0</v>
      </c>
      <c r="J317" s="31">
        <v>0</v>
      </c>
      <c r="K317" s="31">
        <v>0</v>
      </c>
      <c r="L317" s="31">
        <v>0</v>
      </c>
      <c r="M317" s="31">
        <v>0</v>
      </c>
      <c r="N317" s="31">
        <v>0</v>
      </c>
      <c r="O317" s="27"/>
      <c r="P317" s="29"/>
      <c r="Q317" s="30"/>
    </row>
    <row r="318" spans="1:17" ht="45" x14ac:dyDescent="0.25">
      <c r="A318" s="19" t="s">
        <v>836</v>
      </c>
      <c r="B318" s="20" t="s">
        <v>837</v>
      </c>
      <c r="C318" s="21" t="s">
        <v>838</v>
      </c>
      <c r="D318" s="21" t="s">
        <v>839</v>
      </c>
      <c r="E318" s="22">
        <f t="shared" ref="E318:N318" si="149">E319+E321+E323</f>
        <v>79418.399999999994</v>
      </c>
      <c r="F318" s="22">
        <f t="shared" si="149"/>
        <v>79418.399999999994</v>
      </c>
      <c r="G318" s="22">
        <f t="shared" si="149"/>
        <v>0</v>
      </c>
      <c r="H318" s="22">
        <f t="shared" si="149"/>
        <v>0</v>
      </c>
      <c r="I318" s="22">
        <f t="shared" si="149"/>
        <v>0</v>
      </c>
      <c r="J318" s="22">
        <f t="shared" si="149"/>
        <v>0</v>
      </c>
      <c r="K318" s="22">
        <f t="shared" si="149"/>
        <v>0</v>
      </c>
      <c r="L318" s="22">
        <f t="shared" si="149"/>
        <v>0</v>
      </c>
      <c r="M318" s="22">
        <f t="shared" si="149"/>
        <v>0</v>
      </c>
      <c r="N318" s="22">
        <f t="shared" si="149"/>
        <v>0</v>
      </c>
      <c r="O318" s="21" t="s">
        <v>840</v>
      </c>
      <c r="P318" s="23" t="s">
        <v>34</v>
      </c>
      <c r="Q318" s="24" t="s">
        <v>841</v>
      </c>
    </row>
    <row r="319" spans="1:17" ht="69.75" x14ac:dyDescent="0.25">
      <c r="A319" s="25" t="s">
        <v>842</v>
      </c>
      <c r="B319" s="26" t="s">
        <v>843</v>
      </c>
      <c r="C319" s="27" t="s">
        <v>838</v>
      </c>
      <c r="D319" s="27" t="s">
        <v>839</v>
      </c>
      <c r="E319" s="28">
        <f>SUM(E320:E320)+45200</f>
        <v>45200</v>
      </c>
      <c r="F319" s="28">
        <f>SUM(F320:F320)+45200</f>
        <v>45200</v>
      </c>
      <c r="G319" s="28">
        <f t="shared" ref="G319:N319" si="150">SUM(G320:G320)</f>
        <v>0</v>
      </c>
      <c r="H319" s="28">
        <f t="shared" si="150"/>
        <v>0</v>
      </c>
      <c r="I319" s="28">
        <f t="shared" si="150"/>
        <v>0</v>
      </c>
      <c r="J319" s="28">
        <f t="shared" si="150"/>
        <v>0</v>
      </c>
      <c r="K319" s="28">
        <f t="shared" si="150"/>
        <v>0</v>
      </c>
      <c r="L319" s="28">
        <f t="shared" si="150"/>
        <v>0</v>
      </c>
      <c r="M319" s="28">
        <f t="shared" si="150"/>
        <v>0</v>
      </c>
      <c r="N319" s="28">
        <f t="shared" si="150"/>
        <v>0</v>
      </c>
      <c r="O319" s="27" t="s">
        <v>840</v>
      </c>
      <c r="P319" s="29" t="s">
        <v>34</v>
      </c>
      <c r="Q319" s="30" t="s">
        <v>844</v>
      </c>
    </row>
    <row r="320" spans="1:17" ht="69.75" x14ac:dyDescent="0.25">
      <c r="A320" s="25" t="s">
        <v>845</v>
      </c>
      <c r="B320" s="26" t="s">
        <v>846</v>
      </c>
      <c r="C320" s="27"/>
      <c r="D320" s="27"/>
      <c r="E320" s="31">
        <v>0</v>
      </c>
      <c r="F320" s="31">
        <v>0</v>
      </c>
      <c r="G320" s="31">
        <v>0</v>
      </c>
      <c r="H320" s="31">
        <v>0</v>
      </c>
      <c r="I320" s="31">
        <v>0</v>
      </c>
      <c r="J320" s="31">
        <v>0</v>
      </c>
      <c r="K320" s="31">
        <v>0</v>
      </c>
      <c r="L320" s="31">
        <v>0</v>
      </c>
      <c r="M320" s="31">
        <v>0</v>
      </c>
      <c r="N320" s="31">
        <v>0</v>
      </c>
      <c r="O320" s="27"/>
      <c r="P320" s="29"/>
      <c r="Q320" s="30"/>
    </row>
    <row r="321" spans="1:17" ht="46.5" x14ac:dyDescent="0.25">
      <c r="A321" s="25" t="s">
        <v>847</v>
      </c>
      <c r="B321" s="26" t="s">
        <v>848</v>
      </c>
      <c r="C321" s="27" t="s">
        <v>838</v>
      </c>
      <c r="D321" s="27" t="s">
        <v>839</v>
      </c>
      <c r="E321" s="28">
        <f>SUM(E322:E322)+10000</f>
        <v>10000</v>
      </c>
      <c r="F321" s="28">
        <f>SUM(F322:F322)+10000</f>
        <v>10000</v>
      </c>
      <c r="G321" s="28">
        <f t="shared" ref="G321:N321" si="151">SUM(G322:G322)</f>
        <v>0</v>
      </c>
      <c r="H321" s="28">
        <f t="shared" si="151"/>
        <v>0</v>
      </c>
      <c r="I321" s="28">
        <f t="shared" si="151"/>
        <v>0</v>
      </c>
      <c r="J321" s="28">
        <f t="shared" si="151"/>
        <v>0</v>
      </c>
      <c r="K321" s="28">
        <f t="shared" si="151"/>
        <v>0</v>
      </c>
      <c r="L321" s="28">
        <f t="shared" si="151"/>
        <v>0</v>
      </c>
      <c r="M321" s="28">
        <f t="shared" si="151"/>
        <v>0</v>
      </c>
      <c r="N321" s="28">
        <f t="shared" si="151"/>
        <v>0</v>
      </c>
      <c r="O321" s="27" t="s">
        <v>849</v>
      </c>
      <c r="P321" s="29" t="s">
        <v>34</v>
      </c>
      <c r="Q321" s="30" t="s">
        <v>850</v>
      </c>
    </row>
    <row r="322" spans="1:17" ht="46.5" x14ac:dyDescent="0.25">
      <c r="A322" s="25" t="s">
        <v>851</v>
      </c>
      <c r="B322" s="26" t="s">
        <v>852</v>
      </c>
      <c r="C322" s="27"/>
      <c r="D322" s="27"/>
      <c r="E322" s="31">
        <v>0</v>
      </c>
      <c r="F322" s="31">
        <v>0</v>
      </c>
      <c r="G322" s="31">
        <v>0</v>
      </c>
      <c r="H322" s="31">
        <v>0</v>
      </c>
      <c r="I322" s="31">
        <v>0</v>
      </c>
      <c r="J322" s="31">
        <v>0</v>
      </c>
      <c r="K322" s="31">
        <v>0</v>
      </c>
      <c r="L322" s="31">
        <v>0</v>
      </c>
      <c r="M322" s="31">
        <v>0</v>
      </c>
      <c r="N322" s="31">
        <v>0</v>
      </c>
      <c r="O322" s="27"/>
      <c r="P322" s="29"/>
      <c r="Q322" s="30"/>
    </row>
    <row r="323" spans="1:17" ht="93" x14ac:dyDescent="0.25">
      <c r="A323" s="25" t="s">
        <v>853</v>
      </c>
      <c r="B323" s="26" t="s">
        <v>854</v>
      </c>
      <c r="C323" s="27"/>
      <c r="D323" s="27" t="s">
        <v>855</v>
      </c>
      <c r="E323" s="28">
        <f>SUM(E324:E324)+24218.4</f>
        <v>24218.400000000001</v>
      </c>
      <c r="F323" s="28">
        <f>SUM(F324:F324)+24218.4</f>
        <v>24218.400000000001</v>
      </c>
      <c r="G323" s="28">
        <f t="shared" ref="G323:N323" si="152">SUM(G324:G324)</f>
        <v>0</v>
      </c>
      <c r="H323" s="28">
        <f t="shared" si="152"/>
        <v>0</v>
      </c>
      <c r="I323" s="28">
        <f t="shared" si="152"/>
        <v>0</v>
      </c>
      <c r="J323" s="28">
        <f t="shared" si="152"/>
        <v>0</v>
      </c>
      <c r="K323" s="28">
        <f t="shared" si="152"/>
        <v>0</v>
      </c>
      <c r="L323" s="28">
        <f t="shared" si="152"/>
        <v>0</v>
      </c>
      <c r="M323" s="28">
        <f t="shared" si="152"/>
        <v>0</v>
      </c>
      <c r="N323" s="28">
        <f t="shared" si="152"/>
        <v>0</v>
      </c>
      <c r="O323" s="27" t="s">
        <v>840</v>
      </c>
      <c r="P323" s="29" t="s">
        <v>34</v>
      </c>
      <c r="Q323" s="30" t="s">
        <v>856</v>
      </c>
    </row>
    <row r="324" spans="1:17" ht="93" x14ac:dyDescent="0.25">
      <c r="A324" s="25" t="s">
        <v>857</v>
      </c>
      <c r="B324" s="26" t="s">
        <v>858</v>
      </c>
      <c r="C324" s="27"/>
      <c r="D324" s="27"/>
      <c r="E324" s="31">
        <v>0</v>
      </c>
      <c r="F324" s="31">
        <v>0</v>
      </c>
      <c r="G324" s="31">
        <v>0</v>
      </c>
      <c r="H324" s="31">
        <v>0</v>
      </c>
      <c r="I324" s="31">
        <v>0</v>
      </c>
      <c r="J324" s="31">
        <v>0</v>
      </c>
      <c r="K324" s="31">
        <v>0</v>
      </c>
      <c r="L324" s="31">
        <v>0</v>
      </c>
      <c r="M324" s="31">
        <v>0</v>
      </c>
      <c r="N324" s="31">
        <v>0</v>
      </c>
      <c r="O324" s="27"/>
      <c r="P324" s="29"/>
      <c r="Q324" s="30"/>
    </row>
    <row r="325" spans="1:17" ht="67.5" x14ac:dyDescent="0.25">
      <c r="A325" s="19" t="s">
        <v>859</v>
      </c>
      <c r="B325" s="20" t="s">
        <v>860</v>
      </c>
      <c r="C325" s="21" t="s">
        <v>861</v>
      </c>
      <c r="D325" s="21" t="s">
        <v>862</v>
      </c>
      <c r="E325" s="22">
        <f t="shared" ref="E325:N325" si="153">SUM(E326:E326)</f>
        <v>325386</v>
      </c>
      <c r="F325" s="22">
        <f t="shared" si="153"/>
        <v>325386</v>
      </c>
      <c r="G325" s="22">
        <f t="shared" si="153"/>
        <v>0</v>
      </c>
      <c r="H325" s="22">
        <f t="shared" si="153"/>
        <v>0</v>
      </c>
      <c r="I325" s="22">
        <f t="shared" si="153"/>
        <v>0</v>
      </c>
      <c r="J325" s="22">
        <f t="shared" si="153"/>
        <v>0</v>
      </c>
      <c r="K325" s="22">
        <f t="shared" si="153"/>
        <v>0</v>
      </c>
      <c r="L325" s="22">
        <f t="shared" si="153"/>
        <v>0</v>
      </c>
      <c r="M325" s="22">
        <f t="shared" si="153"/>
        <v>0</v>
      </c>
      <c r="N325" s="22">
        <f t="shared" si="153"/>
        <v>0</v>
      </c>
      <c r="O325" s="21" t="s">
        <v>863</v>
      </c>
      <c r="P325" s="23" t="s">
        <v>34</v>
      </c>
      <c r="Q325" s="24" t="s">
        <v>184</v>
      </c>
    </row>
    <row r="326" spans="1:17" ht="46.5" x14ac:dyDescent="0.25">
      <c r="A326" s="25" t="s">
        <v>864</v>
      </c>
      <c r="B326" s="26" t="s">
        <v>865</v>
      </c>
      <c r="C326" s="27" t="s">
        <v>861</v>
      </c>
      <c r="D326" s="27" t="s">
        <v>862</v>
      </c>
      <c r="E326" s="28">
        <f>SUM(E327:E327)+325386</f>
        <v>325386</v>
      </c>
      <c r="F326" s="28">
        <f>SUM(F327:F327)+325386</f>
        <v>325386</v>
      </c>
      <c r="G326" s="28">
        <f t="shared" ref="G326:N326" si="154">SUM(G327:G327)</f>
        <v>0</v>
      </c>
      <c r="H326" s="28">
        <f t="shared" si="154"/>
        <v>0</v>
      </c>
      <c r="I326" s="28">
        <f t="shared" si="154"/>
        <v>0</v>
      </c>
      <c r="J326" s="28">
        <f t="shared" si="154"/>
        <v>0</v>
      </c>
      <c r="K326" s="28">
        <f t="shared" si="154"/>
        <v>0</v>
      </c>
      <c r="L326" s="28">
        <f t="shared" si="154"/>
        <v>0</v>
      </c>
      <c r="M326" s="28">
        <f t="shared" si="154"/>
        <v>0</v>
      </c>
      <c r="N326" s="28">
        <f t="shared" si="154"/>
        <v>0</v>
      </c>
      <c r="O326" s="27" t="s">
        <v>863</v>
      </c>
      <c r="P326" s="29" t="s">
        <v>34</v>
      </c>
      <c r="Q326" s="30" t="s">
        <v>184</v>
      </c>
    </row>
    <row r="327" spans="1:17" ht="46.5" x14ac:dyDescent="0.25">
      <c r="A327" s="25" t="s">
        <v>866</v>
      </c>
      <c r="B327" s="26" t="s">
        <v>867</v>
      </c>
      <c r="C327" s="27"/>
      <c r="D327" s="27"/>
      <c r="E327" s="31">
        <v>0</v>
      </c>
      <c r="F327" s="31">
        <v>0</v>
      </c>
      <c r="G327" s="31">
        <v>0</v>
      </c>
      <c r="H327" s="31">
        <v>0</v>
      </c>
      <c r="I327" s="31">
        <v>0</v>
      </c>
      <c r="J327" s="31">
        <v>0</v>
      </c>
      <c r="K327" s="31">
        <v>0</v>
      </c>
      <c r="L327" s="31">
        <v>0</v>
      </c>
      <c r="M327" s="31">
        <v>0</v>
      </c>
      <c r="N327" s="31">
        <v>0</v>
      </c>
      <c r="O327" s="27"/>
      <c r="P327" s="29"/>
      <c r="Q327" s="30"/>
    </row>
    <row r="328" spans="1:17" ht="135" x14ac:dyDescent="0.25">
      <c r="A328" s="19" t="s">
        <v>868</v>
      </c>
      <c r="B328" s="20" t="s">
        <v>869</v>
      </c>
      <c r="C328" s="21" t="s">
        <v>861</v>
      </c>
      <c r="D328" s="21" t="s">
        <v>870</v>
      </c>
      <c r="E328" s="22">
        <f t="shared" ref="E328:N328" si="155">E329+E332+E334+E336</f>
        <v>47805.47</v>
      </c>
      <c r="F328" s="22">
        <f t="shared" si="155"/>
        <v>20000</v>
      </c>
      <c r="G328" s="22">
        <f t="shared" si="155"/>
        <v>0</v>
      </c>
      <c r="H328" s="22">
        <f t="shared" si="155"/>
        <v>0</v>
      </c>
      <c r="I328" s="22">
        <f t="shared" si="155"/>
        <v>0</v>
      </c>
      <c r="J328" s="22">
        <f t="shared" si="155"/>
        <v>0</v>
      </c>
      <c r="K328" s="22">
        <f t="shared" si="155"/>
        <v>0</v>
      </c>
      <c r="L328" s="22">
        <f t="shared" si="155"/>
        <v>27805.47</v>
      </c>
      <c r="M328" s="22">
        <f t="shared" si="155"/>
        <v>0</v>
      </c>
      <c r="N328" s="22">
        <f t="shared" si="155"/>
        <v>0</v>
      </c>
      <c r="O328" s="21" t="s">
        <v>871</v>
      </c>
      <c r="P328" s="23" t="s">
        <v>29</v>
      </c>
      <c r="Q328" s="24" t="s">
        <v>30</v>
      </c>
    </row>
    <row r="329" spans="1:17" ht="46.5" x14ac:dyDescent="0.25">
      <c r="A329" s="25" t="s">
        <v>872</v>
      </c>
      <c r="B329" s="26" t="s">
        <v>873</v>
      </c>
      <c r="C329" s="27" t="s">
        <v>861</v>
      </c>
      <c r="D329" s="27" t="s">
        <v>874</v>
      </c>
      <c r="E329" s="28">
        <f>SUM(E330:E331)+9000</f>
        <v>9000</v>
      </c>
      <c r="F329" s="28">
        <f>SUM(F330:F331)+9000</f>
        <v>9000</v>
      </c>
      <c r="G329" s="28">
        <f t="shared" ref="G329:N329" si="156">SUM(G330:G331)</f>
        <v>0</v>
      </c>
      <c r="H329" s="28">
        <f t="shared" si="156"/>
        <v>0</v>
      </c>
      <c r="I329" s="28">
        <f t="shared" si="156"/>
        <v>0</v>
      </c>
      <c r="J329" s="28">
        <f t="shared" si="156"/>
        <v>0</v>
      </c>
      <c r="K329" s="28">
        <f t="shared" si="156"/>
        <v>0</v>
      </c>
      <c r="L329" s="28">
        <f t="shared" si="156"/>
        <v>0</v>
      </c>
      <c r="M329" s="28">
        <f t="shared" si="156"/>
        <v>0</v>
      </c>
      <c r="N329" s="28">
        <f t="shared" si="156"/>
        <v>0</v>
      </c>
      <c r="O329" s="27" t="s">
        <v>875</v>
      </c>
      <c r="P329" s="29" t="s">
        <v>34</v>
      </c>
      <c r="Q329" s="30" t="s">
        <v>166</v>
      </c>
    </row>
    <row r="330" spans="1:17" ht="69.75" x14ac:dyDescent="0.25">
      <c r="A330" s="25" t="s">
        <v>876</v>
      </c>
      <c r="B330" s="26" t="s">
        <v>877</v>
      </c>
      <c r="C330" s="27"/>
      <c r="D330" s="27"/>
      <c r="E330" s="31">
        <v>0</v>
      </c>
      <c r="F330" s="31">
        <v>0</v>
      </c>
      <c r="G330" s="31">
        <v>0</v>
      </c>
      <c r="H330" s="31">
        <v>0</v>
      </c>
      <c r="I330" s="31">
        <v>0</v>
      </c>
      <c r="J330" s="31">
        <v>0</v>
      </c>
      <c r="K330" s="31">
        <v>0</v>
      </c>
      <c r="L330" s="31">
        <v>0</v>
      </c>
      <c r="M330" s="31">
        <v>0</v>
      </c>
      <c r="N330" s="31">
        <v>0</v>
      </c>
      <c r="O330" s="27"/>
      <c r="P330" s="29"/>
      <c r="Q330" s="30"/>
    </row>
    <row r="331" spans="1:17" ht="46.5" x14ac:dyDescent="0.25">
      <c r="A331" s="25" t="s">
        <v>878</v>
      </c>
      <c r="B331" s="26" t="s">
        <v>879</v>
      </c>
      <c r="C331" s="27"/>
      <c r="D331" s="27"/>
      <c r="E331" s="31">
        <v>0</v>
      </c>
      <c r="F331" s="31">
        <v>0</v>
      </c>
      <c r="G331" s="31">
        <v>0</v>
      </c>
      <c r="H331" s="31">
        <v>0</v>
      </c>
      <c r="I331" s="31">
        <v>0</v>
      </c>
      <c r="J331" s="31">
        <v>0</v>
      </c>
      <c r="K331" s="31">
        <v>0</v>
      </c>
      <c r="L331" s="31">
        <v>0</v>
      </c>
      <c r="M331" s="31">
        <v>0</v>
      </c>
      <c r="N331" s="31">
        <v>0</v>
      </c>
      <c r="O331" s="27"/>
      <c r="P331" s="29"/>
      <c r="Q331" s="30"/>
    </row>
    <row r="332" spans="1:17" ht="69.75" x14ac:dyDescent="0.25">
      <c r="A332" s="25" t="s">
        <v>880</v>
      </c>
      <c r="B332" s="26" t="s">
        <v>881</v>
      </c>
      <c r="C332" s="27" t="s">
        <v>861</v>
      </c>
      <c r="D332" s="27" t="s">
        <v>882</v>
      </c>
      <c r="E332" s="28">
        <f>SUM(E333:E333)+5000</f>
        <v>5000</v>
      </c>
      <c r="F332" s="28">
        <f>SUM(F333:F333)+5000</f>
        <v>5000</v>
      </c>
      <c r="G332" s="28">
        <f t="shared" ref="G332:N332" si="157">SUM(G333:G333)</f>
        <v>0</v>
      </c>
      <c r="H332" s="28">
        <f t="shared" si="157"/>
        <v>0</v>
      </c>
      <c r="I332" s="28">
        <f t="shared" si="157"/>
        <v>0</v>
      </c>
      <c r="J332" s="28">
        <f t="shared" si="157"/>
        <v>0</v>
      </c>
      <c r="K332" s="28">
        <f t="shared" si="157"/>
        <v>0</v>
      </c>
      <c r="L332" s="28">
        <f t="shared" si="157"/>
        <v>0</v>
      </c>
      <c r="M332" s="28">
        <f t="shared" si="157"/>
        <v>0</v>
      </c>
      <c r="N332" s="28">
        <f t="shared" si="157"/>
        <v>0</v>
      </c>
      <c r="O332" s="27" t="s">
        <v>875</v>
      </c>
      <c r="P332" s="29" t="s">
        <v>34</v>
      </c>
      <c r="Q332" s="30" t="s">
        <v>200</v>
      </c>
    </row>
    <row r="333" spans="1:17" ht="69.75" x14ac:dyDescent="0.25">
      <c r="A333" s="25" t="s">
        <v>883</v>
      </c>
      <c r="B333" s="26" t="s">
        <v>884</v>
      </c>
      <c r="C333" s="27"/>
      <c r="D333" s="27"/>
      <c r="E333" s="31">
        <v>0</v>
      </c>
      <c r="F333" s="31">
        <v>0</v>
      </c>
      <c r="G333" s="31">
        <v>0</v>
      </c>
      <c r="H333" s="31">
        <v>0</v>
      </c>
      <c r="I333" s="31">
        <v>0</v>
      </c>
      <c r="J333" s="31">
        <v>0</v>
      </c>
      <c r="K333" s="31">
        <v>0</v>
      </c>
      <c r="L333" s="31">
        <v>0</v>
      </c>
      <c r="M333" s="31">
        <v>0</v>
      </c>
      <c r="N333" s="31">
        <v>0</v>
      </c>
      <c r="O333" s="27"/>
      <c r="P333" s="29"/>
      <c r="Q333" s="30"/>
    </row>
    <row r="334" spans="1:17" ht="69.75" x14ac:dyDescent="0.25">
      <c r="A334" s="25" t="s">
        <v>885</v>
      </c>
      <c r="B334" s="26" t="s">
        <v>886</v>
      </c>
      <c r="C334" s="27" t="s">
        <v>861</v>
      </c>
      <c r="D334" s="27" t="s">
        <v>870</v>
      </c>
      <c r="E334" s="28">
        <f>SUM(E335:E335)+6000</f>
        <v>6000</v>
      </c>
      <c r="F334" s="28">
        <f>SUM(F335:F335)+6000</f>
        <v>6000</v>
      </c>
      <c r="G334" s="28">
        <f t="shared" ref="G334:N334" si="158">SUM(G335:G335)</f>
        <v>0</v>
      </c>
      <c r="H334" s="28">
        <f t="shared" si="158"/>
        <v>0</v>
      </c>
      <c r="I334" s="28">
        <f t="shared" si="158"/>
        <v>0</v>
      </c>
      <c r="J334" s="28">
        <f t="shared" si="158"/>
        <v>0</v>
      </c>
      <c r="K334" s="28">
        <f t="shared" si="158"/>
        <v>0</v>
      </c>
      <c r="L334" s="28">
        <f t="shared" si="158"/>
        <v>0</v>
      </c>
      <c r="M334" s="28">
        <f t="shared" si="158"/>
        <v>0</v>
      </c>
      <c r="N334" s="28">
        <f t="shared" si="158"/>
        <v>0</v>
      </c>
      <c r="O334" s="27" t="s">
        <v>875</v>
      </c>
      <c r="P334" s="29" t="s">
        <v>34</v>
      </c>
      <c r="Q334" s="30" t="s">
        <v>200</v>
      </c>
    </row>
    <row r="335" spans="1:17" ht="69.75" x14ac:dyDescent="0.25">
      <c r="A335" s="25" t="s">
        <v>887</v>
      </c>
      <c r="B335" s="26" t="s">
        <v>888</v>
      </c>
      <c r="C335" s="27"/>
      <c r="D335" s="27"/>
      <c r="E335" s="31">
        <v>0</v>
      </c>
      <c r="F335" s="31">
        <v>0</v>
      </c>
      <c r="G335" s="31">
        <v>0</v>
      </c>
      <c r="H335" s="31">
        <v>0</v>
      </c>
      <c r="I335" s="31">
        <v>0</v>
      </c>
      <c r="J335" s="31">
        <v>0</v>
      </c>
      <c r="K335" s="31">
        <v>0</v>
      </c>
      <c r="L335" s="31">
        <v>0</v>
      </c>
      <c r="M335" s="31">
        <v>0</v>
      </c>
      <c r="N335" s="31">
        <v>0</v>
      </c>
      <c r="O335" s="27"/>
      <c r="P335" s="29"/>
      <c r="Q335" s="30"/>
    </row>
    <row r="336" spans="1:17" ht="93" x14ac:dyDescent="0.25">
      <c r="A336" s="25" t="s">
        <v>889</v>
      </c>
      <c r="B336" s="26" t="s">
        <v>890</v>
      </c>
      <c r="C336" s="27" t="s">
        <v>891</v>
      </c>
      <c r="D336" s="27" t="s">
        <v>892</v>
      </c>
      <c r="E336" s="28">
        <f>SUM(E337:E338)+27805.47</f>
        <v>27805.47</v>
      </c>
      <c r="F336" s="28">
        <f t="shared" ref="F336:K336" si="159">SUM(F337:F338)</f>
        <v>0</v>
      </c>
      <c r="G336" s="28">
        <f t="shared" si="159"/>
        <v>0</v>
      </c>
      <c r="H336" s="28">
        <f t="shared" si="159"/>
        <v>0</v>
      </c>
      <c r="I336" s="28">
        <f t="shared" si="159"/>
        <v>0</v>
      </c>
      <c r="J336" s="28">
        <f t="shared" si="159"/>
        <v>0</v>
      </c>
      <c r="K336" s="28">
        <f t="shared" si="159"/>
        <v>0</v>
      </c>
      <c r="L336" s="28">
        <f>SUM(L337:L338)+27805.47</f>
        <v>27805.47</v>
      </c>
      <c r="M336" s="28">
        <f>SUM(M337:M338)</f>
        <v>0</v>
      </c>
      <c r="N336" s="28">
        <f>SUM(N337:N338)</f>
        <v>0</v>
      </c>
      <c r="O336" s="27" t="s">
        <v>875</v>
      </c>
      <c r="P336" s="29" t="s">
        <v>34</v>
      </c>
      <c r="Q336" s="30" t="s">
        <v>242</v>
      </c>
    </row>
    <row r="337" spans="1:17" ht="46.5" x14ac:dyDescent="0.25">
      <c r="A337" s="25" t="s">
        <v>893</v>
      </c>
      <c r="B337" s="26" t="s">
        <v>894</v>
      </c>
      <c r="C337" s="27"/>
      <c r="D337" s="27"/>
      <c r="E337" s="31">
        <v>0</v>
      </c>
      <c r="F337" s="31">
        <v>0</v>
      </c>
      <c r="G337" s="31">
        <v>0</v>
      </c>
      <c r="H337" s="31">
        <v>0</v>
      </c>
      <c r="I337" s="31">
        <v>0</v>
      </c>
      <c r="J337" s="31">
        <v>0</v>
      </c>
      <c r="K337" s="31">
        <v>0</v>
      </c>
      <c r="L337" s="31">
        <v>0</v>
      </c>
      <c r="M337" s="31">
        <v>0</v>
      </c>
      <c r="N337" s="31">
        <v>0</v>
      </c>
      <c r="O337" s="27"/>
      <c r="P337" s="29"/>
      <c r="Q337" s="30"/>
    </row>
    <row r="338" spans="1:17" ht="69.75" x14ac:dyDescent="0.25">
      <c r="A338" s="25" t="s">
        <v>895</v>
      </c>
      <c r="B338" s="26" t="s">
        <v>896</v>
      </c>
      <c r="C338" s="27"/>
      <c r="D338" s="27"/>
      <c r="E338" s="31">
        <v>0</v>
      </c>
      <c r="F338" s="31">
        <v>0</v>
      </c>
      <c r="G338" s="31">
        <v>0</v>
      </c>
      <c r="H338" s="31">
        <v>0</v>
      </c>
      <c r="I338" s="31">
        <v>0</v>
      </c>
      <c r="J338" s="31">
        <v>0</v>
      </c>
      <c r="K338" s="31">
        <v>0</v>
      </c>
      <c r="L338" s="31">
        <v>0</v>
      </c>
      <c r="M338" s="31">
        <v>0</v>
      </c>
      <c r="N338" s="31">
        <v>0</v>
      </c>
      <c r="O338" s="27"/>
      <c r="P338" s="29"/>
      <c r="Q338" s="30"/>
    </row>
    <row r="339" spans="1:17" ht="67.5" x14ac:dyDescent="0.25">
      <c r="A339" s="19" t="s">
        <v>897</v>
      </c>
      <c r="B339" s="20" t="s">
        <v>898</v>
      </c>
      <c r="C339" s="21" t="s">
        <v>861</v>
      </c>
      <c r="D339" s="21" t="s">
        <v>899</v>
      </c>
      <c r="E339" s="22">
        <f t="shared" ref="E339:N339" si="160">E340+E342</f>
        <v>772955</v>
      </c>
      <c r="F339" s="22">
        <f t="shared" si="160"/>
        <v>772955</v>
      </c>
      <c r="G339" s="22">
        <f t="shared" si="160"/>
        <v>0</v>
      </c>
      <c r="H339" s="22">
        <f t="shared" si="160"/>
        <v>0</v>
      </c>
      <c r="I339" s="22">
        <f t="shared" si="160"/>
        <v>0</v>
      </c>
      <c r="J339" s="22">
        <f t="shared" si="160"/>
        <v>0</v>
      </c>
      <c r="K339" s="22">
        <f t="shared" si="160"/>
        <v>0</v>
      </c>
      <c r="L339" s="22">
        <f t="shared" si="160"/>
        <v>0</v>
      </c>
      <c r="M339" s="22">
        <f t="shared" si="160"/>
        <v>0</v>
      </c>
      <c r="N339" s="22">
        <f t="shared" si="160"/>
        <v>0</v>
      </c>
      <c r="O339" s="21" t="s">
        <v>900</v>
      </c>
      <c r="P339" s="23" t="s">
        <v>29</v>
      </c>
      <c r="Q339" s="24" t="s">
        <v>30</v>
      </c>
    </row>
    <row r="340" spans="1:17" ht="69.75" x14ac:dyDescent="0.25">
      <c r="A340" s="25" t="s">
        <v>901</v>
      </c>
      <c r="B340" s="26" t="s">
        <v>902</v>
      </c>
      <c r="C340" s="27" t="s">
        <v>861</v>
      </c>
      <c r="D340" s="27" t="s">
        <v>899</v>
      </c>
      <c r="E340" s="28">
        <f>SUM(E341:E341)+700270</f>
        <v>700270</v>
      </c>
      <c r="F340" s="28">
        <f>SUM(F341:F341)+700270</f>
        <v>700270</v>
      </c>
      <c r="G340" s="28">
        <f t="shared" ref="G340:N340" si="161">SUM(G341:G341)</f>
        <v>0</v>
      </c>
      <c r="H340" s="28">
        <f t="shared" si="161"/>
        <v>0</v>
      </c>
      <c r="I340" s="28">
        <f t="shared" si="161"/>
        <v>0</v>
      </c>
      <c r="J340" s="28">
        <f t="shared" si="161"/>
        <v>0</v>
      </c>
      <c r="K340" s="28">
        <f t="shared" si="161"/>
        <v>0</v>
      </c>
      <c r="L340" s="28">
        <f t="shared" si="161"/>
        <v>0</v>
      </c>
      <c r="M340" s="28">
        <f t="shared" si="161"/>
        <v>0</v>
      </c>
      <c r="N340" s="28">
        <f t="shared" si="161"/>
        <v>0</v>
      </c>
      <c r="O340" s="27" t="s">
        <v>903</v>
      </c>
      <c r="P340" s="29" t="s">
        <v>29</v>
      </c>
      <c r="Q340" s="30" t="s">
        <v>30</v>
      </c>
    </row>
    <row r="341" spans="1:17" ht="69.75" x14ac:dyDescent="0.25">
      <c r="A341" s="25" t="s">
        <v>904</v>
      </c>
      <c r="B341" s="26" t="s">
        <v>905</v>
      </c>
      <c r="C341" s="27"/>
      <c r="D341" s="27"/>
      <c r="E341" s="31">
        <v>0</v>
      </c>
      <c r="F341" s="31">
        <v>0</v>
      </c>
      <c r="G341" s="31">
        <v>0</v>
      </c>
      <c r="H341" s="31">
        <v>0</v>
      </c>
      <c r="I341" s="31">
        <v>0</v>
      </c>
      <c r="J341" s="31">
        <v>0</v>
      </c>
      <c r="K341" s="31">
        <v>0</v>
      </c>
      <c r="L341" s="31">
        <v>0</v>
      </c>
      <c r="M341" s="31">
        <v>0</v>
      </c>
      <c r="N341" s="31">
        <v>0</v>
      </c>
      <c r="O341" s="27"/>
      <c r="P341" s="29"/>
      <c r="Q341" s="30"/>
    </row>
    <row r="342" spans="1:17" ht="69.75" x14ac:dyDescent="0.25">
      <c r="A342" s="25" t="s">
        <v>906</v>
      </c>
      <c r="B342" s="26" t="s">
        <v>907</v>
      </c>
      <c r="C342" s="27" t="s">
        <v>861</v>
      </c>
      <c r="D342" s="27" t="s">
        <v>899</v>
      </c>
      <c r="E342" s="28">
        <f>SUM(E343:E343)+72685</f>
        <v>72685</v>
      </c>
      <c r="F342" s="28">
        <f>SUM(F343:F343)+72685</f>
        <v>72685</v>
      </c>
      <c r="G342" s="28">
        <f t="shared" ref="G342:N342" si="162">SUM(G343:G343)</f>
        <v>0</v>
      </c>
      <c r="H342" s="28">
        <f t="shared" si="162"/>
        <v>0</v>
      </c>
      <c r="I342" s="28">
        <f t="shared" si="162"/>
        <v>0</v>
      </c>
      <c r="J342" s="28">
        <f t="shared" si="162"/>
        <v>0</v>
      </c>
      <c r="K342" s="28">
        <f t="shared" si="162"/>
        <v>0</v>
      </c>
      <c r="L342" s="28">
        <f t="shared" si="162"/>
        <v>0</v>
      </c>
      <c r="M342" s="28">
        <f t="shared" si="162"/>
        <v>0</v>
      </c>
      <c r="N342" s="28">
        <f t="shared" si="162"/>
        <v>0</v>
      </c>
      <c r="O342" s="27" t="s">
        <v>908</v>
      </c>
      <c r="P342" s="29" t="s">
        <v>29</v>
      </c>
      <c r="Q342" s="30" t="s">
        <v>30</v>
      </c>
    </row>
    <row r="343" spans="1:17" ht="69.75" x14ac:dyDescent="0.25">
      <c r="A343" s="25" t="s">
        <v>909</v>
      </c>
      <c r="B343" s="26" t="s">
        <v>910</v>
      </c>
      <c r="C343" s="27"/>
      <c r="D343" s="27"/>
      <c r="E343" s="31">
        <v>0</v>
      </c>
      <c r="F343" s="31">
        <v>0</v>
      </c>
      <c r="G343" s="31">
        <v>0</v>
      </c>
      <c r="H343" s="31">
        <v>0</v>
      </c>
      <c r="I343" s="31">
        <v>0</v>
      </c>
      <c r="J343" s="31">
        <v>0</v>
      </c>
      <c r="K343" s="31">
        <v>0</v>
      </c>
      <c r="L343" s="31">
        <v>0</v>
      </c>
      <c r="M343" s="31">
        <v>0</v>
      </c>
      <c r="N343" s="31">
        <v>0</v>
      </c>
      <c r="O343" s="27"/>
      <c r="P343" s="29"/>
      <c r="Q343" s="30"/>
    </row>
    <row r="344" spans="1:17" ht="67.5" x14ac:dyDescent="0.25">
      <c r="A344" s="19" t="s">
        <v>911</v>
      </c>
      <c r="B344" s="20" t="s">
        <v>912</v>
      </c>
      <c r="C344" s="21" t="s">
        <v>838</v>
      </c>
      <c r="D344" s="21" t="s">
        <v>839</v>
      </c>
      <c r="E344" s="22">
        <f t="shared" ref="E344:N344" si="163">E345+E347+E349+E351</f>
        <v>0</v>
      </c>
      <c r="F344" s="22">
        <f t="shared" si="163"/>
        <v>0</v>
      </c>
      <c r="G344" s="22">
        <f t="shared" si="163"/>
        <v>0</v>
      </c>
      <c r="H344" s="22">
        <f t="shared" si="163"/>
        <v>0</v>
      </c>
      <c r="I344" s="22">
        <f t="shared" si="163"/>
        <v>0</v>
      </c>
      <c r="J344" s="22">
        <f t="shared" si="163"/>
        <v>0</v>
      </c>
      <c r="K344" s="22">
        <f t="shared" si="163"/>
        <v>0</v>
      </c>
      <c r="L344" s="22">
        <f t="shared" si="163"/>
        <v>0</v>
      </c>
      <c r="M344" s="22">
        <f t="shared" si="163"/>
        <v>0</v>
      </c>
      <c r="N344" s="22">
        <f t="shared" si="163"/>
        <v>0</v>
      </c>
      <c r="O344" s="21" t="s">
        <v>913</v>
      </c>
      <c r="P344" s="23" t="s">
        <v>34</v>
      </c>
      <c r="Q344" s="24" t="s">
        <v>75</v>
      </c>
    </row>
    <row r="345" spans="1:17" ht="93" x14ac:dyDescent="0.25">
      <c r="A345" s="25" t="s">
        <v>914</v>
      </c>
      <c r="B345" s="26" t="s">
        <v>915</v>
      </c>
      <c r="C345" s="27" t="s">
        <v>916</v>
      </c>
      <c r="D345" s="27" t="s">
        <v>839</v>
      </c>
      <c r="E345" s="28">
        <f t="shared" ref="E345:N345" si="164">SUM(E346:E346)</f>
        <v>0</v>
      </c>
      <c r="F345" s="28">
        <f t="shared" si="164"/>
        <v>0</v>
      </c>
      <c r="G345" s="28">
        <f t="shared" si="164"/>
        <v>0</v>
      </c>
      <c r="H345" s="28">
        <f t="shared" si="164"/>
        <v>0</v>
      </c>
      <c r="I345" s="28">
        <f t="shared" si="164"/>
        <v>0</v>
      </c>
      <c r="J345" s="28">
        <f t="shared" si="164"/>
        <v>0</v>
      </c>
      <c r="K345" s="28">
        <f t="shared" si="164"/>
        <v>0</v>
      </c>
      <c r="L345" s="28">
        <f t="shared" si="164"/>
        <v>0</v>
      </c>
      <c r="M345" s="28">
        <f t="shared" si="164"/>
        <v>0</v>
      </c>
      <c r="N345" s="28">
        <f t="shared" si="164"/>
        <v>0</v>
      </c>
      <c r="O345" s="27" t="s">
        <v>917</v>
      </c>
      <c r="P345" s="29" t="s">
        <v>34</v>
      </c>
      <c r="Q345" s="30" t="s">
        <v>35</v>
      </c>
    </row>
    <row r="346" spans="1:17" ht="116.25" x14ac:dyDescent="0.25">
      <c r="A346" s="25" t="s">
        <v>918</v>
      </c>
      <c r="B346" s="26" t="s">
        <v>919</v>
      </c>
      <c r="C346" s="27"/>
      <c r="D346" s="27"/>
      <c r="E346" s="31">
        <v>0</v>
      </c>
      <c r="F346" s="31">
        <v>0</v>
      </c>
      <c r="G346" s="31">
        <v>0</v>
      </c>
      <c r="H346" s="31">
        <v>0</v>
      </c>
      <c r="I346" s="31">
        <v>0</v>
      </c>
      <c r="J346" s="31">
        <v>0</v>
      </c>
      <c r="K346" s="31">
        <v>0</v>
      </c>
      <c r="L346" s="31">
        <v>0</v>
      </c>
      <c r="M346" s="31">
        <v>0</v>
      </c>
      <c r="N346" s="31">
        <v>0</v>
      </c>
      <c r="O346" s="27"/>
      <c r="P346" s="29"/>
      <c r="Q346" s="30"/>
    </row>
    <row r="347" spans="1:17" ht="93" x14ac:dyDescent="0.25">
      <c r="A347" s="25" t="s">
        <v>920</v>
      </c>
      <c r="B347" s="26" t="s">
        <v>921</v>
      </c>
      <c r="C347" s="27" t="s">
        <v>838</v>
      </c>
      <c r="D347" s="27" t="s">
        <v>839</v>
      </c>
      <c r="E347" s="28">
        <f t="shared" ref="E347:N347" si="165">SUM(E348:E348)</f>
        <v>0</v>
      </c>
      <c r="F347" s="28">
        <f t="shared" si="165"/>
        <v>0</v>
      </c>
      <c r="G347" s="28">
        <f t="shared" si="165"/>
        <v>0</v>
      </c>
      <c r="H347" s="28">
        <f t="shared" si="165"/>
        <v>0</v>
      </c>
      <c r="I347" s="28">
        <f t="shared" si="165"/>
        <v>0</v>
      </c>
      <c r="J347" s="28">
        <f t="shared" si="165"/>
        <v>0</v>
      </c>
      <c r="K347" s="28">
        <f t="shared" si="165"/>
        <v>0</v>
      </c>
      <c r="L347" s="28">
        <f t="shared" si="165"/>
        <v>0</v>
      </c>
      <c r="M347" s="28">
        <f t="shared" si="165"/>
        <v>0</v>
      </c>
      <c r="N347" s="28">
        <f t="shared" si="165"/>
        <v>0</v>
      </c>
      <c r="O347" s="27" t="s">
        <v>922</v>
      </c>
      <c r="P347" s="29" t="s">
        <v>34</v>
      </c>
      <c r="Q347" s="30" t="s">
        <v>35</v>
      </c>
    </row>
    <row r="348" spans="1:17" ht="46.5" x14ac:dyDescent="0.25">
      <c r="A348" s="25" t="s">
        <v>923</v>
      </c>
      <c r="B348" s="26" t="s">
        <v>924</v>
      </c>
      <c r="C348" s="27"/>
      <c r="D348" s="27"/>
      <c r="E348" s="31">
        <v>0</v>
      </c>
      <c r="F348" s="31">
        <v>0</v>
      </c>
      <c r="G348" s="31">
        <v>0</v>
      </c>
      <c r="H348" s="31">
        <v>0</v>
      </c>
      <c r="I348" s="31">
        <v>0</v>
      </c>
      <c r="J348" s="31">
        <v>0</v>
      </c>
      <c r="K348" s="31">
        <v>0</v>
      </c>
      <c r="L348" s="31">
        <v>0</v>
      </c>
      <c r="M348" s="31">
        <v>0</v>
      </c>
      <c r="N348" s="31">
        <v>0</v>
      </c>
      <c r="O348" s="27"/>
      <c r="P348" s="29"/>
      <c r="Q348" s="30"/>
    </row>
    <row r="349" spans="1:17" ht="139.5" x14ac:dyDescent="0.25">
      <c r="A349" s="25" t="s">
        <v>925</v>
      </c>
      <c r="B349" s="26" t="s">
        <v>926</v>
      </c>
      <c r="C349" s="27" t="s">
        <v>927</v>
      </c>
      <c r="D349" s="27" t="s">
        <v>839</v>
      </c>
      <c r="E349" s="28">
        <f t="shared" ref="E349:N349" si="166">SUM(E350:E350)</f>
        <v>0</v>
      </c>
      <c r="F349" s="28">
        <f t="shared" si="166"/>
        <v>0</v>
      </c>
      <c r="G349" s="28">
        <f t="shared" si="166"/>
        <v>0</v>
      </c>
      <c r="H349" s="28">
        <f t="shared" si="166"/>
        <v>0</v>
      </c>
      <c r="I349" s="28">
        <f t="shared" si="166"/>
        <v>0</v>
      </c>
      <c r="J349" s="28">
        <f t="shared" si="166"/>
        <v>0</v>
      </c>
      <c r="K349" s="28">
        <f t="shared" si="166"/>
        <v>0</v>
      </c>
      <c r="L349" s="28">
        <f t="shared" si="166"/>
        <v>0</v>
      </c>
      <c r="M349" s="28">
        <f t="shared" si="166"/>
        <v>0</v>
      </c>
      <c r="N349" s="28">
        <f t="shared" si="166"/>
        <v>0</v>
      </c>
      <c r="O349" s="27" t="s">
        <v>928</v>
      </c>
      <c r="P349" s="29" t="s">
        <v>29</v>
      </c>
      <c r="Q349" s="30" t="s">
        <v>57</v>
      </c>
    </row>
    <row r="350" spans="1:17" ht="69.75" x14ac:dyDescent="0.25">
      <c r="A350" s="25" t="s">
        <v>929</v>
      </c>
      <c r="B350" s="26" t="s">
        <v>930</v>
      </c>
      <c r="C350" s="27"/>
      <c r="D350" s="27"/>
      <c r="E350" s="31">
        <v>0</v>
      </c>
      <c r="F350" s="31">
        <v>0</v>
      </c>
      <c r="G350" s="31">
        <v>0</v>
      </c>
      <c r="H350" s="31">
        <v>0</v>
      </c>
      <c r="I350" s="31">
        <v>0</v>
      </c>
      <c r="J350" s="31">
        <v>0</v>
      </c>
      <c r="K350" s="31">
        <v>0</v>
      </c>
      <c r="L350" s="31">
        <v>0</v>
      </c>
      <c r="M350" s="31">
        <v>0</v>
      </c>
      <c r="N350" s="31">
        <v>0</v>
      </c>
      <c r="O350" s="27"/>
      <c r="P350" s="29"/>
      <c r="Q350" s="30"/>
    </row>
    <row r="351" spans="1:17" ht="93" x14ac:dyDescent="0.25">
      <c r="A351" s="25" t="s">
        <v>931</v>
      </c>
      <c r="B351" s="26" t="s">
        <v>932</v>
      </c>
      <c r="C351" s="27" t="s">
        <v>838</v>
      </c>
      <c r="D351" s="27" t="s">
        <v>839</v>
      </c>
      <c r="E351" s="28">
        <f t="shared" ref="E351:N351" si="167">SUM(E352:E352)</f>
        <v>0</v>
      </c>
      <c r="F351" s="28">
        <f t="shared" si="167"/>
        <v>0</v>
      </c>
      <c r="G351" s="28">
        <f t="shared" si="167"/>
        <v>0</v>
      </c>
      <c r="H351" s="28">
        <f t="shared" si="167"/>
        <v>0</v>
      </c>
      <c r="I351" s="28">
        <f t="shared" si="167"/>
        <v>0</v>
      </c>
      <c r="J351" s="28">
        <f t="shared" si="167"/>
        <v>0</v>
      </c>
      <c r="K351" s="28">
        <f t="shared" si="167"/>
        <v>0</v>
      </c>
      <c r="L351" s="28">
        <f t="shared" si="167"/>
        <v>0</v>
      </c>
      <c r="M351" s="28">
        <f t="shared" si="167"/>
        <v>0</v>
      </c>
      <c r="N351" s="28">
        <f t="shared" si="167"/>
        <v>0</v>
      </c>
      <c r="O351" s="27" t="s">
        <v>933</v>
      </c>
      <c r="P351" s="29" t="s">
        <v>34</v>
      </c>
      <c r="Q351" s="30" t="s">
        <v>35</v>
      </c>
    </row>
    <row r="352" spans="1:17" ht="46.5" x14ac:dyDescent="0.25">
      <c r="A352" s="25" t="s">
        <v>934</v>
      </c>
      <c r="B352" s="26" t="s">
        <v>935</v>
      </c>
      <c r="C352" s="27"/>
      <c r="D352" s="27"/>
      <c r="E352" s="31">
        <v>0</v>
      </c>
      <c r="F352" s="31">
        <v>0</v>
      </c>
      <c r="G352" s="31">
        <v>0</v>
      </c>
      <c r="H352" s="31">
        <v>0</v>
      </c>
      <c r="I352" s="31">
        <v>0</v>
      </c>
      <c r="J352" s="31">
        <v>0</v>
      </c>
      <c r="K352" s="31">
        <v>0</v>
      </c>
      <c r="L352" s="31">
        <v>0</v>
      </c>
      <c r="M352" s="31">
        <v>0</v>
      </c>
      <c r="N352" s="31">
        <v>0</v>
      </c>
      <c r="O352" s="27"/>
      <c r="P352" s="29"/>
      <c r="Q352" s="30"/>
    </row>
    <row r="353" spans="1:17" ht="112.5" x14ac:dyDescent="0.25">
      <c r="A353" s="13" t="s">
        <v>936</v>
      </c>
      <c r="B353" s="14" t="s">
        <v>937</v>
      </c>
      <c r="C353" s="15" t="s">
        <v>736</v>
      </c>
      <c r="D353" s="15" t="s">
        <v>737</v>
      </c>
      <c r="E353" s="16">
        <f t="shared" ref="E353:N353" si="168">SUM(E354:E354)</f>
        <v>10300</v>
      </c>
      <c r="F353" s="16">
        <f t="shared" si="168"/>
        <v>10300</v>
      </c>
      <c r="G353" s="16">
        <f t="shared" si="168"/>
        <v>0</v>
      </c>
      <c r="H353" s="16">
        <f t="shared" si="168"/>
        <v>0</v>
      </c>
      <c r="I353" s="16">
        <f t="shared" si="168"/>
        <v>0</v>
      </c>
      <c r="J353" s="16">
        <f t="shared" si="168"/>
        <v>0</v>
      </c>
      <c r="K353" s="16">
        <f t="shared" si="168"/>
        <v>0</v>
      </c>
      <c r="L353" s="16">
        <f t="shared" si="168"/>
        <v>0</v>
      </c>
      <c r="M353" s="16">
        <f t="shared" si="168"/>
        <v>0</v>
      </c>
      <c r="N353" s="16">
        <f t="shared" si="168"/>
        <v>0</v>
      </c>
      <c r="O353" s="15" t="s">
        <v>238</v>
      </c>
      <c r="P353" s="17" t="s">
        <v>29</v>
      </c>
      <c r="Q353" s="18" t="s">
        <v>938</v>
      </c>
    </row>
    <row r="354" spans="1:17" ht="135" x14ac:dyDescent="0.25">
      <c r="A354" s="19" t="s">
        <v>939</v>
      </c>
      <c r="B354" s="20" t="s">
        <v>940</v>
      </c>
      <c r="C354" s="21" t="s">
        <v>736</v>
      </c>
      <c r="D354" s="21" t="s">
        <v>737</v>
      </c>
      <c r="E354" s="22">
        <f t="shared" ref="E354:N354" si="169">E355+E357</f>
        <v>10300</v>
      </c>
      <c r="F354" s="22">
        <f t="shared" si="169"/>
        <v>10300</v>
      </c>
      <c r="G354" s="22">
        <f t="shared" si="169"/>
        <v>0</v>
      </c>
      <c r="H354" s="22">
        <f t="shared" si="169"/>
        <v>0</v>
      </c>
      <c r="I354" s="22">
        <f t="shared" si="169"/>
        <v>0</v>
      </c>
      <c r="J354" s="22">
        <f t="shared" si="169"/>
        <v>0</v>
      </c>
      <c r="K354" s="22">
        <f t="shared" si="169"/>
        <v>0</v>
      </c>
      <c r="L354" s="22">
        <f t="shared" si="169"/>
        <v>0</v>
      </c>
      <c r="M354" s="22">
        <f t="shared" si="169"/>
        <v>0</v>
      </c>
      <c r="N354" s="22">
        <f t="shared" si="169"/>
        <v>0</v>
      </c>
      <c r="O354" s="21" t="s">
        <v>941</v>
      </c>
      <c r="P354" s="23" t="s">
        <v>29</v>
      </c>
      <c r="Q354" s="24" t="s">
        <v>942</v>
      </c>
    </row>
    <row r="355" spans="1:17" ht="69.75" x14ac:dyDescent="0.25">
      <c r="A355" s="25" t="s">
        <v>943</v>
      </c>
      <c r="B355" s="26" t="s">
        <v>944</v>
      </c>
      <c r="C355" s="27" t="s">
        <v>736</v>
      </c>
      <c r="D355" s="27" t="s">
        <v>737</v>
      </c>
      <c r="E355" s="28">
        <f>SUM(E356:E356)+10000</f>
        <v>10000</v>
      </c>
      <c r="F355" s="28">
        <f>SUM(F356:F356)+10000</f>
        <v>10000</v>
      </c>
      <c r="G355" s="28">
        <f t="shared" ref="G355:N355" si="170">SUM(G356:G356)</f>
        <v>0</v>
      </c>
      <c r="H355" s="28">
        <f t="shared" si="170"/>
        <v>0</v>
      </c>
      <c r="I355" s="28">
        <f t="shared" si="170"/>
        <v>0</v>
      </c>
      <c r="J355" s="28">
        <f t="shared" si="170"/>
        <v>0</v>
      </c>
      <c r="K355" s="28">
        <f t="shared" si="170"/>
        <v>0</v>
      </c>
      <c r="L355" s="28">
        <f t="shared" si="170"/>
        <v>0</v>
      </c>
      <c r="M355" s="28">
        <f t="shared" si="170"/>
        <v>0</v>
      </c>
      <c r="N355" s="28">
        <f t="shared" si="170"/>
        <v>0</v>
      </c>
      <c r="O355" s="27" t="s">
        <v>945</v>
      </c>
      <c r="P355" s="29" t="s">
        <v>34</v>
      </c>
      <c r="Q355" s="30" t="s">
        <v>168</v>
      </c>
    </row>
    <row r="356" spans="1:17" ht="46.5" x14ac:dyDescent="0.25">
      <c r="A356" s="25" t="s">
        <v>946</v>
      </c>
      <c r="B356" s="26" t="s">
        <v>947</v>
      </c>
      <c r="C356" s="27"/>
      <c r="D356" s="27"/>
      <c r="E356" s="31">
        <v>0</v>
      </c>
      <c r="F356" s="31">
        <v>0</v>
      </c>
      <c r="G356" s="31">
        <v>0</v>
      </c>
      <c r="H356" s="31">
        <v>0</v>
      </c>
      <c r="I356" s="31">
        <v>0</v>
      </c>
      <c r="J356" s="31">
        <v>0</v>
      </c>
      <c r="K356" s="31">
        <v>0</v>
      </c>
      <c r="L356" s="31">
        <v>0</v>
      </c>
      <c r="M356" s="31">
        <v>0</v>
      </c>
      <c r="N356" s="31">
        <v>0</v>
      </c>
      <c r="O356" s="27"/>
      <c r="P356" s="29"/>
      <c r="Q356" s="30"/>
    </row>
    <row r="357" spans="1:17" ht="46.5" x14ac:dyDescent="0.25">
      <c r="A357" s="25" t="s">
        <v>948</v>
      </c>
      <c r="B357" s="26" t="s">
        <v>949</v>
      </c>
      <c r="C357" s="27" t="s">
        <v>736</v>
      </c>
      <c r="D357" s="27" t="s">
        <v>737</v>
      </c>
      <c r="E357" s="28">
        <f>SUM(E358:E358)+300</f>
        <v>300</v>
      </c>
      <c r="F357" s="28">
        <f>SUM(F358:F358)+300</f>
        <v>300</v>
      </c>
      <c r="G357" s="28">
        <f t="shared" ref="G357:N357" si="171">SUM(G358:G358)</f>
        <v>0</v>
      </c>
      <c r="H357" s="28">
        <f t="shared" si="171"/>
        <v>0</v>
      </c>
      <c r="I357" s="28">
        <f t="shared" si="171"/>
        <v>0</v>
      </c>
      <c r="J357" s="28">
        <f t="shared" si="171"/>
        <v>0</v>
      </c>
      <c r="K357" s="28">
        <f t="shared" si="171"/>
        <v>0</v>
      </c>
      <c r="L357" s="28">
        <f t="shared" si="171"/>
        <v>0</v>
      </c>
      <c r="M357" s="28">
        <f t="shared" si="171"/>
        <v>0</v>
      </c>
      <c r="N357" s="28">
        <f t="shared" si="171"/>
        <v>0</v>
      </c>
      <c r="O357" s="27" t="s">
        <v>950</v>
      </c>
      <c r="P357" s="29" t="s">
        <v>34</v>
      </c>
      <c r="Q357" s="30" t="s">
        <v>363</v>
      </c>
    </row>
    <row r="358" spans="1:17" ht="46.5" x14ac:dyDescent="0.25">
      <c r="A358" s="25" t="s">
        <v>951</v>
      </c>
      <c r="B358" s="26" t="s">
        <v>952</v>
      </c>
      <c r="C358" s="27"/>
      <c r="D358" s="27"/>
      <c r="E358" s="31">
        <v>0</v>
      </c>
      <c r="F358" s="31">
        <v>0</v>
      </c>
      <c r="G358" s="31">
        <v>0</v>
      </c>
      <c r="H358" s="31">
        <v>0</v>
      </c>
      <c r="I358" s="31">
        <v>0</v>
      </c>
      <c r="J358" s="31">
        <v>0</v>
      </c>
      <c r="K358" s="31">
        <v>0</v>
      </c>
      <c r="L358" s="31">
        <v>0</v>
      </c>
      <c r="M358" s="31">
        <v>0</v>
      </c>
      <c r="N358" s="31">
        <v>0</v>
      </c>
      <c r="O358" s="27"/>
      <c r="P358" s="29"/>
      <c r="Q358" s="30"/>
    </row>
    <row r="359" spans="1:17" ht="51.75" customHeight="1" x14ac:dyDescent="0.25">
      <c r="A359" s="7" t="s">
        <v>953</v>
      </c>
      <c r="B359" s="8" t="s">
        <v>954</v>
      </c>
      <c r="C359" s="9" t="s">
        <v>256</v>
      </c>
      <c r="D359" s="9" t="s">
        <v>955</v>
      </c>
      <c r="E359" s="10">
        <f t="shared" ref="E359:N359" si="172">E360+E444+E459+E510+E517</f>
        <v>7125810.5</v>
      </c>
      <c r="F359" s="10">
        <f t="shared" si="172"/>
        <v>4820670.22</v>
      </c>
      <c r="G359" s="10">
        <f t="shared" si="172"/>
        <v>18206.23</v>
      </c>
      <c r="H359" s="10">
        <f t="shared" si="172"/>
        <v>129634.05</v>
      </c>
      <c r="I359" s="10">
        <f t="shared" si="172"/>
        <v>321200</v>
      </c>
      <c r="J359" s="10">
        <f t="shared" si="172"/>
        <v>0</v>
      </c>
      <c r="K359" s="10">
        <f t="shared" si="172"/>
        <v>0</v>
      </c>
      <c r="L359" s="10">
        <f t="shared" si="172"/>
        <v>1836100</v>
      </c>
      <c r="M359" s="10">
        <f t="shared" si="172"/>
        <v>0</v>
      </c>
      <c r="N359" s="10">
        <f t="shared" si="172"/>
        <v>0</v>
      </c>
      <c r="O359" s="9"/>
      <c r="P359" s="11"/>
      <c r="Q359" s="12"/>
    </row>
    <row r="360" spans="1:17" ht="45" x14ac:dyDescent="0.25">
      <c r="A360" s="13" t="s">
        <v>956</v>
      </c>
      <c r="B360" s="14" t="s">
        <v>957</v>
      </c>
      <c r="C360" s="15" t="s">
        <v>256</v>
      </c>
      <c r="D360" s="15" t="s">
        <v>259</v>
      </c>
      <c r="E360" s="16">
        <f t="shared" ref="E360:N360" si="173">E361+E392+E427+E434+E437+E440</f>
        <v>2545454.0499999998</v>
      </c>
      <c r="F360" s="16">
        <f t="shared" si="173"/>
        <v>2415820</v>
      </c>
      <c r="G360" s="16">
        <f t="shared" si="173"/>
        <v>0</v>
      </c>
      <c r="H360" s="16">
        <f t="shared" si="173"/>
        <v>129634.05</v>
      </c>
      <c r="I360" s="16">
        <f t="shared" si="173"/>
        <v>0</v>
      </c>
      <c r="J360" s="16">
        <f t="shared" si="173"/>
        <v>0</v>
      </c>
      <c r="K360" s="16">
        <f t="shared" si="173"/>
        <v>0</v>
      </c>
      <c r="L360" s="16">
        <f t="shared" si="173"/>
        <v>0</v>
      </c>
      <c r="M360" s="16">
        <f t="shared" si="173"/>
        <v>0</v>
      </c>
      <c r="N360" s="16">
        <f t="shared" si="173"/>
        <v>0</v>
      </c>
      <c r="O360" s="15" t="s">
        <v>958</v>
      </c>
      <c r="P360" s="17" t="s">
        <v>29</v>
      </c>
      <c r="Q360" s="18" t="s">
        <v>61</v>
      </c>
    </row>
    <row r="361" spans="1:17" ht="67.5" x14ac:dyDescent="0.25">
      <c r="A361" s="19" t="s">
        <v>959</v>
      </c>
      <c r="B361" s="20" t="s">
        <v>960</v>
      </c>
      <c r="C361" s="21" t="s">
        <v>256</v>
      </c>
      <c r="D361" s="21" t="s">
        <v>259</v>
      </c>
      <c r="E361" s="22">
        <f t="shared" ref="E361:N361" si="174">E362+E364+E366+E368+E370+E372+E374+E376+E378+E380+E382+E384+E386+E388+E390</f>
        <v>129634.05</v>
      </c>
      <c r="F361" s="22">
        <f t="shared" si="174"/>
        <v>0</v>
      </c>
      <c r="G361" s="22">
        <f t="shared" si="174"/>
        <v>0</v>
      </c>
      <c r="H361" s="22">
        <f t="shared" si="174"/>
        <v>129634.05</v>
      </c>
      <c r="I361" s="22">
        <f t="shared" si="174"/>
        <v>0</v>
      </c>
      <c r="J361" s="22">
        <f t="shared" si="174"/>
        <v>0</v>
      </c>
      <c r="K361" s="22">
        <f t="shared" si="174"/>
        <v>0</v>
      </c>
      <c r="L361" s="22">
        <f t="shared" si="174"/>
        <v>0</v>
      </c>
      <c r="M361" s="22">
        <f t="shared" si="174"/>
        <v>0</v>
      </c>
      <c r="N361" s="22">
        <f t="shared" si="174"/>
        <v>0</v>
      </c>
      <c r="O361" s="21" t="s">
        <v>961</v>
      </c>
      <c r="P361" s="23" t="s">
        <v>34</v>
      </c>
      <c r="Q361" s="24" t="s">
        <v>166</v>
      </c>
    </row>
    <row r="362" spans="1:17" ht="93" x14ac:dyDescent="0.25">
      <c r="A362" s="25" t="s">
        <v>962</v>
      </c>
      <c r="B362" s="26" t="s">
        <v>963</v>
      </c>
      <c r="C362" s="27" t="s">
        <v>256</v>
      </c>
      <c r="D362" s="27" t="s">
        <v>955</v>
      </c>
      <c r="E362" s="28">
        <f>SUM(E363:E363)+34000</f>
        <v>34000</v>
      </c>
      <c r="F362" s="28">
        <f>SUM(F363:F363)</f>
        <v>0</v>
      </c>
      <c r="G362" s="28">
        <f>SUM(G363:G363)</f>
        <v>0</v>
      </c>
      <c r="H362" s="28">
        <f>SUM(H363:H363)+34000</f>
        <v>34000</v>
      </c>
      <c r="I362" s="28">
        <f t="shared" ref="I362:N362" si="175">SUM(I363:I363)</f>
        <v>0</v>
      </c>
      <c r="J362" s="28">
        <f t="shared" si="175"/>
        <v>0</v>
      </c>
      <c r="K362" s="28">
        <f t="shared" si="175"/>
        <v>0</v>
      </c>
      <c r="L362" s="28">
        <f t="shared" si="175"/>
        <v>0</v>
      </c>
      <c r="M362" s="28">
        <f t="shared" si="175"/>
        <v>0</v>
      </c>
      <c r="N362" s="28">
        <f t="shared" si="175"/>
        <v>0</v>
      </c>
      <c r="O362" s="27" t="s">
        <v>964</v>
      </c>
      <c r="P362" s="29" t="s">
        <v>34</v>
      </c>
      <c r="Q362" s="30" t="s">
        <v>200</v>
      </c>
    </row>
    <row r="363" spans="1:17" ht="69.75" x14ac:dyDescent="0.25">
      <c r="A363" s="25" t="s">
        <v>965</v>
      </c>
      <c r="B363" s="26" t="s">
        <v>966</v>
      </c>
      <c r="C363" s="27"/>
      <c r="D363" s="27"/>
      <c r="E363" s="31">
        <v>0</v>
      </c>
      <c r="F363" s="31">
        <v>0</v>
      </c>
      <c r="G363" s="31">
        <v>0</v>
      </c>
      <c r="H363" s="31">
        <v>0</v>
      </c>
      <c r="I363" s="31">
        <v>0</v>
      </c>
      <c r="J363" s="31">
        <v>0</v>
      </c>
      <c r="K363" s="31">
        <v>0</v>
      </c>
      <c r="L363" s="31">
        <v>0</v>
      </c>
      <c r="M363" s="31">
        <v>0</v>
      </c>
      <c r="N363" s="31">
        <v>0</v>
      </c>
      <c r="O363" s="27"/>
      <c r="P363" s="29"/>
      <c r="Q363" s="30"/>
    </row>
    <row r="364" spans="1:17" ht="93" x14ac:dyDescent="0.25">
      <c r="A364" s="25" t="s">
        <v>967</v>
      </c>
      <c r="B364" s="26" t="s">
        <v>968</v>
      </c>
      <c r="C364" s="27" t="s">
        <v>256</v>
      </c>
      <c r="D364" s="27" t="s">
        <v>955</v>
      </c>
      <c r="E364" s="28">
        <f>SUM(E365:E365)+3000</f>
        <v>3000</v>
      </c>
      <c r="F364" s="28">
        <f>SUM(F365:F365)</f>
        <v>0</v>
      </c>
      <c r="G364" s="28">
        <f>SUM(G365:G365)</f>
        <v>0</v>
      </c>
      <c r="H364" s="28">
        <f>SUM(H365:H365)+3000</f>
        <v>3000</v>
      </c>
      <c r="I364" s="28">
        <f t="shared" ref="I364:N364" si="176">SUM(I365:I365)</f>
        <v>0</v>
      </c>
      <c r="J364" s="28">
        <f t="shared" si="176"/>
        <v>0</v>
      </c>
      <c r="K364" s="28">
        <f t="shared" si="176"/>
        <v>0</v>
      </c>
      <c r="L364" s="28">
        <f t="shared" si="176"/>
        <v>0</v>
      </c>
      <c r="M364" s="28">
        <f t="shared" si="176"/>
        <v>0</v>
      </c>
      <c r="N364" s="28">
        <f t="shared" si="176"/>
        <v>0</v>
      </c>
      <c r="O364" s="27" t="s">
        <v>969</v>
      </c>
      <c r="P364" s="29" t="s">
        <v>34</v>
      </c>
      <c r="Q364" s="30" t="s">
        <v>184</v>
      </c>
    </row>
    <row r="365" spans="1:17" ht="93" x14ac:dyDescent="0.25">
      <c r="A365" s="25" t="s">
        <v>970</v>
      </c>
      <c r="B365" s="26" t="s">
        <v>971</v>
      </c>
      <c r="C365" s="27"/>
      <c r="D365" s="27"/>
      <c r="E365" s="31">
        <v>0</v>
      </c>
      <c r="F365" s="31">
        <v>0</v>
      </c>
      <c r="G365" s="31">
        <v>0</v>
      </c>
      <c r="H365" s="31">
        <v>0</v>
      </c>
      <c r="I365" s="31">
        <v>0</v>
      </c>
      <c r="J365" s="31">
        <v>0</v>
      </c>
      <c r="K365" s="31">
        <v>0</v>
      </c>
      <c r="L365" s="31">
        <v>0</v>
      </c>
      <c r="M365" s="31">
        <v>0</v>
      </c>
      <c r="N365" s="31">
        <v>0</v>
      </c>
      <c r="O365" s="27"/>
      <c r="P365" s="29"/>
      <c r="Q365" s="30"/>
    </row>
    <row r="366" spans="1:17" ht="93" x14ac:dyDescent="0.25">
      <c r="A366" s="25" t="s">
        <v>972</v>
      </c>
      <c r="B366" s="26" t="s">
        <v>973</v>
      </c>
      <c r="C366" s="27" t="s">
        <v>974</v>
      </c>
      <c r="D366" s="27" t="s">
        <v>975</v>
      </c>
      <c r="E366" s="28">
        <f>SUM(E367:E367)+25788</f>
        <v>25788</v>
      </c>
      <c r="F366" s="28">
        <f>SUM(F367:F367)</f>
        <v>0</v>
      </c>
      <c r="G366" s="28">
        <f>SUM(G367:G367)</f>
        <v>0</v>
      </c>
      <c r="H366" s="28">
        <f>SUM(H367:H367)+25788</f>
        <v>25788</v>
      </c>
      <c r="I366" s="28">
        <f t="shared" ref="I366:N366" si="177">SUM(I367:I367)</f>
        <v>0</v>
      </c>
      <c r="J366" s="28">
        <f t="shared" si="177"/>
        <v>0</v>
      </c>
      <c r="K366" s="28">
        <f t="shared" si="177"/>
        <v>0</v>
      </c>
      <c r="L366" s="28">
        <f t="shared" si="177"/>
        <v>0</v>
      </c>
      <c r="M366" s="28">
        <f t="shared" si="177"/>
        <v>0</v>
      </c>
      <c r="N366" s="28">
        <f t="shared" si="177"/>
        <v>0</v>
      </c>
      <c r="O366" s="27" t="s">
        <v>976</v>
      </c>
      <c r="P366" s="29" t="s">
        <v>34</v>
      </c>
      <c r="Q366" s="30" t="s">
        <v>184</v>
      </c>
    </row>
    <row r="367" spans="1:17" ht="46.5" x14ac:dyDescent="0.25">
      <c r="A367" s="25" t="s">
        <v>977</v>
      </c>
      <c r="B367" s="26" t="s">
        <v>978</v>
      </c>
      <c r="C367" s="27"/>
      <c r="D367" s="27"/>
      <c r="E367" s="31">
        <v>0</v>
      </c>
      <c r="F367" s="31">
        <v>0</v>
      </c>
      <c r="G367" s="31">
        <v>0</v>
      </c>
      <c r="H367" s="31">
        <v>0</v>
      </c>
      <c r="I367" s="31">
        <v>0</v>
      </c>
      <c r="J367" s="31">
        <v>0</v>
      </c>
      <c r="K367" s="31">
        <v>0</v>
      </c>
      <c r="L367" s="31">
        <v>0</v>
      </c>
      <c r="M367" s="31">
        <v>0</v>
      </c>
      <c r="N367" s="31">
        <v>0</v>
      </c>
      <c r="O367" s="27"/>
      <c r="P367" s="29"/>
      <c r="Q367" s="30"/>
    </row>
    <row r="368" spans="1:17" ht="116.25" x14ac:dyDescent="0.25">
      <c r="A368" s="25" t="s">
        <v>979</v>
      </c>
      <c r="B368" s="26" t="s">
        <v>980</v>
      </c>
      <c r="C368" s="27" t="s">
        <v>256</v>
      </c>
      <c r="D368" s="27" t="s">
        <v>955</v>
      </c>
      <c r="E368" s="28">
        <f>SUM(E369:E369)+3000</f>
        <v>3000</v>
      </c>
      <c r="F368" s="28">
        <f>SUM(F369:F369)</f>
        <v>0</v>
      </c>
      <c r="G368" s="28">
        <f>SUM(G369:G369)</f>
        <v>0</v>
      </c>
      <c r="H368" s="28">
        <f>SUM(H369:H369)+3000</f>
        <v>3000</v>
      </c>
      <c r="I368" s="28">
        <f t="shared" ref="I368:N368" si="178">SUM(I369:I369)</f>
        <v>0</v>
      </c>
      <c r="J368" s="28">
        <f t="shared" si="178"/>
        <v>0</v>
      </c>
      <c r="K368" s="28">
        <f t="shared" si="178"/>
        <v>0</v>
      </c>
      <c r="L368" s="28">
        <f t="shared" si="178"/>
        <v>0</v>
      </c>
      <c r="M368" s="28">
        <f t="shared" si="178"/>
        <v>0</v>
      </c>
      <c r="N368" s="28">
        <f t="shared" si="178"/>
        <v>0</v>
      </c>
      <c r="O368" s="27" t="s">
        <v>981</v>
      </c>
      <c r="P368" s="29" t="s">
        <v>982</v>
      </c>
      <c r="Q368" s="30" t="s">
        <v>160</v>
      </c>
    </row>
    <row r="369" spans="1:17" ht="69.75" x14ac:dyDescent="0.25">
      <c r="A369" s="25" t="s">
        <v>983</v>
      </c>
      <c r="B369" s="26" t="s">
        <v>984</v>
      </c>
      <c r="C369" s="27"/>
      <c r="D369" s="27"/>
      <c r="E369" s="31">
        <v>0</v>
      </c>
      <c r="F369" s="31">
        <v>0</v>
      </c>
      <c r="G369" s="31">
        <v>0</v>
      </c>
      <c r="H369" s="31">
        <v>0</v>
      </c>
      <c r="I369" s="31">
        <v>0</v>
      </c>
      <c r="J369" s="31">
        <v>0</v>
      </c>
      <c r="K369" s="31">
        <v>0</v>
      </c>
      <c r="L369" s="31">
        <v>0</v>
      </c>
      <c r="M369" s="31">
        <v>0</v>
      </c>
      <c r="N369" s="31">
        <v>0</v>
      </c>
      <c r="O369" s="27"/>
      <c r="P369" s="29"/>
      <c r="Q369" s="30"/>
    </row>
    <row r="370" spans="1:17" ht="69.75" x14ac:dyDescent="0.25">
      <c r="A370" s="25" t="s">
        <v>985</v>
      </c>
      <c r="B370" s="26" t="s">
        <v>986</v>
      </c>
      <c r="C370" s="27" t="s">
        <v>256</v>
      </c>
      <c r="D370" s="27" t="s">
        <v>955</v>
      </c>
      <c r="E370" s="28">
        <f>SUM(E371:E371)+12200</f>
        <v>12200</v>
      </c>
      <c r="F370" s="28">
        <f>SUM(F371:F371)</f>
        <v>0</v>
      </c>
      <c r="G370" s="28">
        <f>SUM(G371:G371)</f>
        <v>0</v>
      </c>
      <c r="H370" s="28">
        <f>SUM(H371:H371)+12200</f>
        <v>12200</v>
      </c>
      <c r="I370" s="28">
        <f t="shared" ref="I370:N370" si="179">SUM(I371:I371)</f>
        <v>0</v>
      </c>
      <c r="J370" s="28">
        <f t="shared" si="179"/>
        <v>0</v>
      </c>
      <c r="K370" s="28">
        <f t="shared" si="179"/>
        <v>0</v>
      </c>
      <c r="L370" s="28">
        <f t="shared" si="179"/>
        <v>0</v>
      </c>
      <c r="M370" s="28">
        <f t="shared" si="179"/>
        <v>0</v>
      </c>
      <c r="N370" s="28">
        <f t="shared" si="179"/>
        <v>0</v>
      </c>
      <c r="O370" s="27" t="s">
        <v>987</v>
      </c>
      <c r="P370" s="29" t="s">
        <v>34</v>
      </c>
      <c r="Q370" s="30" t="s">
        <v>75</v>
      </c>
    </row>
    <row r="371" spans="1:17" ht="46.5" x14ac:dyDescent="0.25">
      <c r="A371" s="25" t="s">
        <v>988</v>
      </c>
      <c r="B371" s="26" t="s">
        <v>989</v>
      </c>
      <c r="C371" s="27"/>
      <c r="D371" s="27"/>
      <c r="E371" s="31">
        <v>0</v>
      </c>
      <c r="F371" s="31">
        <v>0</v>
      </c>
      <c r="G371" s="31">
        <v>0</v>
      </c>
      <c r="H371" s="31">
        <v>0</v>
      </c>
      <c r="I371" s="31">
        <v>0</v>
      </c>
      <c r="J371" s="31">
        <v>0</v>
      </c>
      <c r="K371" s="31">
        <v>0</v>
      </c>
      <c r="L371" s="31">
        <v>0</v>
      </c>
      <c r="M371" s="31">
        <v>0</v>
      </c>
      <c r="N371" s="31">
        <v>0</v>
      </c>
      <c r="O371" s="27"/>
      <c r="P371" s="29"/>
      <c r="Q371" s="30"/>
    </row>
    <row r="372" spans="1:17" ht="69.75" x14ac:dyDescent="0.25">
      <c r="A372" s="25" t="s">
        <v>990</v>
      </c>
      <c r="B372" s="26" t="s">
        <v>991</v>
      </c>
      <c r="C372" s="27" t="s">
        <v>256</v>
      </c>
      <c r="D372" s="27" t="s">
        <v>955</v>
      </c>
      <c r="E372" s="28">
        <f>SUM(E373:E373)+1500</f>
        <v>1500</v>
      </c>
      <c r="F372" s="28">
        <f>SUM(F373:F373)</f>
        <v>0</v>
      </c>
      <c r="G372" s="28">
        <f>SUM(G373:G373)</f>
        <v>0</v>
      </c>
      <c r="H372" s="28">
        <f>SUM(H373:H373)+1500</f>
        <v>1500</v>
      </c>
      <c r="I372" s="28">
        <f t="shared" ref="I372:N372" si="180">SUM(I373:I373)</f>
        <v>0</v>
      </c>
      <c r="J372" s="28">
        <f t="shared" si="180"/>
        <v>0</v>
      </c>
      <c r="K372" s="28">
        <f t="shared" si="180"/>
        <v>0</v>
      </c>
      <c r="L372" s="28">
        <f t="shared" si="180"/>
        <v>0</v>
      </c>
      <c r="M372" s="28">
        <f t="shared" si="180"/>
        <v>0</v>
      </c>
      <c r="N372" s="28">
        <f t="shared" si="180"/>
        <v>0</v>
      </c>
      <c r="O372" s="27" t="s">
        <v>992</v>
      </c>
      <c r="P372" s="29" t="s">
        <v>34</v>
      </c>
      <c r="Q372" s="30" t="s">
        <v>35</v>
      </c>
    </row>
    <row r="373" spans="1:17" ht="46.5" x14ac:dyDescent="0.25">
      <c r="A373" s="25" t="s">
        <v>993</v>
      </c>
      <c r="B373" s="26" t="s">
        <v>994</v>
      </c>
      <c r="C373" s="27"/>
      <c r="D373" s="27"/>
      <c r="E373" s="31">
        <v>0</v>
      </c>
      <c r="F373" s="31">
        <v>0</v>
      </c>
      <c r="G373" s="31">
        <v>0</v>
      </c>
      <c r="H373" s="31">
        <v>0</v>
      </c>
      <c r="I373" s="31">
        <v>0</v>
      </c>
      <c r="J373" s="31">
        <v>0</v>
      </c>
      <c r="K373" s="31">
        <v>0</v>
      </c>
      <c r="L373" s="31">
        <v>0</v>
      </c>
      <c r="M373" s="31">
        <v>0</v>
      </c>
      <c r="N373" s="31">
        <v>0</v>
      </c>
      <c r="O373" s="27"/>
      <c r="P373" s="29"/>
      <c r="Q373" s="30"/>
    </row>
    <row r="374" spans="1:17" ht="93" x14ac:dyDescent="0.25">
      <c r="A374" s="25" t="s">
        <v>995</v>
      </c>
      <c r="B374" s="26" t="s">
        <v>996</v>
      </c>
      <c r="C374" s="27" t="s">
        <v>256</v>
      </c>
      <c r="D374" s="27" t="s">
        <v>955</v>
      </c>
      <c r="E374" s="28">
        <f>SUM(E375:E375)+3500</f>
        <v>3500</v>
      </c>
      <c r="F374" s="28">
        <f>SUM(F375:F375)</f>
        <v>0</v>
      </c>
      <c r="G374" s="28">
        <f>SUM(G375:G375)</f>
        <v>0</v>
      </c>
      <c r="H374" s="28">
        <f>SUM(H375:H375)+3500</f>
        <v>3500</v>
      </c>
      <c r="I374" s="28">
        <f t="shared" ref="I374:N374" si="181">SUM(I375:I375)</f>
        <v>0</v>
      </c>
      <c r="J374" s="28">
        <f t="shared" si="181"/>
        <v>0</v>
      </c>
      <c r="K374" s="28">
        <f t="shared" si="181"/>
        <v>0</v>
      </c>
      <c r="L374" s="28">
        <f t="shared" si="181"/>
        <v>0</v>
      </c>
      <c r="M374" s="28">
        <f t="shared" si="181"/>
        <v>0</v>
      </c>
      <c r="N374" s="28">
        <f t="shared" si="181"/>
        <v>0</v>
      </c>
      <c r="O374" s="27" t="s">
        <v>997</v>
      </c>
      <c r="P374" s="29" t="s">
        <v>34</v>
      </c>
      <c r="Q374" s="30" t="s">
        <v>160</v>
      </c>
    </row>
    <row r="375" spans="1:17" ht="93" x14ac:dyDescent="0.25">
      <c r="A375" s="25" t="s">
        <v>998</v>
      </c>
      <c r="B375" s="26" t="s">
        <v>999</v>
      </c>
      <c r="C375" s="27"/>
      <c r="D375" s="27"/>
      <c r="E375" s="31">
        <v>0</v>
      </c>
      <c r="F375" s="31">
        <v>0</v>
      </c>
      <c r="G375" s="31">
        <v>0</v>
      </c>
      <c r="H375" s="31">
        <v>0</v>
      </c>
      <c r="I375" s="31">
        <v>0</v>
      </c>
      <c r="J375" s="31">
        <v>0</v>
      </c>
      <c r="K375" s="31">
        <v>0</v>
      </c>
      <c r="L375" s="31">
        <v>0</v>
      </c>
      <c r="M375" s="31">
        <v>0</v>
      </c>
      <c r="N375" s="31">
        <v>0</v>
      </c>
      <c r="O375" s="27"/>
      <c r="P375" s="29"/>
      <c r="Q375" s="30"/>
    </row>
    <row r="376" spans="1:17" ht="69.75" x14ac:dyDescent="0.25">
      <c r="A376" s="25" t="s">
        <v>1000</v>
      </c>
      <c r="B376" s="26" t="s">
        <v>1001</v>
      </c>
      <c r="C376" s="27" t="s">
        <v>256</v>
      </c>
      <c r="D376" s="27" t="s">
        <v>955</v>
      </c>
      <c r="E376" s="28">
        <f>SUM(E377:E377)+7000</f>
        <v>7000</v>
      </c>
      <c r="F376" s="28">
        <f>SUM(F377:F377)</f>
        <v>0</v>
      </c>
      <c r="G376" s="28">
        <f>SUM(G377:G377)</f>
        <v>0</v>
      </c>
      <c r="H376" s="28">
        <f>SUM(H377:H377)+7000</f>
        <v>7000</v>
      </c>
      <c r="I376" s="28">
        <f t="shared" ref="I376:N376" si="182">SUM(I377:I377)</f>
        <v>0</v>
      </c>
      <c r="J376" s="28">
        <f t="shared" si="182"/>
        <v>0</v>
      </c>
      <c r="K376" s="28">
        <f t="shared" si="182"/>
        <v>0</v>
      </c>
      <c r="L376" s="28">
        <f t="shared" si="182"/>
        <v>0</v>
      </c>
      <c r="M376" s="28">
        <f t="shared" si="182"/>
        <v>0</v>
      </c>
      <c r="N376" s="28">
        <f t="shared" si="182"/>
        <v>0</v>
      </c>
      <c r="O376" s="27" t="s">
        <v>1002</v>
      </c>
      <c r="P376" s="29" t="s">
        <v>34</v>
      </c>
      <c r="Q376" s="30" t="s">
        <v>363</v>
      </c>
    </row>
    <row r="377" spans="1:17" ht="93" x14ac:dyDescent="0.25">
      <c r="A377" s="25" t="s">
        <v>1003</v>
      </c>
      <c r="B377" s="26" t="s">
        <v>1004</v>
      </c>
      <c r="C377" s="27"/>
      <c r="D377" s="27"/>
      <c r="E377" s="31">
        <v>0</v>
      </c>
      <c r="F377" s="31">
        <v>0</v>
      </c>
      <c r="G377" s="31">
        <v>0</v>
      </c>
      <c r="H377" s="31">
        <v>0</v>
      </c>
      <c r="I377" s="31">
        <v>0</v>
      </c>
      <c r="J377" s="31">
        <v>0</v>
      </c>
      <c r="K377" s="31">
        <v>0</v>
      </c>
      <c r="L377" s="31">
        <v>0</v>
      </c>
      <c r="M377" s="31">
        <v>0</v>
      </c>
      <c r="N377" s="31">
        <v>0</v>
      </c>
      <c r="O377" s="27"/>
      <c r="P377" s="29"/>
      <c r="Q377" s="30"/>
    </row>
    <row r="378" spans="1:17" ht="69.75" x14ac:dyDescent="0.25">
      <c r="A378" s="25" t="s">
        <v>1005</v>
      </c>
      <c r="B378" s="26" t="s">
        <v>1006</v>
      </c>
      <c r="C378" s="27" t="s">
        <v>256</v>
      </c>
      <c r="D378" s="27" t="s">
        <v>955</v>
      </c>
      <c r="E378" s="28">
        <f>SUM(E379:E379)+1000</f>
        <v>1000</v>
      </c>
      <c r="F378" s="28">
        <f>SUM(F379:F379)</f>
        <v>0</v>
      </c>
      <c r="G378" s="28">
        <f>SUM(G379:G379)</f>
        <v>0</v>
      </c>
      <c r="H378" s="28">
        <f>SUM(H379:H379)+1000</f>
        <v>1000</v>
      </c>
      <c r="I378" s="28">
        <f t="shared" ref="I378:N378" si="183">SUM(I379:I379)</f>
        <v>0</v>
      </c>
      <c r="J378" s="28">
        <f t="shared" si="183"/>
        <v>0</v>
      </c>
      <c r="K378" s="28">
        <f t="shared" si="183"/>
        <v>0</v>
      </c>
      <c r="L378" s="28">
        <f t="shared" si="183"/>
        <v>0</v>
      </c>
      <c r="M378" s="28">
        <f t="shared" si="183"/>
        <v>0</v>
      </c>
      <c r="N378" s="28">
        <f t="shared" si="183"/>
        <v>0</v>
      </c>
      <c r="O378" s="27" t="s">
        <v>1007</v>
      </c>
      <c r="P378" s="29" t="s">
        <v>34</v>
      </c>
      <c r="Q378" s="30" t="s">
        <v>75</v>
      </c>
    </row>
    <row r="379" spans="1:17" ht="69.75" x14ac:dyDescent="0.25">
      <c r="A379" s="25" t="s">
        <v>1008</v>
      </c>
      <c r="B379" s="26" t="s">
        <v>1009</v>
      </c>
      <c r="C379" s="27"/>
      <c r="D379" s="27"/>
      <c r="E379" s="31">
        <v>0</v>
      </c>
      <c r="F379" s="31">
        <v>0</v>
      </c>
      <c r="G379" s="31">
        <v>0</v>
      </c>
      <c r="H379" s="31">
        <v>0</v>
      </c>
      <c r="I379" s="31">
        <v>0</v>
      </c>
      <c r="J379" s="31">
        <v>0</v>
      </c>
      <c r="K379" s="31">
        <v>0</v>
      </c>
      <c r="L379" s="31">
        <v>0</v>
      </c>
      <c r="M379" s="31">
        <v>0</v>
      </c>
      <c r="N379" s="31">
        <v>0</v>
      </c>
      <c r="O379" s="27"/>
      <c r="P379" s="29"/>
      <c r="Q379" s="30"/>
    </row>
    <row r="380" spans="1:17" ht="69.75" x14ac:dyDescent="0.25">
      <c r="A380" s="25" t="s">
        <v>1010</v>
      </c>
      <c r="B380" s="26" t="s">
        <v>1011</v>
      </c>
      <c r="C380" s="27" t="s">
        <v>256</v>
      </c>
      <c r="D380" s="27" t="s">
        <v>955</v>
      </c>
      <c r="E380" s="28">
        <f>SUM(E381:E381)+4000</f>
        <v>4000</v>
      </c>
      <c r="F380" s="28">
        <f>SUM(F381:F381)</f>
        <v>0</v>
      </c>
      <c r="G380" s="28">
        <f>SUM(G381:G381)</f>
        <v>0</v>
      </c>
      <c r="H380" s="28">
        <f>SUM(H381:H381)+4000</f>
        <v>4000</v>
      </c>
      <c r="I380" s="28">
        <f t="shared" ref="I380:N380" si="184">SUM(I381:I381)</f>
        <v>0</v>
      </c>
      <c r="J380" s="28">
        <f t="shared" si="184"/>
        <v>0</v>
      </c>
      <c r="K380" s="28">
        <f t="shared" si="184"/>
        <v>0</v>
      </c>
      <c r="L380" s="28">
        <f t="shared" si="184"/>
        <v>0</v>
      </c>
      <c r="M380" s="28">
        <f t="shared" si="184"/>
        <v>0</v>
      </c>
      <c r="N380" s="28">
        <f t="shared" si="184"/>
        <v>0</v>
      </c>
      <c r="O380" s="27" t="s">
        <v>1012</v>
      </c>
      <c r="P380" s="29" t="s">
        <v>34</v>
      </c>
      <c r="Q380" s="30" t="s">
        <v>184</v>
      </c>
    </row>
    <row r="381" spans="1:17" ht="69.75" x14ac:dyDescent="0.25">
      <c r="A381" s="25" t="s">
        <v>1013</v>
      </c>
      <c r="B381" s="26" t="s">
        <v>1014</v>
      </c>
      <c r="C381" s="27"/>
      <c r="D381" s="27"/>
      <c r="E381" s="31">
        <v>0</v>
      </c>
      <c r="F381" s="31">
        <v>0</v>
      </c>
      <c r="G381" s="31">
        <v>0</v>
      </c>
      <c r="H381" s="31">
        <v>0</v>
      </c>
      <c r="I381" s="31">
        <v>0</v>
      </c>
      <c r="J381" s="31">
        <v>0</v>
      </c>
      <c r="K381" s="31">
        <v>0</v>
      </c>
      <c r="L381" s="31">
        <v>0</v>
      </c>
      <c r="M381" s="31">
        <v>0</v>
      </c>
      <c r="N381" s="31">
        <v>0</v>
      </c>
      <c r="O381" s="27"/>
      <c r="P381" s="29"/>
      <c r="Q381" s="30"/>
    </row>
    <row r="382" spans="1:17" ht="139.5" x14ac:dyDescent="0.25">
      <c r="A382" s="25" t="s">
        <v>1015</v>
      </c>
      <c r="B382" s="26" t="s">
        <v>1016</v>
      </c>
      <c r="C382" s="27" t="s">
        <v>256</v>
      </c>
      <c r="D382" s="27" t="s">
        <v>955</v>
      </c>
      <c r="E382" s="28">
        <f>SUM(E383:E383)+2000</f>
        <v>2000</v>
      </c>
      <c r="F382" s="28">
        <f>SUM(F383:F383)</f>
        <v>0</v>
      </c>
      <c r="G382" s="28">
        <f>SUM(G383:G383)</f>
        <v>0</v>
      </c>
      <c r="H382" s="28">
        <f>SUM(H383:H383)+2000</f>
        <v>2000</v>
      </c>
      <c r="I382" s="28">
        <f t="shared" ref="I382:N382" si="185">SUM(I383:I383)</f>
        <v>0</v>
      </c>
      <c r="J382" s="28">
        <f t="shared" si="185"/>
        <v>0</v>
      </c>
      <c r="K382" s="28">
        <f t="shared" si="185"/>
        <v>0</v>
      </c>
      <c r="L382" s="28">
        <f t="shared" si="185"/>
        <v>0</v>
      </c>
      <c r="M382" s="28">
        <f t="shared" si="185"/>
        <v>0</v>
      </c>
      <c r="N382" s="28">
        <f t="shared" si="185"/>
        <v>0</v>
      </c>
      <c r="O382" s="27" t="s">
        <v>654</v>
      </c>
      <c r="P382" s="29" t="s">
        <v>34</v>
      </c>
      <c r="Q382" s="30" t="s">
        <v>75</v>
      </c>
    </row>
    <row r="383" spans="1:17" ht="46.5" x14ac:dyDescent="0.25">
      <c r="A383" s="25" t="s">
        <v>1017</v>
      </c>
      <c r="B383" s="26" t="s">
        <v>1018</v>
      </c>
      <c r="C383" s="27"/>
      <c r="D383" s="27"/>
      <c r="E383" s="31">
        <v>0</v>
      </c>
      <c r="F383" s="31">
        <v>0</v>
      </c>
      <c r="G383" s="31">
        <v>0</v>
      </c>
      <c r="H383" s="31">
        <v>0</v>
      </c>
      <c r="I383" s="31">
        <v>0</v>
      </c>
      <c r="J383" s="31">
        <v>0</v>
      </c>
      <c r="K383" s="31">
        <v>0</v>
      </c>
      <c r="L383" s="31">
        <v>0</v>
      </c>
      <c r="M383" s="31">
        <v>0</v>
      </c>
      <c r="N383" s="31">
        <v>0</v>
      </c>
      <c r="O383" s="27"/>
      <c r="P383" s="29"/>
      <c r="Q383" s="30"/>
    </row>
    <row r="384" spans="1:17" ht="46.5" x14ac:dyDescent="0.25">
      <c r="A384" s="25" t="s">
        <v>1019</v>
      </c>
      <c r="B384" s="26" t="s">
        <v>1020</v>
      </c>
      <c r="C384" s="27" t="s">
        <v>256</v>
      </c>
      <c r="D384" s="27" t="s">
        <v>955</v>
      </c>
      <c r="E384" s="28">
        <f>SUM(E385:E385)+15646.05</f>
        <v>15646.05</v>
      </c>
      <c r="F384" s="28">
        <f>SUM(F385:F385)</f>
        <v>0</v>
      </c>
      <c r="G384" s="28">
        <f>SUM(G385:G385)</f>
        <v>0</v>
      </c>
      <c r="H384" s="28">
        <f>SUM(H385:H385)+15646.05</f>
        <v>15646.05</v>
      </c>
      <c r="I384" s="28">
        <f t="shared" ref="I384:N384" si="186">SUM(I385:I385)</f>
        <v>0</v>
      </c>
      <c r="J384" s="28">
        <f t="shared" si="186"/>
        <v>0</v>
      </c>
      <c r="K384" s="28">
        <f t="shared" si="186"/>
        <v>0</v>
      </c>
      <c r="L384" s="28">
        <f t="shared" si="186"/>
        <v>0</v>
      </c>
      <c r="M384" s="28">
        <f t="shared" si="186"/>
        <v>0</v>
      </c>
      <c r="N384" s="28">
        <f t="shared" si="186"/>
        <v>0</v>
      </c>
      <c r="O384" s="27" t="s">
        <v>1021</v>
      </c>
      <c r="P384" s="29" t="s">
        <v>34</v>
      </c>
      <c r="Q384" s="30" t="s">
        <v>45</v>
      </c>
    </row>
    <row r="385" spans="1:17" ht="69.75" x14ac:dyDescent="0.25">
      <c r="A385" s="25" t="s">
        <v>1022</v>
      </c>
      <c r="B385" s="26" t="s">
        <v>1023</v>
      </c>
      <c r="C385" s="27"/>
      <c r="D385" s="27"/>
      <c r="E385" s="31">
        <v>0</v>
      </c>
      <c r="F385" s="31">
        <v>0</v>
      </c>
      <c r="G385" s="31">
        <v>0</v>
      </c>
      <c r="H385" s="31">
        <v>0</v>
      </c>
      <c r="I385" s="31">
        <v>0</v>
      </c>
      <c r="J385" s="31">
        <v>0</v>
      </c>
      <c r="K385" s="31">
        <v>0</v>
      </c>
      <c r="L385" s="31">
        <v>0</v>
      </c>
      <c r="M385" s="31">
        <v>0</v>
      </c>
      <c r="N385" s="31">
        <v>0</v>
      </c>
      <c r="O385" s="27"/>
      <c r="P385" s="29"/>
      <c r="Q385" s="30"/>
    </row>
    <row r="386" spans="1:17" ht="69.75" x14ac:dyDescent="0.25">
      <c r="A386" s="25" t="s">
        <v>1024</v>
      </c>
      <c r="B386" s="26" t="s">
        <v>1025</v>
      </c>
      <c r="C386" s="27" t="s">
        <v>256</v>
      </c>
      <c r="D386" s="27" t="s">
        <v>955</v>
      </c>
      <c r="E386" s="28">
        <f>SUM(E387:E387)+15000</f>
        <v>15000</v>
      </c>
      <c r="F386" s="28">
        <f>SUM(F387:F387)</f>
        <v>0</v>
      </c>
      <c r="G386" s="28">
        <f>SUM(G387:G387)</f>
        <v>0</v>
      </c>
      <c r="H386" s="28">
        <f>SUM(H387:H387)+15000</f>
        <v>15000</v>
      </c>
      <c r="I386" s="28">
        <f t="shared" ref="I386:N386" si="187">SUM(I387:I387)</f>
        <v>0</v>
      </c>
      <c r="J386" s="28">
        <f t="shared" si="187"/>
        <v>0</v>
      </c>
      <c r="K386" s="28">
        <f t="shared" si="187"/>
        <v>0</v>
      </c>
      <c r="L386" s="28">
        <f t="shared" si="187"/>
        <v>0</v>
      </c>
      <c r="M386" s="28">
        <f t="shared" si="187"/>
        <v>0</v>
      </c>
      <c r="N386" s="28">
        <f t="shared" si="187"/>
        <v>0</v>
      </c>
      <c r="O386" s="27" t="s">
        <v>1026</v>
      </c>
      <c r="P386" s="29" t="s">
        <v>34</v>
      </c>
      <c r="Q386" s="30" t="s">
        <v>45</v>
      </c>
    </row>
    <row r="387" spans="1:17" ht="69.75" x14ac:dyDescent="0.25">
      <c r="A387" s="25" t="s">
        <v>1027</v>
      </c>
      <c r="B387" s="26" t="s">
        <v>1028</v>
      </c>
      <c r="C387" s="27"/>
      <c r="D387" s="27"/>
      <c r="E387" s="31">
        <v>0</v>
      </c>
      <c r="F387" s="31">
        <v>0</v>
      </c>
      <c r="G387" s="31">
        <v>0</v>
      </c>
      <c r="H387" s="31">
        <v>0</v>
      </c>
      <c r="I387" s="31">
        <v>0</v>
      </c>
      <c r="J387" s="31">
        <v>0</v>
      </c>
      <c r="K387" s="31">
        <v>0</v>
      </c>
      <c r="L387" s="31">
        <v>0</v>
      </c>
      <c r="M387" s="31">
        <v>0</v>
      </c>
      <c r="N387" s="31">
        <v>0</v>
      </c>
      <c r="O387" s="27"/>
      <c r="P387" s="29"/>
      <c r="Q387" s="30"/>
    </row>
    <row r="388" spans="1:17" ht="69.75" x14ac:dyDescent="0.25">
      <c r="A388" s="25" t="s">
        <v>1029</v>
      </c>
      <c r="B388" s="26" t="s">
        <v>1030</v>
      </c>
      <c r="C388" s="27" t="s">
        <v>256</v>
      </c>
      <c r="D388" s="27" t="s">
        <v>955</v>
      </c>
      <c r="E388" s="28">
        <f>SUM(E389:E389)+1000</f>
        <v>1000</v>
      </c>
      <c r="F388" s="28">
        <f>SUM(F389:F389)</f>
        <v>0</v>
      </c>
      <c r="G388" s="28">
        <f>SUM(G389:G389)</f>
        <v>0</v>
      </c>
      <c r="H388" s="28">
        <f>SUM(H389:H389)+1000</f>
        <v>1000</v>
      </c>
      <c r="I388" s="28">
        <f t="shared" ref="I388:N388" si="188">SUM(I389:I389)</f>
        <v>0</v>
      </c>
      <c r="J388" s="28">
        <f t="shared" si="188"/>
        <v>0</v>
      </c>
      <c r="K388" s="28">
        <f t="shared" si="188"/>
        <v>0</v>
      </c>
      <c r="L388" s="28">
        <f t="shared" si="188"/>
        <v>0</v>
      </c>
      <c r="M388" s="28">
        <f t="shared" si="188"/>
        <v>0</v>
      </c>
      <c r="N388" s="28">
        <f t="shared" si="188"/>
        <v>0</v>
      </c>
      <c r="O388" s="27" t="s">
        <v>1031</v>
      </c>
      <c r="P388" s="29" t="s">
        <v>34</v>
      </c>
      <c r="Q388" s="30" t="s">
        <v>75</v>
      </c>
    </row>
    <row r="389" spans="1:17" ht="46.5" x14ac:dyDescent="0.25">
      <c r="A389" s="25" t="s">
        <v>1032</v>
      </c>
      <c r="B389" s="26" t="s">
        <v>1033</v>
      </c>
      <c r="C389" s="27"/>
      <c r="D389" s="27"/>
      <c r="E389" s="31">
        <v>0</v>
      </c>
      <c r="F389" s="31">
        <v>0</v>
      </c>
      <c r="G389" s="31">
        <v>0</v>
      </c>
      <c r="H389" s="31">
        <v>0</v>
      </c>
      <c r="I389" s="31">
        <v>0</v>
      </c>
      <c r="J389" s="31">
        <v>0</v>
      </c>
      <c r="K389" s="31">
        <v>0</v>
      </c>
      <c r="L389" s="31">
        <v>0</v>
      </c>
      <c r="M389" s="31">
        <v>0</v>
      </c>
      <c r="N389" s="31">
        <v>0</v>
      </c>
      <c r="O389" s="27"/>
      <c r="P389" s="29"/>
      <c r="Q389" s="30"/>
    </row>
    <row r="390" spans="1:17" ht="93" x14ac:dyDescent="0.25">
      <c r="A390" s="25" t="s">
        <v>1034</v>
      </c>
      <c r="B390" s="26" t="s">
        <v>1035</v>
      </c>
      <c r="C390" s="27" t="s">
        <v>256</v>
      </c>
      <c r="D390" s="27" t="s">
        <v>955</v>
      </c>
      <c r="E390" s="28">
        <f>SUM(E391:E391)+1000</f>
        <v>1000</v>
      </c>
      <c r="F390" s="28">
        <f>SUM(F391:F391)</f>
        <v>0</v>
      </c>
      <c r="G390" s="28">
        <f>SUM(G391:G391)</f>
        <v>0</v>
      </c>
      <c r="H390" s="28">
        <f>SUM(H391:H391)+1000</f>
        <v>1000</v>
      </c>
      <c r="I390" s="28">
        <f t="shared" ref="I390:N390" si="189">SUM(I391:I391)</f>
        <v>0</v>
      </c>
      <c r="J390" s="28">
        <f t="shared" si="189"/>
        <v>0</v>
      </c>
      <c r="K390" s="28">
        <f t="shared" si="189"/>
        <v>0</v>
      </c>
      <c r="L390" s="28">
        <f t="shared" si="189"/>
        <v>0</v>
      </c>
      <c r="M390" s="28">
        <f t="shared" si="189"/>
        <v>0</v>
      </c>
      <c r="N390" s="28">
        <f t="shared" si="189"/>
        <v>0</v>
      </c>
      <c r="O390" s="27" t="s">
        <v>1036</v>
      </c>
      <c r="P390" s="29" t="s">
        <v>34</v>
      </c>
      <c r="Q390" s="30" t="s">
        <v>75</v>
      </c>
    </row>
    <row r="391" spans="1:17" ht="93" x14ac:dyDescent="0.25">
      <c r="A391" s="25" t="s">
        <v>1037</v>
      </c>
      <c r="B391" s="26" t="s">
        <v>1038</v>
      </c>
      <c r="C391" s="27"/>
      <c r="D391" s="27"/>
      <c r="E391" s="31">
        <v>0</v>
      </c>
      <c r="F391" s="31">
        <v>0</v>
      </c>
      <c r="G391" s="31">
        <v>0</v>
      </c>
      <c r="H391" s="31">
        <v>0</v>
      </c>
      <c r="I391" s="31">
        <v>0</v>
      </c>
      <c r="J391" s="31">
        <v>0</v>
      </c>
      <c r="K391" s="31">
        <v>0</v>
      </c>
      <c r="L391" s="31">
        <v>0</v>
      </c>
      <c r="M391" s="31">
        <v>0</v>
      </c>
      <c r="N391" s="31">
        <v>0</v>
      </c>
      <c r="O391" s="27"/>
      <c r="P391" s="29"/>
      <c r="Q391" s="30"/>
    </row>
    <row r="392" spans="1:17" ht="135" x14ac:dyDescent="0.25">
      <c r="A392" s="19" t="s">
        <v>1039</v>
      </c>
      <c r="B392" s="20" t="s">
        <v>1040</v>
      </c>
      <c r="C392" s="21" t="s">
        <v>256</v>
      </c>
      <c r="D392" s="21" t="s">
        <v>259</v>
      </c>
      <c r="E392" s="22">
        <f t="shared" ref="E392:N392" si="190">E393+E395+E397+E399+E401+E403+E405+E407+E409+E411+E413+E415+E417+E419+E421+E423+E425</f>
        <v>2259820</v>
      </c>
      <c r="F392" s="22">
        <f t="shared" si="190"/>
        <v>2259820</v>
      </c>
      <c r="G392" s="22">
        <f t="shared" si="190"/>
        <v>0</v>
      </c>
      <c r="H392" s="22">
        <f t="shared" si="190"/>
        <v>0</v>
      </c>
      <c r="I392" s="22">
        <f t="shared" si="190"/>
        <v>0</v>
      </c>
      <c r="J392" s="22">
        <f t="shared" si="190"/>
        <v>0</v>
      </c>
      <c r="K392" s="22">
        <f t="shared" si="190"/>
        <v>0</v>
      </c>
      <c r="L392" s="22">
        <f t="shared" si="190"/>
        <v>0</v>
      </c>
      <c r="M392" s="22">
        <f t="shared" si="190"/>
        <v>0</v>
      </c>
      <c r="N392" s="22">
        <f t="shared" si="190"/>
        <v>0</v>
      </c>
      <c r="O392" s="21" t="s">
        <v>263</v>
      </c>
      <c r="P392" s="23" t="s">
        <v>34</v>
      </c>
      <c r="Q392" s="24" t="s">
        <v>75</v>
      </c>
    </row>
    <row r="393" spans="1:17" ht="69.75" x14ac:dyDescent="0.25">
      <c r="A393" s="25" t="s">
        <v>1041</v>
      </c>
      <c r="B393" s="26" t="s">
        <v>1042</v>
      </c>
      <c r="C393" s="27" t="s">
        <v>256</v>
      </c>
      <c r="D393" s="27" t="s">
        <v>955</v>
      </c>
      <c r="E393" s="28">
        <f>SUM(E394:E394)+5000</f>
        <v>5000</v>
      </c>
      <c r="F393" s="28">
        <f>SUM(F394:F394)+5000</f>
        <v>5000</v>
      </c>
      <c r="G393" s="28">
        <f t="shared" ref="G393:N393" si="191">SUM(G394:G394)</f>
        <v>0</v>
      </c>
      <c r="H393" s="28">
        <f t="shared" si="191"/>
        <v>0</v>
      </c>
      <c r="I393" s="28">
        <f t="shared" si="191"/>
        <v>0</v>
      </c>
      <c r="J393" s="28">
        <f t="shared" si="191"/>
        <v>0</v>
      </c>
      <c r="K393" s="28">
        <f t="shared" si="191"/>
        <v>0</v>
      </c>
      <c r="L393" s="28">
        <f t="shared" si="191"/>
        <v>0</v>
      </c>
      <c r="M393" s="28">
        <f t="shared" si="191"/>
        <v>0</v>
      </c>
      <c r="N393" s="28">
        <f t="shared" si="191"/>
        <v>0</v>
      </c>
      <c r="O393" s="27" t="s">
        <v>1043</v>
      </c>
      <c r="P393" s="29" t="s">
        <v>34</v>
      </c>
      <c r="Q393" s="30" t="s">
        <v>200</v>
      </c>
    </row>
    <row r="394" spans="1:17" ht="139.5" x14ac:dyDescent="0.25">
      <c r="A394" s="25" t="s">
        <v>1044</v>
      </c>
      <c r="B394" s="26" t="s">
        <v>1045</v>
      </c>
      <c r="C394" s="27"/>
      <c r="D394" s="27"/>
      <c r="E394" s="31">
        <v>0</v>
      </c>
      <c r="F394" s="31">
        <v>0</v>
      </c>
      <c r="G394" s="31">
        <v>0</v>
      </c>
      <c r="H394" s="31">
        <v>0</v>
      </c>
      <c r="I394" s="31">
        <v>0</v>
      </c>
      <c r="J394" s="31">
        <v>0</v>
      </c>
      <c r="K394" s="31">
        <v>0</v>
      </c>
      <c r="L394" s="31">
        <v>0</v>
      </c>
      <c r="M394" s="31">
        <v>0</v>
      </c>
      <c r="N394" s="31">
        <v>0</v>
      </c>
      <c r="O394" s="27"/>
      <c r="P394" s="29"/>
      <c r="Q394" s="30"/>
    </row>
    <row r="395" spans="1:17" ht="69.75" x14ac:dyDescent="0.25">
      <c r="A395" s="25" t="s">
        <v>1046</v>
      </c>
      <c r="B395" s="26" t="s">
        <v>1047</v>
      </c>
      <c r="C395" s="27" t="s">
        <v>256</v>
      </c>
      <c r="D395" s="27" t="s">
        <v>955</v>
      </c>
      <c r="E395" s="28">
        <f>SUM(E396:E396)+2000</f>
        <v>2000</v>
      </c>
      <c r="F395" s="28">
        <f>SUM(F396:F396)+2000</f>
        <v>2000</v>
      </c>
      <c r="G395" s="28">
        <f t="shared" ref="G395:N395" si="192">SUM(G396:G396)</f>
        <v>0</v>
      </c>
      <c r="H395" s="28">
        <f t="shared" si="192"/>
        <v>0</v>
      </c>
      <c r="I395" s="28">
        <f t="shared" si="192"/>
        <v>0</v>
      </c>
      <c r="J395" s="28">
        <f t="shared" si="192"/>
        <v>0</v>
      </c>
      <c r="K395" s="28">
        <f t="shared" si="192"/>
        <v>0</v>
      </c>
      <c r="L395" s="28">
        <f t="shared" si="192"/>
        <v>0</v>
      </c>
      <c r="M395" s="28">
        <f t="shared" si="192"/>
        <v>0</v>
      </c>
      <c r="N395" s="28">
        <f t="shared" si="192"/>
        <v>0</v>
      </c>
      <c r="O395" s="27" t="s">
        <v>1036</v>
      </c>
      <c r="P395" s="29" t="s">
        <v>34</v>
      </c>
      <c r="Q395" s="30" t="s">
        <v>75</v>
      </c>
    </row>
    <row r="396" spans="1:17" ht="93" x14ac:dyDescent="0.25">
      <c r="A396" s="25" t="s">
        <v>1048</v>
      </c>
      <c r="B396" s="26" t="s">
        <v>1049</v>
      </c>
      <c r="C396" s="27"/>
      <c r="D396" s="27"/>
      <c r="E396" s="31">
        <v>0</v>
      </c>
      <c r="F396" s="31">
        <v>0</v>
      </c>
      <c r="G396" s="31">
        <v>0</v>
      </c>
      <c r="H396" s="31">
        <v>0</v>
      </c>
      <c r="I396" s="31">
        <v>0</v>
      </c>
      <c r="J396" s="31">
        <v>0</v>
      </c>
      <c r="K396" s="31">
        <v>0</v>
      </c>
      <c r="L396" s="31">
        <v>0</v>
      </c>
      <c r="M396" s="31">
        <v>0</v>
      </c>
      <c r="N396" s="31">
        <v>0</v>
      </c>
      <c r="O396" s="27"/>
      <c r="P396" s="29"/>
      <c r="Q396" s="30"/>
    </row>
    <row r="397" spans="1:17" ht="46.5" x14ac:dyDescent="0.25">
      <c r="A397" s="25" t="s">
        <v>1050</v>
      </c>
      <c r="B397" s="26" t="s">
        <v>1051</v>
      </c>
      <c r="C397" s="27" t="s">
        <v>745</v>
      </c>
      <c r="D397" s="27" t="s">
        <v>746</v>
      </c>
      <c r="E397" s="28">
        <f>SUM(E398:E398)+78340</f>
        <v>78340</v>
      </c>
      <c r="F397" s="28">
        <f>SUM(F398:F398)+78340</f>
        <v>78340</v>
      </c>
      <c r="G397" s="28">
        <f t="shared" ref="G397:N397" si="193">SUM(G398:G398)</f>
        <v>0</v>
      </c>
      <c r="H397" s="28">
        <f t="shared" si="193"/>
        <v>0</v>
      </c>
      <c r="I397" s="28">
        <f t="shared" si="193"/>
        <v>0</v>
      </c>
      <c r="J397" s="28">
        <f t="shared" si="193"/>
        <v>0</v>
      </c>
      <c r="K397" s="28">
        <f t="shared" si="193"/>
        <v>0</v>
      </c>
      <c r="L397" s="28">
        <f t="shared" si="193"/>
        <v>0</v>
      </c>
      <c r="M397" s="28">
        <f t="shared" si="193"/>
        <v>0</v>
      </c>
      <c r="N397" s="28">
        <f t="shared" si="193"/>
        <v>0</v>
      </c>
      <c r="O397" s="27" t="s">
        <v>1052</v>
      </c>
      <c r="P397" s="29" t="s">
        <v>1053</v>
      </c>
      <c r="Q397" s="30" t="s">
        <v>93</v>
      </c>
    </row>
    <row r="398" spans="1:17" ht="69.75" x14ac:dyDescent="0.25">
      <c r="A398" s="25" t="s">
        <v>1054</v>
      </c>
      <c r="B398" s="26" t="s">
        <v>1055</v>
      </c>
      <c r="C398" s="27"/>
      <c r="D398" s="27"/>
      <c r="E398" s="31">
        <v>0</v>
      </c>
      <c r="F398" s="31">
        <v>0</v>
      </c>
      <c r="G398" s="31">
        <v>0</v>
      </c>
      <c r="H398" s="31">
        <v>0</v>
      </c>
      <c r="I398" s="31">
        <v>0</v>
      </c>
      <c r="J398" s="31">
        <v>0</v>
      </c>
      <c r="K398" s="31">
        <v>0</v>
      </c>
      <c r="L398" s="31">
        <v>0</v>
      </c>
      <c r="M398" s="31">
        <v>0</v>
      </c>
      <c r="N398" s="31">
        <v>0</v>
      </c>
      <c r="O398" s="27"/>
      <c r="P398" s="29"/>
      <c r="Q398" s="30"/>
    </row>
    <row r="399" spans="1:17" ht="46.5" x14ac:dyDescent="0.25">
      <c r="A399" s="25" t="s">
        <v>1056</v>
      </c>
      <c r="B399" s="26" t="s">
        <v>1057</v>
      </c>
      <c r="C399" s="27" t="s">
        <v>754</v>
      </c>
      <c r="D399" s="27" t="s">
        <v>755</v>
      </c>
      <c r="E399" s="28">
        <f>SUM(E400:E400)+158070</f>
        <v>158070</v>
      </c>
      <c r="F399" s="28">
        <f>SUM(F400:F400)+158070</f>
        <v>158070</v>
      </c>
      <c r="G399" s="28">
        <f t="shared" ref="G399:N399" si="194">SUM(G400:G400)</f>
        <v>0</v>
      </c>
      <c r="H399" s="28">
        <f t="shared" si="194"/>
        <v>0</v>
      </c>
      <c r="I399" s="28">
        <f t="shared" si="194"/>
        <v>0</v>
      </c>
      <c r="J399" s="28">
        <f t="shared" si="194"/>
        <v>0</v>
      </c>
      <c r="K399" s="28">
        <f t="shared" si="194"/>
        <v>0</v>
      </c>
      <c r="L399" s="28">
        <f t="shared" si="194"/>
        <v>0</v>
      </c>
      <c r="M399" s="28">
        <f t="shared" si="194"/>
        <v>0</v>
      </c>
      <c r="N399" s="28">
        <f t="shared" si="194"/>
        <v>0</v>
      </c>
      <c r="O399" s="27" t="s">
        <v>1052</v>
      </c>
      <c r="P399" s="29" t="s">
        <v>1053</v>
      </c>
      <c r="Q399" s="30" t="s">
        <v>1058</v>
      </c>
    </row>
    <row r="400" spans="1:17" ht="69.75" x14ac:dyDescent="0.25">
      <c r="A400" s="25" t="s">
        <v>1059</v>
      </c>
      <c r="B400" s="26" t="s">
        <v>1060</v>
      </c>
      <c r="C400" s="27"/>
      <c r="D400" s="27"/>
      <c r="E400" s="31">
        <v>0</v>
      </c>
      <c r="F400" s="31">
        <v>0</v>
      </c>
      <c r="G400" s="31">
        <v>0</v>
      </c>
      <c r="H400" s="31">
        <v>0</v>
      </c>
      <c r="I400" s="31">
        <v>0</v>
      </c>
      <c r="J400" s="31">
        <v>0</v>
      </c>
      <c r="K400" s="31">
        <v>0</v>
      </c>
      <c r="L400" s="31">
        <v>0</v>
      </c>
      <c r="M400" s="31">
        <v>0</v>
      </c>
      <c r="N400" s="31">
        <v>0</v>
      </c>
      <c r="O400" s="27"/>
      <c r="P400" s="29"/>
      <c r="Q400" s="30"/>
    </row>
    <row r="401" spans="1:17" ht="46.5" x14ac:dyDescent="0.25">
      <c r="A401" s="25" t="s">
        <v>1061</v>
      </c>
      <c r="B401" s="26" t="s">
        <v>1062</v>
      </c>
      <c r="C401" s="27" t="s">
        <v>85</v>
      </c>
      <c r="D401" s="27" t="s">
        <v>760</v>
      </c>
      <c r="E401" s="28">
        <f>SUM(E402:E402)+122310</f>
        <v>122310</v>
      </c>
      <c r="F401" s="28">
        <f>SUM(F402:F402)+122310</f>
        <v>122310</v>
      </c>
      <c r="G401" s="28">
        <f t="shared" ref="G401:N401" si="195">SUM(G402:G402)</f>
        <v>0</v>
      </c>
      <c r="H401" s="28">
        <f t="shared" si="195"/>
        <v>0</v>
      </c>
      <c r="I401" s="28">
        <f t="shared" si="195"/>
        <v>0</v>
      </c>
      <c r="J401" s="28">
        <f t="shared" si="195"/>
        <v>0</v>
      </c>
      <c r="K401" s="28">
        <f t="shared" si="195"/>
        <v>0</v>
      </c>
      <c r="L401" s="28">
        <f t="shared" si="195"/>
        <v>0</v>
      </c>
      <c r="M401" s="28">
        <f t="shared" si="195"/>
        <v>0</v>
      </c>
      <c r="N401" s="28">
        <f t="shared" si="195"/>
        <v>0</v>
      </c>
      <c r="O401" s="27" t="s">
        <v>1052</v>
      </c>
      <c r="P401" s="29" t="s">
        <v>1053</v>
      </c>
      <c r="Q401" s="30" t="s">
        <v>168</v>
      </c>
    </row>
    <row r="402" spans="1:17" ht="69.75" x14ac:dyDescent="0.25">
      <c r="A402" s="25" t="s">
        <v>1063</v>
      </c>
      <c r="B402" s="26" t="s">
        <v>1064</v>
      </c>
      <c r="C402" s="27"/>
      <c r="D402" s="27"/>
      <c r="E402" s="31">
        <v>0</v>
      </c>
      <c r="F402" s="31">
        <v>0</v>
      </c>
      <c r="G402" s="31">
        <v>0</v>
      </c>
      <c r="H402" s="31">
        <v>0</v>
      </c>
      <c r="I402" s="31">
        <v>0</v>
      </c>
      <c r="J402" s="31">
        <v>0</v>
      </c>
      <c r="K402" s="31">
        <v>0</v>
      </c>
      <c r="L402" s="31">
        <v>0</v>
      </c>
      <c r="M402" s="31">
        <v>0</v>
      </c>
      <c r="N402" s="31">
        <v>0</v>
      </c>
      <c r="O402" s="27"/>
      <c r="P402" s="29"/>
      <c r="Q402" s="30"/>
    </row>
    <row r="403" spans="1:17" ht="46.5" x14ac:dyDescent="0.25">
      <c r="A403" s="25" t="s">
        <v>1065</v>
      </c>
      <c r="B403" s="26" t="s">
        <v>1066</v>
      </c>
      <c r="C403" s="27" t="s">
        <v>765</v>
      </c>
      <c r="D403" s="27" t="s">
        <v>766</v>
      </c>
      <c r="E403" s="28">
        <f>SUM(E404:E404)+121190</f>
        <v>121190</v>
      </c>
      <c r="F403" s="28">
        <f>SUM(F404:F404)+121190</f>
        <v>121190</v>
      </c>
      <c r="G403" s="28">
        <f t="shared" ref="G403:N403" si="196">SUM(G404:G404)</f>
        <v>0</v>
      </c>
      <c r="H403" s="28">
        <f t="shared" si="196"/>
        <v>0</v>
      </c>
      <c r="I403" s="28">
        <f t="shared" si="196"/>
        <v>0</v>
      </c>
      <c r="J403" s="28">
        <f t="shared" si="196"/>
        <v>0</v>
      </c>
      <c r="K403" s="28">
        <f t="shared" si="196"/>
        <v>0</v>
      </c>
      <c r="L403" s="28">
        <f t="shared" si="196"/>
        <v>0</v>
      </c>
      <c r="M403" s="28">
        <f t="shared" si="196"/>
        <v>0</v>
      </c>
      <c r="N403" s="28">
        <f t="shared" si="196"/>
        <v>0</v>
      </c>
      <c r="O403" s="27" t="s">
        <v>1052</v>
      </c>
      <c r="P403" s="29" t="s">
        <v>1053</v>
      </c>
      <c r="Q403" s="30" t="s">
        <v>1067</v>
      </c>
    </row>
    <row r="404" spans="1:17" ht="69.75" x14ac:dyDescent="0.25">
      <c r="A404" s="25" t="s">
        <v>1068</v>
      </c>
      <c r="B404" s="26" t="s">
        <v>1069</v>
      </c>
      <c r="C404" s="27"/>
      <c r="D404" s="27"/>
      <c r="E404" s="31">
        <v>0</v>
      </c>
      <c r="F404" s="31">
        <v>0</v>
      </c>
      <c r="G404" s="31">
        <v>0</v>
      </c>
      <c r="H404" s="31">
        <v>0</v>
      </c>
      <c r="I404" s="31">
        <v>0</v>
      </c>
      <c r="J404" s="31">
        <v>0</v>
      </c>
      <c r="K404" s="31">
        <v>0</v>
      </c>
      <c r="L404" s="31">
        <v>0</v>
      </c>
      <c r="M404" s="31">
        <v>0</v>
      </c>
      <c r="N404" s="31">
        <v>0</v>
      </c>
      <c r="O404" s="27"/>
      <c r="P404" s="29"/>
      <c r="Q404" s="30"/>
    </row>
    <row r="405" spans="1:17" ht="46.5" x14ac:dyDescent="0.25">
      <c r="A405" s="25" t="s">
        <v>1070</v>
      </c>
      <c r="B405" s="26" t="s">
        <v>1071</v>
      </c>
      <c r="C405" s="27" t="s">
        <v>92</v>
      </c>
      <c r="D405" s="27" t="s">
        <v>771</v>
      </c>
      <c r="E405" s="28">
        <f>SUM(E406:E406)+130630</f>
        <v>130630</v>
      </c>
      <c r="F405" s="28">
        <f>SUM(F406:F406)+130630</f>
        <v>130630</v>
      </c>
      <c r="G405" s="28">
        <f t="shared" ref="G405:N405" si="197">SUM(G406:G406)</f>
        <v>0</v>
      </c>
      <c r="H405" s="28">
        <f t="shared" si="197"/>
        <v>0</v>
      </c>
      <c r="I405" s="28">
        <f t="shared" si="197"/>
        <v>0</v>
      </c>
      <c r="J405" s="28">
        <f t="shared" si="197"/>
        <v>0</v>
      </c>
      <c r="K405" s="28">
        <f t="shared" si="197"/>
        <v>0</v>
      </c>
      <c r="L405" s="28">
        <f t="shared" si="197"/>
        <v>0</v>
      </c>
      <c r="M405" s="28">
        <f t="shared" si="197"/>
        <v>0</v>
      </c>
      <c r="N405" s="28">
        <f t="shared" si="197"/>
        <v>0</v>
      </c>
      <c r="O405" s="27" t="s">
        <v>1052</v>
      </c>
      <c r="P405" s="29" t="s">
        <v>1053</v>
      </c>
      <c r="Q405" s="30" t="s">
        <v>1072</v>
      </c>
    </row>
    <row r="406" spans="1:17" ht="69.75" x14ac:dyDescent="0.25">
      <c r="A406" s="25" t="s">
        <v>1073</v>
      </c>
      <c r="B406" s="26" t="s">
        <v>1074</v>
      </c>
      <c r="C406" s="27"/>
      <c r="D406" s="27"/>
      <c r="E406" s="31">
        <v>0</v>
      </c>
      <c r="F406" s="31">
        <v>0</v>
      </c>
      <c r="G406" s="31">
        <v>0</v>
      </c>
      <c r="H406" s="31">
        <v>0</v>
      </c>
      <c r="I406" s="31">
        <v>0</v>
      </c>
      <c r="J406" s="31">
        <v>0</v>
      </c>
      <c r="K406" s="31">
        <v>0</v>
      </c>
      <c r="L406" s="31">
        <v>0</v>
      </c>
      <c r="M406" s="31">
        <v>0</v>
      </c>
      <c r="N406" s="31">
        <v>0</v>
      </c>
      <c r="O406" s="27"/>
      <c r="P406" s="29"/>
      <c r="Q406" s="30"/>
    </row>
    <row r="407" spans="1:17" ht="46.5" x14ac:dyDescent="0.25">
      <c r="A407" s="25" t="s">
        <v>1075</v>
      </c>
      <c r="B407" s="26" t="s">
        <v>1076</v>
      </c>
      <c r="C407" s="27" t="s">
        <v>97</v>
      </c>
      <c r="D407" s="27" t="s">
        <v>776</v>
      </c>
      <c r="E407" s="28">
        <f>SUM(E408:E408)+223090</f>
        <v>223090</v>
      </c>
      <c r="F407" s="28">
        <f>SUM(F408:F408)+223090</f>
        <v>223090</v>
      </c>
      <c r="G407" s="28">
        <f t="shared" ref="G407:N407" si="198">SUM(G408:G408)</f>
        <v>0</v>
      </c>
      <c r="H407" s="28">
        <f t="shared" si="198"/>
        <v>0</v>
      </c>
      <c r="I407" s="28">
        <f t="shared" si="198"/>
        <v>0</v>
      </c>
      <c r="J407" s="28">
        <f t="shared" si="198"/>
        <v>0</v>
      </c>
      <c r="K407" s="28">
        <f t="shared" si="198"/>
        <v>0</v>
      </c>
      <c r="L407" s="28">
        <f t="shared" si="198"/>
        <v>0</v>
      </c>
      <c r="M407" s="28">
        <f t="shared" si="198"/>
        <v>0</v>
      </c>
      <c r="N407" s="28">
        <f t="shared" si="198"/>
        <v>0</v>
      </c>
      <c r="O407" s="27" t="s">
        <v>1052</v>
      </c>
      <c r="P407" s="29" t="s">
        <v>1053</v>
      </c>
      <c r="Q407" s="30" t="s">
        <v>1077</v>
      </c>
    </row>
    <row r="408" spans="1:17" ht="69.75" x14ac:dyDescent="0.25">
      <c r="A408" s="25" t="s">
        <v>1078</v>
      </c>
      <c r="B408" s="26" t="s">
        <v>1079</v>
      </c>
      <c r="C408" s="27"/>
      <c r="D408" s="27"/>
      <c r="E408" s="31">
        <v>0</v>
      </c>
      <c r="F408" s="31">
        <v>0</v>
      </c>
      <c r="G408" s="31">
        <v>0</v>
      </c>
      <c r="H408" s="31">
        <v>0</v>
      </c>
      <c r="I408" s="31">
        <v>0</v>
      </c>
      <c r="J408" s="31">
        <v>0</v>
      </c>
      <c r="K408" s="31">
        <v>0</v>
      </c>
      <c r="L408" s="31">
        <v>0</v>
      </c>
      <c r="M408" s="31">
        <v>0</v>
      </c>
      <c r="N408" s="31">
        <v>0</v>
      </c>
      <c r="O408" s="27"/>
      <c r="P408" s="29"/>
      <c r="Q408" s="30"/>
    </row>
    <row r="409" spans="1:17" ht="46.5" x14ac:dyDescent="0.25">
      <c r="A409" s="25" t="s">
        <v>1080</v>
      </c>
      <c r="B409" s="26" t="s">
        <v>1081</v>
      </c>
      <c r="C409" s="27" t="s">
        <v>102</v>
      </c>
      <c r="D409" s="27" t="s">
        <v>781</v>
      </c>
      <c r="E409" s="28">
        <f>SUM(E410:E410)+133870</f>
        <v>133870</v>
      </c>
      <c r="F409" s="28">
        <f>SUM(F410:F410)+133870</f>
        <v>133870</v>
      </c>
      <c r="G409" s="28">
        <f t="shared" ref="G409:N409" si="199">SUM(G410:G410)</f>
        <v>0</v>
      </c>
      <c r="H409" s="28">
        <f t="shared" si="199"/>
        <v>0</v>
      </c>
      <c r="I409" s="28">
        <f t="shared" si="199"/>
        <v>0</v>
      </c>
      <c r="J409" s="28">
        <f t="shared" si="199"/>
        <v>0</v>
      </c>
      <c r="K409" s="28">
        <f t="shared" si="199"/>
        <v>0</v>
      </c>
      <c r="L409" s="28">
        <f t="shared" si="199"/>
        <v>0</v>
      </c>
      <c r="M409" s="28">
        <f t="shared" si="199"/>
        <v>0</v>
      </c>
      <c r="N409" s="28">
        <f t="shared" si="199"/>
        <v>0</v>
      </c>
      <c r="O409" s="27" t="s">
        <v>1052</v>
      </c>
      <c r="P409" s="29" t="s">
        <v>1053</v>
      </c>
      <c r="Q409" s="30" t="s">
        <v>1082</v>
      </c>
    </row>
    <row r="410" spans="1:17" ht="69.75" x14ac:dyDescent="0.25">
      <c r="A410" s="25" t="s">
        <v>1083</v>
      </c>
      <c r="B410" s="26" t="s">
        <v>1084</v>
      </c>
      <c r="C410" s="27"/>
      <c r="D410" s="27"/>
      <c r="E410" s="31">
        <v>0</v>
      </c>
      <c r="F410" s="31">
        <v>0</v>
      </c>
      <c r="G410" s="31">
        <v>0</v>
      </c>
      <c r="H410" s="31">
        <v>0</v>
      </c>
      <c r="I410" s="31">
        <v>0</v>
      </c>
      <c r="J410" s="31">
        <v>0</v>
      </c>
      <c r="K410" s="31">
        <v>0</v>
      </c>
      <c r="L410" s="31">
        <v>0</v>
      </c>
      <c r="M410" s="31">
        <v>0</v>
      </c>
      <c r="N410" s="31">
        <v>0</v>
      </c>
      <c r="O410" s="27"/>
      <c r="P410" s="29"/>
      <c r="Q410" s="30"/>
    </row>
    <row r="411" spans="1:17" ht="46.5" x14ac:dyDescent="0.25">
      <c r="A411" s="25" t="s">
        <v>1085</v>
      </c>
      <c r="B411" s="26" t="s">
        <v>1086</v>
      </c>
      <c r="C411" s="27" t="s">
        <v>786</v>
      </c>
      <c r="D411" s="27" t="s">
        <v>787</v>
      </c>
      <c r="E411" s="28">
        <f>SUM(E412:E412)+171500</f>
        <v>171500</v>
      </c>
      <c r="F411" s="28">
        <f>SUM(F412:F412)+171500</f>
        <v>171500</v>
      </c>
      <c r="G411" s="28">
        <f t="shared" ref="G411:N411" si="200">SUM(G412:G412)</f>
        <v>0</v>
      </c>
      <c r="H411" s="28">
        <f t="shared" si="200"/>
        <v>0</v>
      </c>
      <c r="I411" s="28">
        <f t="shared" si="200"/>
        <v>0</v>
      </c>
      <c r="J411" s="28">
        <f t="shared" si="200"/>
        <v>0</v>
      </c>
      <c r="K411" s="28">
        <f t="shared" si="200"/>
        <v>0</v>
      </c>
      <c r="L411" s="28">
        <f t="shared" si="200"/>
        <v>0</v>
      </c>
      <c r="M411" s="28">
        <f t="shared" si="200"/>
        <v>0</v>
      </c>
      <c r="N411" s="28">
        <f t="shared" si="200"/>
        <v>0</v>
      </c>
      <c r="O411" s="27" t="s">
        <v>1052</v>
      </c>
      <c r="P411" s="29" t="s">
        <v>1053</v>
      </c>
      <c r="Q411" s="30" t="s">
        <v>1087</v>
      </c>
    </row>
    <row r="412" spans="1:17" ht="69.75" x14ac:dyDescent="0.25">
      <c r="A412" s="25" t="s">
        <v>1088</v>
      </c>
      <c r="B412" s="26" t="s">
        <v>1089</v>
      </c>
      <c r="C412" s="27"/>
      <c r="D412" s="27"/>
      <c r="E412" s="31">
        <v>0</v>
      </c>
      <c r="F412" s="31">
        <v>0</v>
      </c>
      <c r="G412" s="31">
        <v>0</v>
      </c>
      <c r="H412" s="31">
        <v>0</v>
      </c>
      <c r="I412" s="31">
        <v>0</v>
      </c>
      <c r="J412" s="31">
        <v>0</v>
      </c>
      <c r="K412" s="31">
        <v>0</v>
      </c>
      <c r="L412" s="31">
        <v>0</v>
      </c>
      <c r="M412" s="31">
        <v>0</v>
      </c>
      <c r="N412" s="31">
        <v>0</v>
      </c>
      <c r="O412" s="27"/>
      <c r="P412" s="29"/>
      <c r="Q412" s="30"/>
    </row>
    <row r="413" spans="1:17" ht="46.5" x14ac:dyDescent="0.25">
      <c r="A413" s="25" t="s">
        <v>1090</v>
      </c>
      <c r="B413" s="26" t="s">
        <v>1091</v>
      </c>
      <c r="C413" s="27" t="s">
        <v>792</v>
      </c>
      <c r="D413" s="27" t="s">
        <v>793</v>
      </c>
      <c r="E413" s="28">
        <f>SUM(E414:E414)+114540</f>
        <v>114540</v>
      </c>
      <c r="F413" s="28">
        <f>SUM(F414:F414)+114540</f>
        <v>114540</v>
      </c>
      <c r="G413" s="28">
        <f t="shared" ref="G413:N413" si="201">SUM(G414:G414)</f>
        <v>0</v>
      </c>
      <c r="H413" s="28">
        <f t="shared" si="201"/>
        <v>0</v>
      </c>
      <c r="I413" s="28">
        <f t="shared" si="201"/>
        <v>0</v>
      </c>
      <c r="J413" s="28">
        <f t="shared" si="201"/>
        <v>0</v>
      </c>
      <c r="K413" s="28">
        <f t="shared" si="201"/>
        <v>0</v>
      </c>
      <c r="L413" s="28">
        <f t="shared" si="201"/>
        <v>0</v>
      </c>
      <c r="M413" s="28">
        <f t="shared" si="201"/>
        <v>0</v>
      </c>
      <c r="N413" s="28">
        <f t="shared" si="201"/>
        <v>0</v>
      </c>
      <c r="O413" s="27" t="s">
        <v>1052</v>
      </c>
      <c r="P413" s="29" t="s">
        <v>1053</v>
      </c>
      <c r="Q413" s="30" t="s">
        <v>1092</v>
      </c>
    </row>
    <row r="414" spans="1:17" ht="69.75" x14ac:dyDescent="0.25">
      <c r="A414" s="25" t="s">
        <v>1093</v>
      </c>
      <c r="B414" s="26" t="s">
        <v>1094</v>
      </c>
      <c r="C414" s="27"/>
      <c r="D414" s="27"/>
      <c r="E414" s="31">
        <v>0</v>
      </c>
      <c r="F414" s="31">
        <v>0</v>
      </c>
      <c r="G414" s="31">
        <v>0</v>
      </c>
      <c r="H414" s="31">
        <v>0</v>
      </c>
      <c r="I414" s="31">
        <v>0</v>
      </c>
      <c r="J414" s="31">
        <v>0</v>
      </c>
      <c r="K414" s="31">
        <v>0</v>
      </c>
      <c r="L414" s="31">
        <v>0</v>
      </c>
      <c r="M414" s="31">
        <v>0</v>
      </c>
      <c r="N414" s="31">
        <v>0</v>
      </c>
      <c r="O414" s="27"/>
      <c r="P414" s="29"/>
      <c r="Q414" s="30"/>
    </row>
    <row r="415" spans="1:17" ht="46.5" x14ac:dyDescent="0.25">
      <c r="A415" s="25" t="s">
        <v>1095</v>
      </c>
      <c r="B415" s="26" t="s">
        <v>1096</v>
      </c>
      <c r="C415" s="27" t="s">
        <v>798</v>
      </c>
      <c r="D415" s="27" t="s">
        <v>799</v>
      </c>
      <c r="E415" s="28">
        <f>SUM(E416:E416)+112820</f>
        <v>112820</v>
      </c>
      <c r="F415" s="28">
        <f>SUM(F416:F416)+112820</f>
        <v>112820</v>
      </c>
      <c r="G415" s="28">
        <f t="shared" ref="G415:N415" si="202">SUM(G416:G416)</f>
        <v>0</v>
      </c>
      <c r="H415" s="28">
        <f t="shared" si="202"/>
        <v>0</v>
      </c>
      <c r="I415" s="28">
        <f t="shared" si="202"/>
        <v>0</v>
      </c>
      <c r="J415" s="28">
        <f t="shared" si="202"/>
        <v>0</v>
      </c>
      <c r="K415" s="28">
        <f t="shared" si="202"/>
        <v>0</v>
      </c>
      <c r="L415" s="28">
        <f t="shared" si="202"/>
        <v>0</v>
      </c>
      <c r="M415" s="28">
        <f t="shared" si="202"/>
        <v>0</v>
      </c>
      <c r="N415" s="28">
        <f t="shared" si="202"/>
        <v>0</v>
      </c>
      <c r="O415" s="27" t="s">
        <v>1052</v>
      </c>
      <c r="P415" s="29" t="s">
        <v>1053</v>
      </c>
      <c r="Q415" s="30" t="s">
        <v>606</v>
      </c>
    </row>
    <row r="416" spans="1:17" ht="69.75" x14ac:dyDescent="0.25">
      <c r="A416" s="25" t="s">
        <v>1097</v>
      </c>
      <c r="B416" s="26" t="s">
        <v>1098</v>
      </c>
      <c r="C416" s="27"/>
      <c r="D416" s="27"/>
      <c r="E416" s="31">
        <v>0</v>
      </c>
      <c r="F416" s="31">
        <v>0</v>
      </c>
      <c r="G416" s="31">
        <v>0</v>
      </c>
      <c r="H416" s="31">
        <v>0</v>
      </c>
      <c r="I416" s="31">
        <v>0</v>
      </c>
      <c r="J416" s="31">
        <v>0</v>
      </c>
      <c r="K416" s="31">
        <v>0</v>
      </c>
      <c r="L416" s="31">
        <v>0</v>
      </c>
      <c r="M416" s="31">
        <v>0</v>
      </c>
      <c r="N416" s="31">
        <v>0</v>
      </c>
      <c r="O416" s="27"/>
      <c r="P416" s="29"/>
      <c r="Q416" s="30"/>
    </row>
    <row r="417" spans="1:17" ht="46.5" x14ac:dyDescent="0.25">
      <c r="A417" s="25" t="s">
        <v>1099</v>
      </c>
      <c r="B417" s="26" t="s">
        <v>1100</v>
      </c>
      <c r="C417" s="27" t="s">
        <v>806</v>
      </c>
      <c r="D417" s="27" t="s">
        <v>807</v>
      </c>
      <c r="E417" s="28">
        <f>SUM(E418:E418)+84080</f>
        <v>84080</v>
      </c>
      <c r="F417" s="28">
        <f>SUM(F418:F418)+84080</f>
        <v>84080</v>
      </c>
      <c r="G417" s="28">
        <f t="shared" ref="G417:N417" si="203">SUM(G418:G418)</f>
        <v>0</v>
      </c>
      <c r="H417" s="28">
        <f t="shared" si="203"/>
        <v>0</v>
      </c>
      <c r="I417" s="28">
        <f t="shared" si="203"/>
        <v>0</v>
      </c>
      <c r="J417" s="28">
        <f t="shared" si="203"/>
        <v>0</v>
      </c>
      <c r="K417" s="28">
        <f t="shared" si="203"/>
        <v>0</v>
      </c>
      <c r="L417" s="28">
        <f t="shared" si="203"/>
        <v>0</v>
      </c>
      <c r="M417" s="28">
        <f t="shared" si="203"/>
        <v>0</v>
      </c>
      <c r="N417" s="28">
        <f t="shared" si="203"/>
        <v>0</v>
      </c>
      <c r="O417" s="27" t="s">
        <v>1052</v>
      </c>
      <c r="P417" s="29" t="s">
        <v>1053</v>
      </c>
      <c r="Q417" s="30" t="s">
        <v>1101</v>
      </c>
    </row>
    <row r="418" spans="1:17" ht="69.75" x14ac:dyDescent="0.25">
      <c r="A418" s="25" t="s">
        <v>1102</v>
      </c>
      <c r="B418" s="26" t="s">
        <v>1103</v>
      </c>
      <c r="C418" s="27"/>
      <c r="D418" s="27"/>
      <c r="E418" s="31">
        <v>0</v>
      </c>
      <c r="F418" s="31">
        <v>0</v>
      </c>
      <c r="G418" s="31">
        <v>0</v>
      </c>
      <c r="H418" s="31">
        <v>0</v>
      </c>
      <c r="I418" s="31">
        <v>0</v>
      </c>
      <c r="J418" s="31">
        <v>0</v>
      </c>
      <c r="K418" s="31">
        <v>0</v>
      </c>
      <c r="L418" s="31">
        <v>0</v>
      </c>
      <c r="M418" s="31">
        <v>0</v>
      </c>
      <c r="N418" s="31">
        <v>0</v>
      </c>
      <c r="O418" s="27"/>
      <c r="P418" s="29"/>
      <c r="Q418" s="30"/>
    </row>
    <row r="419" spans="1:17" ht="46.5" x14ac:dyDescent="0.25">
      <c r="A419" s="25" t="s">
        <v>1104</v>
      </c>
      <c r="B419" s="26" t="s">
        <v>1105</v>
      </c>
      <c r="C419" s="27" t="s">
        <v>812</v>
      </c>
      <c r="D419" s="27" t="s">
        <v>813</v>
      </c>
      <c r="E419" s="28">
        <f>SUM(E420:E420)+155460</f>
        <v>155460</v>
      </c>
      <c r="F419" s="28">
        <f>SUM(F420:F420)+155460</f>
        <v>155460</v>
      </c>
      <c r="G419" s="28">
        <f t="shared" ref="G419:N419" si="204">SUM(G420:G420)</f>
        <v>0</v>
      </c>
      <c r="H419" s="28">
        <f t="shared" si="204"/>
        <v>0</v>
      </c>
      <c r="I419" s="28">
        <f t="shared" si="204"/>
        <v>0</v>
      </c>
      <c r="J419" s="28">
        <f t="shared" si="204"/>
        <v>0</v>
      </c>
      <c r="K419" s="28">
        <f t="shared" si="204"/>
        <v>0</v>
      </c>
      <c r="L419" s="28">
        <f t="shared" si="204"/>
        <v>0</v>
      </c>
      <c r="M419" s="28">
        <f t="shared" si="204"/>
        <v>0</v>
      </c>
      <c r="N419" s="28">
        <f t="shared" si="204"/>
        <v>0</v>
      </c>
      <c r="O419" s="27" t="s">
        <v>1052</v>
      </c>
      <c r="P419" s="29" t="s">
        <v>1053</v>
      </c>
      <c r="Q419" s="30" t="s">
        <v>1106</v>
      </c>
    </row>
    <row r="420" spans="1:17" ht="69.75" x14ac:dyDescent="0.25">
      <c r="A420" s="25" t="s">
        <v>1107</v>
      </c>
      <c r="B420" s="26" t="s">
        <v>1108</v>
      </c>
      <c r="C420" s="27"/>
      <c r="D420" s="27"/>
      <c r="E420" s="31">
        <v>0</v>
      </c>
      <c r="F420" s="31">
        <v>0</v>
      </c>
      <c r="G420" s="31">
        <v>0</v>
      </c>
      <c r="H420" s="31">
        <v>0</v>
      </c>
      <c r="I420" s="31">
        <v>0</v>
      </c>
      <c r="J420" s="31">
        <v>0</v>
      </c>
      <c r="K420" s="31">
        <v>0</v>
      </c>
      <c r="L420" s="31">
        <v>0</v>
      </c>
      <c r="M420" s="31">
        <v>0</v>
      </c>
      <c r="N420" s="31">
        <v>0</v>
      </c>
      <c r="O420" s="27"/>
      <c r="P420" s="29"/>
      <c r="Q420" s="30"/>
    </row>
    <row r="421" spans="1:17" ht="46.5" x14ac:dyDescent="0.25">
      <c r="A421" s="25" t="s">
        <v>1109</v>
      </c>
      <c r="B421" s="26" t="s">
        <v>1110</v>
      </c>
      <c r="C421" s="27" t="s">
        <v>818</v>
      </c>
      <c r="D421" s="27" t="s">
        <v>819</v>
      </c>
      <c r="E421" s="28">
        <f>SUM(E422:E422)+557050</f>
        <v>557050</v>
      </c>
      <c r="F421" s="28">
        <f>SUM(F422:F422)+557050</f>
        <v>557050</v>
      </c>
      <c r="G421" s="28">
        <f t="shared" ref="G421:N421" si="205">SUM(G422:G422)</f>
        <v>0</v>
      </c>
      <c r="H421" s="28">
        <f t="shared" si="205"/>
        <v>0</v>
      </c>
      <c r="I421" s="28">
        <f t="shared" si="205"/>
        <v>0</v>
      </c>
      <c r="J421" s="28">
        <f t="shared" si="205"/>
        <v>0</v>
      </c>
      <c r="K421" s="28">
        <f t="shared" si="205"/>
        <v>0</v>
      </c>
      <c r="L421" s="28">
        <f t="shared" si="205"/>
        <v>0</v>
      </c>
      <c r="M421" s="28">
        <f t="shared" si="205"/>
        <v>0</v>
      </c>
      <c r="N421" s="28">
        <f t="shared" si="205"/>
        <v>0</v>
      </c>
      <c r="O421" s="27" t="s">
        <v>1052</v>
      </c>
      <c r="P421" s="29" t="s">
        <v>1053</v>
      </c>
      <c r="Q421" s="30" t="s">
        <v>1111</v>
      </c>
    </row>
    <row r="422" spans="1:17" ht="69.75" x14ac:dyDescent="0.25">
      <c r="A422" s="25" t="s">
        <v>1112</v>
      </c>
      <c r="B422" s="26" t="s">
        <v>1113</v>
      </c>
      <c r="C422" s="27"/>
      <c r="D422" s="27"/>
      <c r="E422" s="31">
        <v>0</v>
      </c>
      <c r="F422" s="31">
        <v>0</v>
      </c>
      <c r="G422" s="31">
        <v>0</v>
      </c>
      <c r="H422" s="31">
        <v>0</v>
      </c>
      <c r="I422" s="31">
        <v>0</v>
      </c>
      <c r="J422" s="31">
        <v>0</v>
      </c>
      <c r="K422" s="31">
        <v>0</v>
      </c>
      <c r="L422" s="31">
        <v>0</v>
      </c>
      <c r="M422" s="31">
        <v>0</v>
      </c>
      <c r="N422" s="31">
        <v>0</v>
      </c>
      <c r="O422" s="27"/>
      <c r="P422" s="29"/>
      <c r="Q422" s="30"/>
    </row>
    <row r="423" spans="1:17" ht="46.5" x14ac:dyDescent="0.25">
      <c r="A423" s="25" t="s">
        <v>1114</v>
      </c>
      <c r="B423" s="26" t="s">
        <v>1115</v>
      </c>
      <c r="C423" s="27" t="s">
        <v>824</v>
      </c>
      <c r="D423" s="27" t="s">
        <v>825</v>
      </c>
      <c r="E423" s="28">
        <f>SUM(E424:E424)+76870</f>
        <v>76870</v>
      </c>
      <c r="F423" s="28">
        <f>SUM(F424:F424)+76870</f>
        <v>76870</v>
      </c>
      <c r="G423" s="28">
        <f t="shared" ref="G423:N423" si="206">SUM(G424:G424)</f>
        <v>0</v>
      </c>
      <c r="H423" s="28">
        <f t="shared" si="206"/>
        <v>0</v>
      </c>
      <c r="I423" s="28">
        <f t="shared" si="206"/>
        <v>0</v>
      </c>
      <c r="J423" s="28">
        <f t="shared" si="206"/>
        <v>0</v>
      </c>
      <c r="K423" s="28">
        <f t="shared" si="206"/>
        <v>0</v>
      </c>
      <c r="L423" s="28">
        <f t="shared" si="206"/>
        <v>0</v>
      </c>
      <c r="M423" s="28">
        <f t="shared" si="206"/>
        <v>0</v>
      </c>
      <c r="N423" s="28">
        <f t="shared" si="206"/>
        <v>0</v>
      </c>
      <c r="O423" s="27" t="s">
        <v>1052</v>
      </c>
      <c r="P423" s="29" t="s">
        <v>1053</v>
      </c>
      <c r="Q423" s="30" t="s">
        <v>596</v>
      </c>
    </row>
    <row r="424" spans="1:17" ht="69.75" x14ac:dyDescent="0.25">
      <c r="A424" s="25" t="s">
        <v>1116</v>
      </c>
      <c r="B424" s="26" t="s">
        <v>1117</v>
      </c>
      <c r="C424" s="27"/>
      <c r="D424" s="27"/>
      <c r="E424" s="31">
        <v>0</v>
      </c>
      <c r="F424" s="31">
        <v>0</v>
      </c>
      <c r="G424" s="31">
        <v>0</v>
      </c>
      <c r="H424" s="31">
        <v>0</v>
      </c>
      <c r="I424" s="31">
        <v>0</v>
      </c>
      <c r="J424" s="31">
        <v>0</v>
      </c>
      <c r="K424" s="31">
        <v>0</v>
      </c>
      <c r="L424" s="31">
        <v>0</v>
      </c>
      <c r="M424" s="31">
        <v>0</v>
      </c>
      <c r="N424" s="31">
        <v>0</v>
      </c>
      <c r="O424" s="27"/>
      <c r="P424" s="29"/>
      <c r="Q424" s="30"/>
    </row>
    <row r="425" spans="1:17" ht="69.75" x14ac:dyDescent="0.25">
      <c r="A425" s="25" t="s">
        <v>1118</v>
      </c>
      <c r="B425" s="26" t="s">
        <v>1119</v>
      </c>
      <c r="C425" s="27" t="s">
        <v>256</v>
      </c>
      <c r="D425" s="27" t="s">
        <v>1120</v>
      </c>
      <c r="E425" s="28">
        <f>SUM(E426:E426)+13000</f>
        <v>13000</v>
      </c>
      <c r="F425" s="28">
        <f>SUM(F426:F426)+13000</f>
        <v>13000</v>
      </c>
      <c r="G425" s="28">
        <f t="shared" ref="G425:N425" si="207">SUM(G426:G426)</f>
        <v>0</v>
      </c>
      <c r="H425" s="28">
        <f t="shared" si="207"/>
        <v>0</v>
      </c>
      <c r="I425" s="28">
        <f t="shared" si="207"/>
        <v>0</v>
      </c>
      <c r="J425" s="28">
        <f t="shared" si="207"/>
        <v>0</v>
      </c>
      <c r="K425" s="28">
        <f t="shared" si="207"/>
        <v>0</v>
      </c>
      <c r="L425" s="28">
        <f t="shared" si="207"/>
        <v>0</v>
      </c>
      <c r="M425" s="28">
        <f t="shared" si="207"/>
        <v>0</v>
      </c>
      <c r="N425" s="28">
        <f t="shared" si="207"/>
        <v>0</v>
      </c>
      <c r="O425" s="27" t="s">
        <v>1121</v>
      </c>
      <c r="P425" s="29" t="s">
        <v>34</v>
      </c>
      <c r="Q425" s="30" t="s">
        <v>75</v>
      </c>
    </row>
    <row r="426" spans="1:17" ht="69.75" x14ac:dyDescent="0.25">
      <c r="A426" s="25" t="s">
        <v>1122</v>
      </c>
      <c r="B426" s="26" t="s">
        <v>1123</v>
      </c>
      <c r="C426" s="27"/>
      <c r="D426" s="27"/>
      <c r="E426" s="31">
        <v>0</v>
      </c>
      <c r="F426" s="31">
        <v>0</v>
      </c>
      <c r="G426" s="31">
        <v>0</v>
      </c>
      <c r="H426" s="31">
        <v>0</v>
      </c>
      <c r="I426" s="31">
        <v>0</v>
      </c>
      <c r="J426" s="31">
        <v>0</v>
      </c>
      <c r="K426" s="31">
        <v>0</v>
      </c>
      <c r="L426" s="31">
        <v>0</v>
      </c>
      <c r="M426" s="31">
        <v>0</v>
      </c>
      <c r="N426" s="31">
        <v>0</v>
      </c>
      <c r="O426" s="27"/>
      <c r="P426" s="29"/>
      <c r="Q426" s="30"/>
    </row>
    <row r="427" spans="1:17" ht="90" x14ac:dyDescent="0.25">
      <c r="A427" s="19" t="s">
        <v>1124</v>
      </c>
      <c r="B427" s="20" t="s">
        <v>1125</v>
      </c>
      <c r="C427" s="21" t="s">
        <v>256</v>
      </c>
      <c r="D427" s="21" t="s">
        <v>259</v>
      </c>
      <c r="E427" s="22">
        <f t="shared" ref="E427:N427" si="208">E428+E430+E432</f>
        <v>5000</v>
      </c>
      <c r="F427" s="22">
        <f t="shared" si="208"/>
        <v>5000</v>
      </c>
      <c r="G427" s="22">
        <f t="shared" si="208"/>
        <v>0</v>
      </c>
      <c r="H427" s="22">
        <f t="shared" si="208"/>
        <v>0</v>
      </c>
      <c r="I427" s="22">
        <f t="shared" si="208"/>
        <v>0</v>
      </c>
      <c r="J427" s="22">
        <f t="shared" si="208"/>
        <v>0</v>
      </c>
      <c r="K427" s="22">
        <f t="shared" si="208"/>
        <v>0</v>
      </c>
      <c r="L427" s="22">
        <f t="shared" si="208"/>
        <v>0</v>
      </c>
      <c r="M427" s="22">
        <f t="shared" si="208"/>
        <v>0</v>
      </c>
      <c r="N427" s="22">
        <f t="shared" si="208"/>
        <v>0</v>
      </c>
      <c r="O427" s="21" t="s">
        <v>1126</v>
      </c>
      <c r="P427" s="23" t="s">
        <v>1127</v>
      </c>
      <c r="Q427" s="24" t="s">
        <v>113</v>
      </c>
    </row>
    <row r="428" spans="1:17" ht="46.5" x14ac:dyDescent="0.25">
      <c r="A428" s="25" t="s">
        <v>1128</v>
      </c>
      <c r="B428" s="26" t="s">
        <v>1129</v>
      </c>
      <c r="C428" s="27" t="s">
        <v>818</v>
      </c>
      <c r="D428" s="27" t="s">
        <v>819</v>
      </c>
      <c r="E428" s="28">
        <f t="shared" ref="E428:N428" si="209">SUM(E429:E429)</f>
        <v>0</v>
      </c>
      <c r="F428" s="28">
        <f t="shared" si="209"/>
        <v>0</v>
      </c>
      <c r="G428" s="28">
        <f t="shared" si="209"/>
        <v>0</v>
      </c>
      <c r="H428" s="28">
        <f t="shared" si="209"/>
        <v>0</v>
      </c>
      <c r="I428" s="28">
        <f t="shared" si="209"/>
        <v>0</v>
      </c>
      <c r="J428" s="28">
        <f t="shared" si="209"/>
        <v>0</v>
      </c>
      <c r="K428" s="28">
        <f t="shared" si="209"/>
        <v>0</v>
      </c>
      <c r="L428" s="28">
        <f t="shared" si="209"/>
        <v>0</v>
      </c>
      <c r="M428" s="28">
        <f t="shared" si="209"/>
        <v>0</v>
      </c>
      <c r="N428" s="28">
        <f t="shared" si="209"/>
        <v>0</v>
      </c>
      <c r="O428" s="27" t="s">
        <v>1130</v>
      </c>
      <c r="P428" s="29" t="s">
        <v>34</v>
      </c>
      <c r="Q428" s="30" t="s">
        <v>75</v>
      </c>
    </row>
    <row r="429" spans="1:17" ht="46.5" x14ac:dyDescent="0.25">
      <c r="A429" s="25" t="s">
        <v>1131</v>
      </c>
      <c r="B429" s="26" t="s">
        <v>1132</v>
      </c>
      <c r="C429" s="27"/>
      <c r="D429" s="27"/>
      <c r="E429" s="31">
        <v>0</v>
      </c>
      <c r="F429" s="31">
        <v>0</v>
      </c>
      <c r="G429" s="31">
        <v>0</v>
      </c>
      <c r="H429" s="31">
        <v>0</v>
      </c>
      <c r="I429" s="31">
        <v>0</v>
      </c>
      <c r="J429" s="31">
        <v>0</v>
      </c>
      <c r="K429" s="31">
        <v>0</v>
      </c>
      <c r="L429" s="31">
        <v>0</v>
      </c>
      <c r="M429" s="31">
        <v>0</v>
      </c>
      <c r="N429" s="31">
        <v>0</v>
      </c>
      <c r="O429" s="27"/>
      <c r="P429" s="29"/>
      <c r="Q429" s="30"/>
    </row>
    <row r="430" spans="1:17" ht="116.25" x14ac:dyDescent="0.25">
      <c r="A430" s="25" t="s">
        <v>1133</v>
      </c>
      <c r="B430" s="26" t="s">
        <v>1134</v>
      </c>
      <c r="C430" s="27" t="s">
        <v>256</v>
      </c>
      <c r="D430" s="27" t="s">
        <v>955</v>
      </c>
      <c r="E430" s="28">
        <f>SUM(E431:E431)+5000</f>
        <v>5000</v>
      </c>
      <c r="F430" s="28">
        <f>SUM(F431:F431)+5000</f>
        <v>5000</v>
      </c>
      <c r="G430" s="28">
        <f t="shared" ref="G430:N430" si="210">SUM(G431:G431)</f>
        <v>0</v>
      </c>
      <c r="H430" s="28">
        <f t="shared" si="210"/>
        <v>0</v>
      </c>
      <c r="I430" s="28">
        <f t="shared" si="210"/>
        <v>0</v>
      </c>
      <c r="J430" s="28">
        <f t="shared" si="210"/>
        <v>0</v>
      </c>
      <c r="K430" s="28">
        <f t="shared" si="210"/>
        <v>0</v>
      </c>
      <c r="L430" s="28">
        <f t="shared" si="210"/>
        <v>0</v>
      </c>
      <c r="M430" s="28">
        <f t="shared" si="210"/>
        <v>0</v>
      </c>
      <c r="N430" s="28">
        <f t="shared" si="210"/>
        <v>0</v>
      </c>
      <c r="O430" s="27" t="s">
        <v>1135</v>
      </c>
      <c r="P430" s="29" t="s">
        <v>982</v>
      </c>
      <c r="Q430" s="30" t="s">
        <v>246</v>
      </c>
    </row>
    <row r="431" spans="1:17" ht="69.75" x14ac:dyDescent="0.25">
      <c r="A431" s="25" t="s">
        <v>1136</v>
      </c>
      <c r="B431" s="26" t="s">
        <v>1137</v>
      </c>
      <c r="C431" s="27"/>
      <c r="D431" s="27"/>
      <c r="E431" s="31">
        <v>0</v>
      </c>
      <c r="F431" s="31">
        <v>0</v>
      </c>
      <c r="G431" s="31">
        <v>0</v>
      </c>
      <c r="H431" s="31">
        <v>0</v>
      </c>
      <c r="I431" s="31">
        <v>0</v>
      </c>
      <c r="J431" s="31">
        <v>0</v>
      </c>
      <c r="K431" s="31">
        <v>0</v>
      </c>
      <c r="L431" s="31">
        <v>0</v>
      </c>
      <c r="M431" s="31">
        <v>0</v>
      </c>
      <c r="N431" s="31">
        <v>0</v>
      </c>
      <c r="O431" s="27"/>
      <c r="P431" s="29"/>
      <c r="Q431" s="30"/>
    </row>
    <row r="432" spans="1:17" ht="93" x14ac:dyDescent="0.25">
      <c r="A432" s="25" t="s">
        <v>1138</v>
      </c>
      <c r="B432" s="26" t="s">
        <v>1139</v>
      </c>
      <c r="C432" s="27" t="s">
        <v>256</v>
      </c>
      <c r="D432" s="27" t="s">
        <v>955</v>
      </c>
      <c r="E432" s="28">
        <f t="shared" ref="E432:N432" si="211">SUM(E433:E433)</f>
        <v>0</v>
      </c>
      <c r="F432" s="28">
        <f t="shared" si="211"/>
        <v>0</v>
      </c>
      <c r="G432" s="28">
        <f t="shared" si="211"/>
        <v>0</v>
      </c>
      <c r="H432" s="28">
        <f t="shared" si="211"/>
        <v>0</v>
      </c>
      <c r="I432" s="28">
        <f t="shared" si="211"/>
        <v>0</v>
      </c>
      <c r="J432" s="28">
        <f t="shared" si="211"/>
        <v>0</v>
      </c>
      <c r="K432" s="28">
        <f t="shared" si="211"/>
        <v>0</v>
      </c>
      <c r="L432" s="28">
        <f t="shared" si="211"/>
        <v>0</v>
      </c>
      <c r="M432" s="28">
        <f t="shared" si="211"/>
        <v>0</v>
      </c>
      <c r="N432" s="28">
        <f t="shared" si="211"/>
        <v>0</v>
      </c>
      <c r="O432" s="27" t="s">
        <v>1140</v>
      </c>
      <c r="P432" s="29" t="s">
        <v>34</v>
      </c>
      <c r="Q432" s="30" t="s">
        <v>411</v>
      </c>
    </row>
    <row r="433" spans="1:17" ht="69.75" x14ac:dyDescent="0.25">
      <c r="A433" s="25" t="s">
        <v>1141</v>
      </c>
      <c r="B433" s="26" t="s">
        <v>1142</v>
      </c>
      <c r="C433" s="27"/>
      <c r="D433" s="27"/>
      <c r="E433" s="31">
        <v>0</v>
      </c>
      <c r="F433" s="31">
        <v>0</v>
      </c>
      <c r="G433" s="31">
        <v>0</v>
      </c>
      <c r="H433" s="31">
        <v>0</v>
      </c>
      <c r="I433" s="31">
        <v>0</v>
      </c>
      <c r="J433" s="31">
        <v>0</v>
      </c>
      <c r="K433" s="31">
        <v>0</v>
      </c>
      <c r="L433" s="31">
        <v>0</v>
      </c>
      <c r="M433" s="31">
        <v>0</v>
      </c>
      <c r="N433" s="31">
        <v>0</v>
      </c>
      <c r="O433" s="27"/>
      <c r="P433" s="29"/>
      <c r="Q433" s="30"/>
    </row>
    <row r="434" spans="1:17" ht="45" x14ac:dyDescent="0.25">
      <c r="A434" s="19" t="s">
        <v>1143</v>
      </c>
      <c r="B434" s="20" t="s">
        <v>1144</v>
      </c>
      <c r="C434" s="21" t="s">
        <v>256</v>
      </c>
      <c r="D434" s="21" t="s">
        <v>280</v>
      </c>
      <c r="E434" s="22">
        <f t="shared" ref="E434:N434" si="212">SUM(E435:E435)</f>
        <v>86000</v>
      </c>
      <c r="F434" s="22">
        <f t="shared" si="212"/>
        <v>86000</v>
      </c>
      <c r="G434" s="22">
        <f t="shared" si="212"/>
        <v>0</v>
      </c>
      <c r="H434" s="22">
        <f t="shared" si="212"/>
        <v>0</v>
      </c>
      <c r="I434" s="22">
        <f t="shared" si="212"/>
        <v>0</v>
      </c>
      <c r="J434" s="22">
        <f t="shared" si="212"/>
        <v>0</v>
      </c>
      <c r="K434" s="22">
        <f t="shared" si="212"/>
        <v>0</v>
      </c>
      <c r="L434" s="22">
        <f t="shared" si="212"/>
        <v>0</v>
      </c>
      <c r="M434" s="22">
        <f t="shared" si="212"/>
        <v>0</v>
      </c>
      <c r="N434" s="22">
        <f t="shared" si="212"/>
        <v>0</v>
      </c>
      <c r="O434" s="21" t="s">
        <v>1145</v>
      </c>
      <c r="P434" s="23" t="s">
        <v>34</v>
      </c>
      <c r="Q434" s="24" t="s">
        <v>75</v>
      </c>
    </row>
    <row r="435" spans="1:17" ht="46.5" x14ac:dyDescent="0.25">
      <c r="A435" s="25" t="s">
        <v>1146</v>
      </c>
      <c r="B435" s="26" t="s">
        <v>1147</v>
      </c>
      <c r="C435" s="27" t="s">
        <v>256</v>
      </c>
      <c r="D435" s="27" t="s">
        <v>280</v>
      </c>
      <c r="E435" s="28">
        <f>SUM(E436:E436)+86000</f>
        <v>86000</v>
      </c>
      <c r="F435" s="28">
        <f>SUM(F436:F436)+86000</f>
        <v>86000</v>
      </c>
      <c r="G435" s="28">
        <f t="shared" ref="G435:N435" si="213">SUM(G436:G436)</f>
        <v>0</v>
      </c>
      <c r="H435" s="28">
        <f t="shared" si="213"/>
        <v>0</v>
      </c>
      <c r="I435" s="28">
        <f t="shared" si="213"/>
        <v>0</v>
      </c>
      <c r="J435" s="28">
        <f t="shared" si="213"/>
        <v>0</v>
      </c>
      <c r="K435" s="28">
        <f t="shared" si="213"/>
        <v>0</v>
      </c>
      <c r="L435" s="28">
        <f t="shared" si="213"/>
        <v>0</v>
      </c>
      <c r="M435" s="28">
        <f t="shared" si="213"/>
        <v>0</v>
      </c>
      <c r="N435" s="28">
        <f t="shared" si="213"/>
        <v>0</v>
      </c>
      <c r="O435" s="27" t="s">
        <v>1148</v>
      </c>
      <c r="P435" s="29" t="s">
        <v>34</v>
      </c>
      <c r="Q435" s="30" t="s">
        <v>75</v>
      </c>
    </row>
    <row r="436" spans="1:17" ht="46.5" x14ac:dyDescent="0.25">
      <c r="A436" s="25" t="s">
        <v>1149</v>
      </c>
      <c r="B436" s="26" t="s">
        <v>1150</v>
      </c>
      <c r="C436" s="27"/>
      <c r="D436" s="27"/>
      <c r="E436" s="31">
        <v>0</v>
      </c>
      <c r="F436" s="31">
        <v>0</v>
      </c>
      <c r="G436" s="31">
        <v>0</v>
      </c>
      <c r="H436" s="31">
        <v>0</v>
      </c>
      <c r="I436" s="31">
        <v>0</v>
      </c>
      <c r="J436" s="31">
        <v>0</v>
      </c>
      <c r="K436" s="31">
        <v>0</v>
      </c>
      <c r="L436" s="31">
        <v>0</v>
      </c>
      <c r="M436" s="31">
        <v>0</v>
      </c>
      <c r="N436" s="31">
        <v>0</v>
      </c>
      <c r="O436" s="27"/>
      <c r="P436" s="29"/>
      <c r="Q436" s="30"/>
    </row>
    <row r="437" spans="1:17" ht="45" x14ac:dyDescent="0.25">
      <c r="A437" s="19" t="s">
        <v>1151</v>
      </c>
      <c r="B437" s="20" t="s">
        <v>1152</v>
      </c>
      <c r="C437" s="21" t="s">
        <v>256</v>
      </c>
      <c r="D437" s="21" t="s">
        <v>280</v>
      </c>
      <c r="E437" s="22">
        <f t="shared" ref="E437:N437" si="214">SUM(E438:E438)</f>
        <v>60000</v>
      </c>
      <c r="F437" s="22">
        <f t="shared" si="214"/>
        <v>60000</v>
      </c>
      <c r="G437" s="22">
        <f t="shared" si="214"/>
        <v>0</v>
      </c>
      <c r="H437" s="22">
        <f t="shared" si="214"/>
        <v>0</v>
      </c>
      <c r="I437" s="22">
        <f t="shared" si="214"/>
        <v>0</v>
      </c>
      <c r="J437" s="22">
        <f t="shared" si="214"/>
        <v>0</v>
      </c>
      <c r="K437" s="22">
        <f t="shared" si="214"/>
        <v>0</v>
      </c>
      <c r="L437" s="22">
        <f t="shared" si="214"/>
        <v>0</v>
      </c>
      <c r="M437" s="22">
        <f t="shared" si="214"/>
        <v>0</v>
      </c>
      <c r="N437" s="22">
        <f t="shared" si="214"/>
        <v>0</v>
      </c>
      <c r="O437" s="21" t="s">
        <v>1153</v>
      </c>
      <c r="P437" s="23" t="s">
        <v>34</v>
      </c>
      <c r="Q437" s="24" t="s">
        <v>35</v>
      </c>
    </row>
    <row r="438" spans="1:17" ht="46.5" x14ac:dyDescent="0.25">
      <c r="A438" s="25" t="s">
        <v>1154</v>
      </c>
      <c r="B438" s="26" t="s">
        <v>1155</v>
      </c>
      <c r="C438" s="27" t="s">
        <v>256</v>
      </c>
      <c r="D438" s="27" t="s">
        <v>280</v>
      </c>
      <c r="E438" s="28">
        <f>SUM(E439:E439)+60000</f>
        <v>60000</v>
      </c>
      <c r="F438" s="28">
        <f>SUM(F439:F439)+60000</f>
        <v>60000</v>
      </c>
      <c r="G438" s="28">
        <f t="shared" ref="G438:N438" si="215">SUM(G439:G439)</f>
        <v>0</v>
      </c>
      <c r="H438" s="28">
        <f t="shared" si="215"/>
        <v>0</v>
      </c>
      <c r="I438" s="28">
        <f t="shared" si="215"/>
        <v>0</v>
      </c>
      <c r="J438" s="28">
        <f t="shared" si="215"/>
        <v>0</v>
      </c>
      <c r="K438" s="28">
        <f t="shared" si="215"/>
        <v>0</v>
      </c>
      <c r="L438" s="28">
        <f t="shared" si="215"/>
        <v>0</v>
      </c>
      <c r="M438" s="28">
        <f t="shared" si="215"/>
        <v>0</v>
      </c>
      <c r="N438" s="28">
        <f t="shared" si="215"/>
        <v>0</v>
      </c>
      <c r="O438" s="27" t="s">
        <v>1156</v>
      </c>
      <c r="P438" s="29" t="s">
        <v>34</v>
      </c>
      <c r="Q438" s="30" t="s">
        <v>35</v>
      </c>
    </row>
    <row r="439" spans="1:17" ht="46.5" x14ac:dyDescent="0.25">
      <c r="A439" s="25" t="s">
        <v>1157</v>
      </c>
      <c r="B439" s="26" t="s">
        <v>1158</v>
      </c>
      <c r="C439" s="27"/>
      <c r="D439" s="27"/>
      <c r="E439" s="31">
        <v>0</v>
      </c>
      <c r="F439" s="31">
        <v>0</v>
      </c>
      <c r="G439" s="31">
        <v>0</v>
      </c>
      <c r="H439" s="31">
        <v>0</v>
      </c>
      <c r="I439" s="31">
        <v>0</v>
      </c>
      <c r="J439" s="31">
        <v>0</v>
      </c>
      <c r="K439" s="31">
        <v>0</v>
      </c>
      <c r="L439" s="31">
        <v>0</v>
      </c>
      <c r="M439" s="31">
        <v>0</v>
      </c>
      <c r="N439" s="31">
        <v>0</v>
      </c>
      <c r="O439" s="27"/>
      <c r="P439" s="29"/>
      <c r="Q439" s="30"/>
    </row>
    <row r="440" spans="1:17" ht="112.5" x14ac:dyDescent="0.25">
      <c r="A440" s="19" t="s">
        <v>1159</v>
      </c>
      <c r="B440" s="20" t="s">
        <v>1160</v>
      </c>
      <c r="C440" s="21" t="s">
        <v>256</v>
      </c>
      <c r="D440" s="21" t="s">
        <v>280</v>
      </c>
      <c r="E440" s="22">
        <f t="shared" ref="E440:N440" si="216">SUM(E441:E442)</f>
        <v>5000</v>
      </c>
      <c r="F440" s="22">
        <f t="shared" si="216"/>
        <v>5000</v>
      </c>
      <c r="G440" s="22">
        <f t="shared" si="216"/>
        <v>0</v>
      </c>
      <c r="H440" s="22">
        <f t="shared" si="216"/>
        <v>0</v>
      </c>
      <c r="I440" s="22">
        <f t="shared" si="216"/>
        <v>0</v>
      </c>
      <c r="J440" s="22">
        <f t="shared" si="216"/>
        <v>0</v>
      </c>
      <c r="K440" s="22">
        <f t="shared" si="216"/>
        <v>0</v>
      </c>
      <c r="L440" s="22">
        <f t="shared" si="216"/>
        <v>0</v>
      </c>
      <c r="M440" s="22">
        <f t="shared" si="216"/>
        <v>0</v>
      </c>
      <c r="N440" s="22">
        <f t="shared" si="216"/>
        <v>0</v>
      </c>
      <c r="O440" s="21" t="s">
        <v>1161</v>
      </c>
      <c r="P440" s="23" t="s">
        <v>34</v>
      </c>
      <c r="Q440" s="24" t="s">
        <v>1162</v>
      </c>
    </row>
    <row r="441" spans="1:17" x14ac:dyDescent="0.25">
      <c r="A441" s="32"/>
      <c r="B441" s="33"/>
      <c r="C441" s="34"/>
      <c r="D441" s="34"/>
      <c r="E441" s="35">
        <v>0</v>
      </c>
      <c r="F441" s="35">
        <v>0</v>
      </c>
      <c r="G441" s="35">
        <v>0</v>
      </c>
      <c r="H441" s="35">
        <v>0</v>
      </c>
      <c r="I441" s="35">
        <v>0</v>
      </c>
      <c r="J441" s="35">
        <v>0</v>
      </c>
      <c r="K441" s="35">
        <v>0</v>
      </c>
      <c r="L441" s="35">
        <v>0</v>
      </c>
      <c r="M441" s="35">
        <v>0</v>
      </c>
      <c r="N441" s="35">
        <v>0</v>
      </c>
      <c r="O441" s="34" t="s">
        <v>1163</v>
      </c>
      <c r="P441" s="36" t="s">
        <v>34</v>
      </c>
      <c r="Q441" s="37" t="s">
        <v>1164</v>
      </c>
    </row>
    <row r="442" spans="1:17" ht="116.25" x14ac:dyDescent="0.25">
      <c r="A442" s="25" t="s">
        <v>1165</v>
      </c>
      <c r="B442" s="26" t="s">
        <v>1166</v>
      </c>
      <c r="C442" s="27" t="s">
        <v>256</v>
      </c>
      <c r="D442" s="27" t="s">
        <v>280</v>
      </c>
      <c r="E442" s="28">
        <f>SUM(E443:E443)+5000</f>
        <v>5000</v>
      </c>
      <c r="F442" s="28">
        <f>SUM(F443:F443)+5000</f>
        <v>5000</v>
      </c>
      <c r="G442" s="28">
        <f t="shared" ref="G442:N442" si="217">SUM(G443:G443)</f>
        <v>0</v>
      </c>
      <c r="H442" s="28">
        <f t="shared" si="217"/>
        <v>0</v>
      </c>
      <c r="I442" s="28">
        <f t="shared" si="217"/>
        <v>0</v>
      </c>
      <c r="J442" s="28">
        <f t="shared" si="217"/>
        <v>0</v>
      </c>
      <c r="K442" s="28">
        <f t="shared" si="217"/>
        <v>0</v>
      </c>
      <c r="L442" s="28">
        <f t="shared" si="217"/>
        <v>0</v>
      </c>
      <c r="M442" s="28">
        <f t="shared" si="217"/>
        <v>0</v>
      </c>
      <c r="N442" s="28">
        <f t="shared" si="217"/>
        <v>0</v>
      </c>
      <c r="O442" s="27" t="s">
        <v>1167</v>
      </c>
      <c r="P442" s="29" t="s">
        <v>34</v>
      </c>
      <c r="Q442" s="30" t="s">
        <v>246</v>
      </c>
    </row>
    <row r="443" spans="1:17" ht="93" x14ac:dyDescent="0.25">
      <c r="A443" s="25" t="s">
        <v>1168</v>
      </c>
      <c r="B443" s="26" t="s">
        <v>1169</v>
      </c>
      <c r="C443" s="27"/>
      <c r="D443" s="27"/>
      <c r="E443" s="31">
        <v>0</v>
      </c>
      <c r="F443" s="31">
        <v>0</v>
      </c>
      <c r="G443" s="31">
        <v>0</v>
      </c>
      <c r="H443" s="31">
        <v>0</v>
      </c>
      <c r="I443" s="31">
        <v>0</v>
      </c>
      <c r="J443" s="31">
        <v>0</v>
      </c>
      <c r="K443" s="31">
        <v>0</v>
      </c>
      <c r="L443" s="31">
        <v>0</v>
      </c>
      <c r="M443" s="31">
        <v>0</v>
      </c>
      <c r="N443" s="31">
        <v>0</v>
      </c>
      <c r="O443" s="27"/>
      <c r="P443" s="29"/>
      <c r="Q443" s="30"/>
    </row>
    <row r="444" spans="1:17" ht="90" x14ac:dyDescent="0.25">
      <c r="A444" s="13" t="s">
        <v>1170</v>
      </c>
      <c r="B444" s="14" t="s">
        <v>1171</v>
      </c>
      <c r="C444" s="15" t="s">
        <v>256</v>
      </c>
      <c r="D444" s="15" t="s">
        <v>280</v>
      </c>
      <c r="E444" s="16">
        <f t="shared" ref="E444:N444" si="218">E445+E446+E453+E456</f>
        <v>491336</v>
      </c>
      <c r="F444" s="16">
        <f t="shared" si="218"/>
        <v>491336</v>
      </c>
      <c r="G444" s="16">
        <f t="shared" si="218"/>
        <v>0</v>
      </c>
      <c r="H444" s="16">
        <f t="shared" si="218"/>
        <v>0</v>
      </c>
      <c r="I444" s="16">
        <f t="shared" si="218"/>
        <v>0</v>
      </c>
      <c r="J444" s="16">
        <f t="shared" si="218"/>
        <v>0</v>
      </c>
      <c r="K444" s="16">
        <f t="shared" si="218"/>
        <v>0</v>
      </c>
      <c r="L444" s="16">
        <f t="shared" si="218"/>
        <v>0</v>
      </c>
      <c r="M444" s="16">
        <f t="shared" si="218"/>
        <v>0</v>
      </c>
      <c r="N444" s="16">
        <f t="shared" si="218"/>
        <v>0</v>
      </c>
      <c r="O444" s="15" t="s">
        <v>1172</v>
      </c>
      <c r="P444" s="17" t="s">
        <v>29</v>
      </c>
      <c r="Q444" s="18" t="s">
        <v>166</v>
      </c>
    </row>
    <row r="445" spans="1:17" ht="46.5" x14ac:dyDescent="0.25">
      <c r="A445" s="32"/>
      <c r="B445" s="33"/>
      <c r="C445" s="34"/>
      <c r="D445" s="34"/>
      <c r="E445" s="35">
        <v>0</v>
      </c>
      <c r="F445" s="35">
        <v>0</v>
      </c>
      <c r="G445" s="35">
        <v>0</v>
      </c>
      <c r="H445" s="35">
        <v>0</v>
      </c>
      <c r="I445" s="35">
        <v>0</v>
      </c>
      <c r="J445" s="35">
        <v>0</v>
      </c>
      <c r="K445" s="35">
        <v>0</v>
      </c>
      <c r="L445" s="35">
        <v>0</v>
      </c>
      <c r="M445" s="35">
        <v>0</v>
      </c>
      <c r="N445" s="35">
        <v>0</v>
      </c>
      <c r="O445" s="34" t="s">
        <v>1173</v>
      </c>
      <c r="P445" s="36" t="s">
        <v>29</v>
      </c>
      <c r="Q445" s="37" t="s">
        <v>1174</v>
      </c>
    </row>
    <row r="446" spans="1:17" ht="90" x14ac:dyDescent="0.25">
      <c r="A446" s="19" t="s">
        <v>1175</v>
      </c>
      <c r="B446" s="20" t="s">
        <v>1176</v>
      </c>
      <c r="C446" s="21" t="s">
        <v>256</v>
      </c>
      <c r="D446" s="21" t="s">
        <v>280</v>
      </c>
      <c r="E446" s="22">
        <f t="shared" ref="E446:N446" si="219">E447+E449+E451</f>
        <v>471336</v>
      </c>
      <c r="F446" s="22">
        <f t="shared" si="219"/>
        <v>471336</v>
      </c>
      <c r="G446" s="22">
        <f t="shared" si="219"/>
        <v>0</v>
      </c>
      <c r="H446" s="22">
        <f t="shared" si="219"/>
        <v>0</v>
      </c>
      <c r="I446" s="22">
        <f t="shared" si="219"/>
        <v>0</v>
      </c>
      <c r="J446" s="22">
        <f t="shared" si="219"/>
        <v>0</v>
      </c>
      <c r="K446" s="22">
        <f t="shared" si="219"/>
        <v>0</v>
      </c>
      <c r="L446" s="22">
        <f t="shared" si="219"/>
        <v>0</v>
      </c>
      <c r="M446" s="22">
        <f t="shared" si="219"/>
        <v>0</v>
      </c>
      <c r="N446" s="22">
        <f t="shared" si="219"/>
        <v>0</v>
      </c>
      <c r="O446" s="21" t="s">
        <v>1177</v>
      </c>
      <c r="P446" s="23" t="s">
        <v>34</v>
      </c>
      <c r="Q446" s="24" t="s">
        <v>75</v>
      </c>
    </row>
    <row r="447" spans="1:17" ht="69.75" x14ac:dyDescent="0.25">
      <c r="A447" s="25" t="s">
        <v>1178</v>
      </c>
      <c r="B447" s="26" t="s">
        <v>1179</v>
      </c>
      <c r="C447" s="27" t="s">
        <v>256</v>
      </c>
      <c r="D447" s="27" t="s">
        <v>955</v>
      </c>
      <c r="E447" s="28">
        <f>SUM(E448:E448)+30000</f>
        <v>30000</v>
      </c>
      <c r="F447" s="28">
        <f>SUM(F448:F448)+30000</f>
        <v>30000</v>
      </c>
      <c r="G447" s="28">
        <f t="shared" ref="G447:N447" si="220">SUM(G448:G448)</f>
        <v>0</v>
      </c>
      <c r="H447" s="28">
        <f t="shared" si="220"/>
        <v>0</v>
      </c>
      <c r="I447" s="28">
        <f t="shared" si="220"/>
        <v>0</v>
      </c>
      <c r="J447" s="28">
        <f t="shared" si="220"/>
        <v>0</v>
      </c>
      <c r="K447" s="28">
        <f t="shared" si="220"/>
        <v>0</v>
      </c>
      <c r="L447" s="28">
        <f t="shared" si="220"/>
        <v>0</v>
      </c>
      <c r="M447" s="28">
        <f t="shared" si="220"/>
        <v>0</v>
      </c>
      <c r="N447" s="28">
        <f t="shared" si="220"/>
        <v>0</v>
      </c>
      <c r="O447" s="27" t="s">
        <v>1180</v>
      </c>
      <c r="P447" s="29" t="s">
        <v>34</v>
      </c>
      <c r="Q447" s="30" t="s">
        <v>35</v>
      </c>
    </row>
    <row r="448" spans="1:17" ht="69.75" x14ac:dyDescent="0.25">
      <c r="A448" s="25" t="s">
        <v>1181</v>
      </c>
      <c r="B448" s="26" t="s">
        <v>1182</v>
      </c>
      <c r="C448" s="27"/>
      <c r="D448" s="27"/>
      <c r="E448" s="31">
        <v>0</v>
      </c>
      <c r="F448" s="31">
        <v>0</v>
      </c>
      <c r="G448" s="31">
        <v>0</v>
      </c>
      <c r="H448" s="31">
        <v>0</v>
      </c>
      <c r="I448" s="31">
        <v>0</v>
      </c>
      <c r="J448" s="31">
        <v>0</v>
      </c>
      <c r="K448" s="31">
        <v>0</v>
      </c>
      <c r="L448" s="31">
        <v>0</v>
      </c>
      <c r="M448" s="31">
        <v>0</v>
      </c>
      <c r="N448" s="31">
        <v>0</v>
      </c>
      <c r="O448" s="27"/>
      <c r="P448" s="29"/>
      <c r="Q448" s="30"/>
    </row>
    <row r="449" spans="1:17" ht="46.5" x14ac:dyDescent="0.25">
      <c r="A449" s="25" t="s">
        <v>1183</v>
      </c>
      <c r="B449" s="26" t="s">
        <v>1929</v>
      </c>
      <c r="C449" s="27" t="s">
        <v>256</v>
      </c>
      <c r="D449" s="27" t="s">
        <v>955</v>
      </c>
      <c r="E449" s="28">
        <f>SUM(E450:E450)+200000</f>
        <v>200000</v>
      </c>
      <c r="F449" s="28">
        <f>SUM(F450:F450)+200000</f>
        <v>200000</v>
      </c>
      <c r="G449" s="28">
        <f t="shared" ref="G449:N449" si="221">SUM(G450:G450)</f>
        <v>0</v>
      </c>
      <c r="H449" s="28">
        <f t="shared" si="221"/>
        <v>0</v>
      </c>
      <c r="I449" s="28">
        <f t="shared" si="221"/>
        <v>0</v>
      </c>
      <c r="J449" s="28">
        <f t="shared" si="221"/>
        <v>0</v>
      </c>
      <c r="K449" s="28">
        <f t="shared" si="221"/>
        <v>0</v>
      </c>
      <c r="L449" s="28">
        <f t="shared" si="221"/>
        <v>0</v>
      </c>
      <c r="M449" s="28">
        <f t="shared" si="221"/>
        <v>0</v>
      </c>
      <c r="N449" s="28">
        <f t="shared" si="221"/>
        <v>0</v>
      </c>
      <c r="O449" s="27" t="s">
        <v>1184</v>
      </c>
      <c r="P449" s="29" t="s">
        <v>34</v>
      </c>
      <c r="Q449" s="30" t="s">
        <v>59</v>
      </c>
    </row>
    <row r="450" spans="1:17" ht="116.25" x14ac:dyDescent="0.25">
      <c r="A450" s="25" t="s">
        <v>1928</v>
      </c>
      <c r="B450" s="26" t="s">
        <v>1185</v>
      </c>
      <c r="C450" s="27"/>
      <c r="D450" s="27"/>
      <c r="E450" s="31">
        <v>0</v>
      </c>
      <c r="F450" s="31">
        <v>0</v>
      </c>
      <c r="G450" s="31">
        <v>0</v>
      </c>
      <c r="H450" s="31">
        <v>0</v>
      </c>
      <c r="I450" s="31">
        <v>0</v>
      </c>
      <c r="J450" s="31">
        <v>0</v>
      </c>
      <c r="K450" s="31">
        <v>0</v>
      </c>
      <c r="L450" s="31">
        <v>0</v>
      </c>
      <c r="M450" s="31">
        <v>0</v>
      </c>
      <c r="N450" s="31">
        <v>0</v>
      </c>
      <c r="O450" s="27"/>
      <c r="P450" s="29"/>
      <c r="Q450" s="30"/>
    </row>
    <row r="451" spans="1:17" ht="46.5" x14ac:dyDescent="0.25">
      <c r="A451" s="25" t="s">
        <v>1186</v>
      </c>
      <c r="B451" s="26" t="s">
        <v>1187</v>
      </c>
      <c r="C451" s="27" t="s">
        <v>256</v>
      </c>
      <c r="D451" s="27" t="s">
        <v>280</v>
      </c>
      <c r="E451" s="28">
        <f>SUM(E452:E452)+241336</f>
        <v>241336</v>
      </c>
      <c r="F451" s="28">
        <f>SUM(F452:F452)+241336</f>
        <v>241336</v>
      </c>
      <c r="G451" s="28">
        <f t="shared" ref="G451:N451" si="222">SUM(G452:G452)</f>
        <v>0</v>
      </c>
      <c r="H451" s="28">
        <f t="shared" si="222"/>
        <v>0</v>
      </c>
      <c r="I451" s="28">
        <f t="shared" si="222"/>
        <v>0</v>
      </c>
      <c r="J451" s="28">
        <f t="shared" si="222"/>
        <v>0</v>
      </c>
      <c r="K451" s="28">
        <f t="shared" si="222"/>
        <v>0</v>
      </c>
      <c r="L451" s="28">
        <f t="shared" si="222"/>
        <v>0</v>
      </c>
      <c r="M451" s="28">
        <f t="shared" si="222"/>
        <v>0</v>
      </c>
      <c r="N451" s="28">
        <f t="shared" si="222"/>
        <v>0</v>
      </c>
      <c r="O451" s="27" t="s">
        <v>1188</v>
      </c>
      <c r="P451" s="29" t="s">
        <v>34</v>
      </c>
      <c r="Q451" s="30" t="s">
        <v>59</v>
      </c>
    </row>
    <row r="452" spans="1:17" ht="46.5" x14ac:dyDescent="0.25">
      <c r="A452" s="25" t="s">
        <v>1189</v>
      </c>
      <c r="B452" s="26" t="s">
        <v>1190</v>
      </c>
      <c r="C452" s="27"/>
      <c r="D452" s="27"/>
      <c r="E452" s="31">
        <v>0</v>
      </c>
      <c r="F452" s="31">
        <v>0</v>
      </c>
      <c r="G452" s="31">
        <v>0</v>
      </c>
      <c r="H452" s="31">
        <v>0</v>
      </c>
      <c r="I452" s="31">
        <v>0</v>
      </c>
      <c r="J452" s="31">
        <v>0</v>
      </c>
      <c r="K452" s="31">
        <v>0</v>
      </c>
      <c r="L452" s="31">
        <v>0</v>
      </c>
      <c r="M452" s="31">
        <v>0</v>
      </c>
      <c r="N452" s="31">
        <v>0</v>
      </c>
      <c r="O452" s="27"/>
      <c r="P452" s="29"/>
      <c r="Q452" s="30"/>
    </row>
    <row r="453" spans="1:17" ht="67.5" x14ac:dyDescent="0.25">
      <c r="A453" s="19" t="s">
        <v>1191</v>
      </c>
      <c r="B453" s="20" t="s">
        <v>1192</v>
      </c>
      <c r="C453" s="21" t="s">
        <v>256</v>
      </c>
      <c r="D453" s="21" t="s">
        <v>280</v>
      </c>
      <c r="E453" s="22">
        <f t="shared" ref="E453:N453" si="223">SUM(E454:E454)</f>
        <v>15000</v>
      </c>
      <c r="F453" s="22">
        <f t="shared" si="223"/>
        <v>15000</v>
      </c>
      <c r="G453" s="22">
        <f t="shared" si="223"/>
        <v>0</v>
      </c>
      <c r="H453" s="22">
        <f t="shared" si="223"/>
        <v>0</v>
      </c>
      <c r="I453" s="22">
        <f t="shared" si="223"/>
        <v>0</v>
      </c>
      <c r="J453" s="22">
        <f t="shared" si="223"/>
        <v>0</v>
      </c>
      <c r="K453" s="22">
        <f t="shared" si="223"/>
        <v>0</v>
      </c>
      <c r="L453" s="22">
        <f t="shared" si="223"/>
        <v>0</v>
      </c>
      <c r="M453" s="22">
        <f t="shared" si="223"/>
        <v>0</v>
      </c>
      <c r="N453" s="22">
        <f t="shared" si="223"/>
        <v>0</v>
      </c>
      <c r="O453" s="21" t="s">
        <v>1193</v>
      </c>
      <c r="P453" s="23" t="s">
        <v>348</v>
      </c>
      <c r="Q453" s="24" t="s">
        <v>75</v>
      </c>
    </row>
    <row r="454" spans="1:17" ht="93" x14ac:dyDescent="0.25">
      <c r="A454" s="25" t="s">
        <v>1194</v>
      </c>
      <c r="B454" s="26" t="s">
        <v>1195</v>
      </c>
      <c r="C454" s="27" t="s">
        <v>256</v>
      </c>
      <c r="D454" s="27" t="s">
        <v>280</v>
      </c>
      <c r="E454" s="28">
        <f>SUM(E455:E455)+15000</f>
        <v>15000</v>
      </c>
      <c r="F454" s="28">
        <f>SUM(F455:F455)+15000</f>
        <v>15000</v>
      </c>
      <c r="G454" s="28">
        <f t="shared" ref="G454:N454" si="224">SUM(G455:G455)</f>
        <v>0</v>
      </c>
      <c r="H454" s="28">
        <f t="shared" si="224"/>
        <v>0</v>
      </c>
      <c r="I454" s="28">
        <f t="shared" si="224"/>
        <v>0</v>
      </c>
      <c r="J454" s="28">
        <f t="shared" si="224"/>
        <v>0</v>
      </c>
      <c r="K454" s="28">
        <f t="shared" si="224"/>
        <v>0</v>
      </c>
      <c r="L454" s="28">
        <f t="shared" si="224"/>
        <v>0</v>
      </c>
      <c r="M454" s="28">
        <f t="shared" si="224"/>
        <v>0</v>
      </c>
      <c r="N454" s="28">
        <f t="shared" si="224"/>
        <v>0</v>
      </c>
      <c r="O454" s="27" t="s">
        <v>1196</v>
      </c>
      <c r="P454" s="29" t="s">
        <v>34</v>
      </c>
      <c r="Q454" s="30" t="s">
        <v>75</v>
      </c>
    </row>
    <row r="455" spans="1:17" ht="46.5" x14ac:dyDescent="0.25">
      <c r="A455" s="25" t="s">
        <v>1197</v>
      </c>
      <c r="B455" s="26" t="s">
        <v>1198</v>
      </c>
      <c r="C455" s="27"/>
      <c r="D455" s="27"/>
      <c r="E455" s="31">
        <v>0</v>
      </c>
      <c r="F455" s="31">
        <v>0</v>
      </c>
      <c r="G455" s="31">
        <v>0</v>
      </c>
      <c r="H455" s="31">
        <v>0</v>
      </c>
      <c r="I455" s="31">
        <v>0</v>
      </c>
      <c r="J455" s="31">
        <v>0</v>
      </c>
      <c r="K455" s="31">
        <v>0</v>
      </c>
      <c r="L455" s="31">
        <v>0</v>
      </c>
      <c r="M455" s="31">
        <v>0</v>
      </c>
      <c r="N455" s="31">
        <v>0</v>
      </c>
      <c r="O455" s="27"/>
      <c r="P455" s="29"/>
      <c r="Q455" s="30"/>
    </row>
    <row r="456" spans="1:17" ht="67.5" x14ac:dyDescent="0.25">
      <c r="A456" s="19" t="s">
        <v>1199</v>
      </c>
      <c r="B456" s="20" t="s">
        <v>1200</v>
      </c>
      <c r="C456" s="21" t="s">
        <v>256</v>
      </c>
      <c r="D456" s="21" t="s">
        <v>955</v>
      </c>
      <c r="E456" s="22">
        <f t="shared" ref="E456:N456" si="225">SUM(E457:E457)</f>
        <v>5000</v>
      </c>
      <c r="F456" s="22">
        <f t="shared" si="225"/>
        <v>5000</v>
      </c>
      <c r="G456" s="22">
        <f t="shared" si="225"/>
        <v>0</v>
      </c>
      <c r="H456" s="22">
        <f t="shared" si="225"/>
        <v>0</v>
      </c>
      <c r="I456" s="22">
        <f t="shared" si="225"/>
        <v>0</v>
      </c>
      <c r="J456" s="22">
        <f t="shared" si="225"/>
        <v>0</v>
      </c>
      <c r="K456" s="22">
        <f t="shared" si="225"/>
        <v>0</v>
      </c>
      <c r="L456" s="22">
        <f t="shared" si="225"/>
        <v>0</v>
      </c>
      <c r="M456" s="22">
        <f t="shared" si="225"/>
        <v>0</v>
      </c>
      <c r="N456" s="22">
        <f t="shared" si="225"/>
        <v>0</v>
      </c>
      <c r="O456" s="21" t="s">
        <v>1201</v>
      </c>
      <c r="P456" s="23" t="s">
        <v>34</v>
      </c>
      <c r="Q456" s="24" t="s">
        <v>35</v>
      </c>
    </row>
    <row r="457" spans="1:17" ht="46.5" x14ac:dyDescent="0.25">
      <c r="A457" s="25" t="s">
        <v>1202</v>
      </c>
      <c r="B457" s="26" t="s">
        <v>1203</v>
      </c>
      <c r="C457" s="27" t="s">
        <v>256</v>
      </c>
      <c r="D457" s="27" t="s">
        <v>955</v>
      </c>
      <c r="E457" s="28">
        <f>SUM(E458:E458)+5000</f>
        <v>5000</v>
      </c>
      <c r="F457" s="28">
        <f>SUM(F458:F458)+5000</f>
        <v>5000</v>
      </c>
      <c r="G457" s="28">
        <f t="shared" ref="G457:N457" si="226">SUM(G458:G458)</f>
        <v>0</v>
      </c>
      <c r="H457" s="28">
        <f t="shared" si="226"/>
        <v>0</v>
      </c>
      <c r="I457" s="28">
        <f t="shared" si="226"/>
        <v>0</v>
      </c>
      <c r="J457" s="28">
        <f t="shared" si="226"/>
        <v>0</v>
      </c>
      <c r="K457" s="28">
        <f t="shared" si="226"/>
        <v>0</v>
      </c>
      <c r="L457" s="28">
        <f t="shared" si="226"/>
        <v>0</v>
      </c>
      <c r="M457" s="28">
        <f t="shared" si="226"/>
        <v>0</v>
      </c>
      <c r="N457" s="28">
        <f t="shared" si="226"/>
        <v>0</v>
      </c>
      <c r="O457" s="27" t="s">
        <v>1204</v>
      </c>
      <c r="P457" s="29" t="s">
        <v>348</v>
      </c>
      <c r="Q457" s="30" t="s">
        <v>35</v>
      </c>
    </row>
    <row r="458" spans="1:17" ht="46.5" x14ac:dyDescent="0.25">
      <c r="A458" s="25" t="s">
        <v>1205</v>
      </c>
      <c r="B458" s="26" t="s">
        <v>1206</v>
      </c>
      <c r="C458" s="27"/>
      <c r="D458" s="27"/>
      <c r="E458" s="31">
        <v>0</v>
      </c>
      <c r="F458" s="31">
        <v>0</v>
      </c>
      <c r="G458" s="31">
        <v>0</v>
      </c>
      <c r="H458" s="31">
        <v>0</v>
      </c>
      <c r="I458" s="31">
        <v>0</v>
      </c>
      <c r="J458" s="31">
        <v>0</v>
      </c>
      <c r="K458" s="31">
        <v>0</v>
      </c>
      <c r="L458" s="31">
        <v>0</v>
      </c>
      <c r="M458" s="31">
        <v>0</v>
      </c>
      <c r="N458" s="31">
        <v>0</v>
      </c>
      <c r="O458" s="27"/>
      <c r="P458" s="29"/>
      <c r="Q458" s="30"/>
    </row>
    <row r="459" spans="1:17" ht="45" x14ac:dyDescent="0.25">
      <c r="A459" s="13" t="s">
        <v>1207</v>
      </c>
      <c r="B459" s="14" t="s">
        <v>1208</v>
      </c>
      <c r="C459" s="15" t="s">
        <v>256</v>
      </c>
      <c r="D459" s="15" t="s">
        <v>259</v>
      </c>
      <c r="E459" s="16">
        <f t="shared" ref="E459:N459" si="227">E460+E494+E497+E500+E505</f>
        <v>3683820.45</v>
      </c>
      <c r="F459" s="16">
        <f t="shared" si="227"/>
        <v>1829514.22</v>
      </c>
      <c r="G459" s="16">
        <f t="shared" si="227"/>
        <v>18206.23</v>
      </c>
      <c r="H459" s="16">
        <f t="shared" si="227"/>
        <v>0</v>
      </c>
      <c r="I459" s="16">
        <f t="shared" si="227"/>
        <v>0</v>
      </c>
      <c r="J459" s="16">
        <f t="shared" si="227"/>
        <v>0</v>
      </c>
      <c r="K459" s="16">
        <f t="shared" si="227"/>
        <v>0</v>
      </c>
      <c r="L459" s="16">
        <f t="shared" si="227"/>
        <v>1836100</v>
      </c>
      <c r="M459" s="16">
        <f t="shared" si="227"/>
        <v>0</v>
      </c>
      <c r="N459" s="16">
        <f t="shared" si="227"/>
        <v>0</v>
      </c>
      <c r="O459" s="15" t="s">
        <v>1209</v>
      </c>
      <c r="P459" s="17" t="s">
        <v>29</v>
      </c>
      <c r="Q459" s="18" t="s">
        <v>344</v>
      </c>
    </row>
    <row r="460" spans="1:17" ht="90" x14ac:dyDescent="0.25">
      <c r="A460" s="19" t="s">
        <v>1210</v>
      </c>
      <c r="B460" s="20" t="s">
        <v>1211</v>
      </c>
      <c r="C460" s="21" t="s">
        <v>256</v>
      </c>
      <c r="D460" s="21" t="s">
        <v>259</v>
      </c>
      <c r="E460" s="22">
        <f t="shared" ref="E460:N460" si="228">E461+E464+E466+E468+E470+E472+E474+E476+E478+E480+E482+E484+E486+E488+E490+E492</f>
        <v>3069800.45</v>
      </c>
      <c r="F460" s="22">
        <f t="shared" si="228"/>
        <v>1233700.45</v>
      </c>
      <c r="G460" s="22">
        <f t="shared" si="228"/>
        <v>0</v>
      </c>
      <c r="H460" s="22">
        <f t="shared" si="228"/>
        <v>0</v>
      </c>
      <c r="I460" s="22">
        <f t="shared" si="228"/>
        <v>0</v>
      </c>
      <c r="J460" s="22">
        <f t="shared" si="228"/>
        <v>0</v>
      </c>
      <c r="K460" s="22">
        <f t="shared" si="228"/>
        <v>0</v>
      </c>
      <c r="L460" s="22">
        <f t="shared" si="228"/>
        <v>1836100</v>
      </c>
      <c r="M460" s="22">
        <f t="shared" si="228"/>
        <v>0</v>
      </c>
      <c r="N460" s="22">
        <f t="shared" si="228"/>
        <v>0</v>
      </c>
      <c r="O460" s="21" t="s">
        <v>1212</v>
      </c>
      <c r="P460" s="23" t="s">
        <v>348</v>
      </c>
      <c r="Q460" s="24" t="s">
        <v>184</v>
      </c>
    </row>
    <row r="461" spans="1:17" ht="116.25" x14ac:dyDescent="0.25">
      <c r="A461" s="25" t="s">
        <v>1213</v>
      </c>
      <c r="B461" s="26" t="s">
        <v>1214</v>
      </c>
      <c r="C461" s="27" t="s">
        <v>256</v>
      </c>
      <c r="D461" s="27" t="s">
        <v>280</v>
      </c>
      <c r="E461" s="28">
        <f>SUM(E462:E463)+2426800.45</f>
        <v>2426800.4500000002</v>
      </c>
      <c r="F461" s="28">
        <f>SUM(F462:F463)+590700.45</f>
        <v>590700.44999999995</v>
      </c>
      <c r="G461" s="28">
        <f>SUM(G462:G463)</f>
        <v>0</v>
      </c>
      <c r="H461" s="28">
        <f>SUM(H462:H463)</f>
        <v>0</v>
      </c>
      <c r="I461" s="28">
        <f>SUM(I462:I463)</f>
        <v>0</v>
      </c>
      <c r="J461" s="28">
        <f>SUM(J462:J463)</f>
        <v>0</v>
      </c>
      <c r="K461" s="28">
        <f>SUM(K462:K463)</f>
        <v>0</v>
      </c>
      <c r="L461" s="28">
        <f>SUM(L462:L463)+1836100</f>
        <v>1836100</v>
      </c>
      <c r="M461" s="28">
        <f>SUM(M462:M463)</f>
        <v>0</v>
      </c>
      <c r="N461" s="28">
        <f>SUM(N462:N463)</f>
        <v>0</v>
      </c>
      <c r="O461" s="27" t="s">
        <v>1215</v>
      </c>
      <c r="P461" s="29" t="s">
        <v>348</v>
      </c>
      <c r="Q461" s="30" t="s">
        <v>184</v>
      </c>
    </row>
    <row r="462" spans="1:17" ht="46.5" x14ac:dyDescent="0.25">
      <c r="A462" s="32"/>
      <c r="B462" s="33"/>
      <c r="C462" s="34"/>
      <c r="D462" s="34"/>
      <c r="E462" s="35">
        <v>0</v>
      </c>
      <c r="F462" s="35">
        <v>0</v>
      </c>
      <c r="G462" s="35">
        <v>0</v>
      </c>
      <c r="H462" s="35">
        <v>0</v>
      </c>
      <c r="I462" s="35">
        <v>0</v>
      </c>
      <c r="J462" s="35">
        <v>0</v>
      </c>
      <c r="K462" s="35">
        <v>0</v>
      </c>
      <c r="L462" s="35">
        <v>0</v>
      </c>
      <c r="M462" s="35">
        <v>0</v>
      </c>
      <c r="N462" s="35">
        <v>0</v>
      </c>
      <c r="O462" s="34" t="s">
        <v>1216</v>
      </c>
      <c r="P462" s="36" t="s">
        <v>34</v>
      </c>
      <c r="Q462" s="37" t="s">
        <v>184</v>
      </c>
    </row>
    <row r="463" spans="1:17" ht="232.5" x14ac:dyDescent="0.25">
      <c r="A463" s="25" t="s">
        <v>1217</v>
      </c>
      <c r="B463" s="26" t="s">
        <v>1218</v>
      </c>
      <c r="C463" s="27"/>
      <c r="D463" s="27"/>
      <c r="E463" s="31">
        <v>0</v>
      </c>
      <c r="F463" s="31">
        <v>0</v>
      </c>
      <c r="G463" s="31">
        <v>0</v>
      </c>
      <c r="H463" s="31">
        <v>0</v>
      </c>
      <c r="I463" s="31">
        <v>0</v>
      </c>
      <c r="J463" s="31">
        <v>0</v>
      </c>
      <c r="K463" s="31">
        <v>0</v>
      </c>
      <c r="L463" s="31">
        <v>0</v>
      </c>
      <c r="M463" s="31">
        <v>0</v>
      </c>
      <c r="N463" s="31">
        <v>0</v>
      </c>
      <c r="O463" s="27"/>
      <c r="P463" s="29"/>
      <c r="Q463" s="30"/>
    </row>
    <row r="464" spans="1:17" ht="69.75" x14ac:dyDescent="0.25">
      <c r="A464" s="25" t="s">
        <v>1219</v>
      </c>
      <c r="B464" s="26" t="s">
        <v>1220</v>
      </c>
      <c r="C464" s="27" t="s">
        <v>745</v>
      </c>
      <c r="D464" s="27" t="s">
        <v>746</v>
      </c>
      <c r="E464" s="28">
        <f>SUM(E465:E465)+28370</f>
        <v>28370</v>
      </c>
      <c r="F464" s="28">
        <f>SUM(F465:F465)+28370</f>
        <v>28370</v>
      </c>
      <c r="G464" s="28">
        <f t="shared" ref="G464:N464" si="229">SUM(G465:G465)</f>
        <v>0</v>
      </c>
      <c r="H464" s="28">
        <f t="shared" si="229"/>
        <v>0</v>
      </c>
      <c r="I464" s="28">
        <f t="shared" si="229"/>
        <v>0</v>
      </c>
      <c r="J464" s="28">
        <f t="shared" si="229"/>
        <v>0</v>
      </c>
      <c r="K464" s="28">
        <f t="shared" si="229"/>
        <v>0</v>
      </c>
      <c r="L464" s="28">
        <f t="shared" si="229"/>
        <v>0</v>
      </c>
      <c r="M464" s="28">
        <f t="shared" si="229"/>
        <v>0</v>
      </c>
      <c r="N464" s="28">
        <f t="shared" si="229"/>
        <v>0</v>
      </c>
      <c r="O464" s="27" t="s">
        <v>1221</v>
      </c>
      <c r="P464" s="29" t="s">
        <v>348</v>
      </c>
      <c r="Q464" s="30" t="s">
        <v>1222</v>
      </c>
    </row>
    <row r="465" spans="1:17" ht="46.5" x14ac:dyDescent="0.25">
      <c r="A465" s="25" t="s">
        <v>1223</v>
      </c>
      <c r="B465" s="26" t="s">
        <v>1224</v>
      </c>
      <c r="C465" s="27"/>
      <c r="D465" s="27"/>
      <c r="E465" s="31">
        <v>0</v>
      </c>
      <c r="F465" s="31">
        <v>0</v>
      </c>
      <c r="G465" s="31">
        <v>0</v>
      </c>
      <c r="H465" s="31">
        <v>0</v>
      </c>
      <c r="I465" s="31">
        <v>0</v>
      </c>
      <c r="J465" s="31">
        <v>0</v>
      </c>
      <c r="K465" s="31">
        <v>0</v>
      </c>
      <c r="L465" s="31">
        <v>0</v>
      </c>
      <c r="M465" s="31">
        <v>0</v>
      </c>
      <c r="N465" s="31">
        <v>0</v>
      </c>
      <c r="O465" s="27"/>
      <c r="P465" s="29"/>
      <c r="Q465" s="30"/>
    </row>
    <row r="466" spans="1:17" ht="69.75" x14ac:dyDescent="0.25">
      <c r="A466" s="25" t="s">
        <v>1225</v>
      </c>
      <c r="B466" s="26" t="s">
        <v>1226</v>
      </c>
      <c r="C466" s="27" t="s">
        <v>754</v>
      </c>
      <c r="D466" s="27" t="s">
        <v>755</v>
      </c>
      <c r="E466" s="28">
        <f>SUM(E467:E467)+27610</f>
        <v>27610</v>
      </c>
      <c r="F466" s="28">
        <f>SUM(F467:F467)+27610</f>
        <v>27610</v>
      </c>
      <c r="G466" s="28">
        <f t="shared" ref="G466:N466" si="230">SUM(G467:G467)</f>
        <v>0</v>
      </c>
      <c r="H466" s="28">
        <f t="shared" si="230"/>
        <v>0</v>
      </c>
      <c r="I466" s="28">
        <f t="shared" si="230"/>
        <v>0</v>
      </c>
      <c r="J466" s="28">
        <f t="shared" si="230"/>
        <v>0</v>
      </c>
      <c r="K466" s="28">
        <f t="shared" si="230"/>
        <v>0</v>
      </c>
      <c r="L466" s="28">
        <f t="shared" si="230"/>
        <v>0</v>
      </c>
      <c r="M466" s="28">
        <f t="shared" si="230"/>
        <v>0</v>
      </c>
      <c r="N466" s="28">
        <f t="shared" si="230"/>
        <v>0</v>
      </c>
      <c r="O466" s="27" t="s">
        <v>1221</v>
      </c>
      <c r="P466" s="29" t="s">
        <v>348</v>
      </c>
      <c r="Q466" s="30" t="s">
        <v>1227</v>
      </c>
    </row>
    <row r="467" spans="1:17" ht="46.5" x14ac:dyDescent="0.25">
      <c r="A467" s="25" t="s">
        <v>1228</v>
      </c>
      <c r="B467" s="26" t="s">
        <v>1224</v>
      </c>
      <c r="C467" s="27"/>
      <c r="D467" s="27"/>
      <c r="E467" s="31">
        <v>0</v>
      </c>
      <c r="F467" s="31">
        <v>0</v>
      </c>
      <c r="G467" s="31">
        <v>0</v>
      </c>
      <c r="H467" s="31">
        <v>0</v>
      </c>
      <c r="I467" s="31">
        <v>0</v>
      </c>
      <c r="J467" s="31">
        <v>0</v>
      </c>
      <c r="K467" s="31">
        <v>0</v>
      </c>
      <c r="L467" s="31">
        <v>0</v>
      </c>
      <c r="M467" s="31">
        <v>0</v>
      </c>
      <c r="N467" s="31">
        <v>0</v>
      </c>
      <c r="O467" s="27"/>
      <c r="P467" s="29"/>
      <c r="Q467" s="30"/>
    </row>
    <row r="468" spans="1:17" ht="69.75" x14ac:dyDescent="0.25">
      <c r="A468" s="25" t="s">
        <v>1229</v>
      </c>
      <c r="B468" s="26" t="s">
        <v>1230</v>
      </c>
      <c r="C468" s="27" t="s">
        <v>85</v>
      </c>
      <c r="D468" s="27" t="s">
        <v>760</v>
      </c>
      <c r="E468" s="28">
        <f>SUM(E469:E469)+44060</f>
        <v>44060</v>
      </c>
      <c r="F468" s="28">
        <f>SUM(F469:F469)+44060</f>
        <v>44060</v>
      </c>
      <c r="G468" s="28">
        <f t="shared" ref="G468:N468" si="231">SUM(G469:G469)</f>
        <v>0</v>
      </c>
      <c r="H468" s="28">
        <f t="shared" si="231"/>
        <v>0</v>
      </c>
      <c r="I468" s="28">
        <f t="shared" si="231"/>
        <v>0</v>
      </c>
      <c r="J468" s="28">
        <f t="shared" si="231"/>
        <v>0</v>
      </c>
      <c r="K468" s="28">
        <f t="shared" si="231"/>
        <v>0</v>
      </c>
      <c r="L468" s="28">
        <f t="shared" si="231"/>
        <v>0</v>
      </c>
      <c r="M468" s="28">
        <f t="shared" si="231"/>
        <v>0</v>
      </c>
      <c r="N468" s="28">
        <f t="shared" si="231"/>
        <v>0</v>
      </c>
      <c r="O468" s="27" t="s">
        <v>1221</v>
      </c>
      <c r="P468" s="29" t="s">
        <v>348</v>
      </c>
      <c r="Q468" s="30" t="s">
        <v>1231</v>
      </c>
    </row>
    <row r="469" spans="1:17" ht="46.5" x14ac:dyDescent="0.25">
      <c r="A469" s="25" t="s">
        <v>1232</v>
      </c>
      <c r="B469" s="26" t="s">
        <v>1224</v>
      </c>
      <c r="C469" s="27"/>
      <c r="D469" s="27"/>
      <c r="E469" s="31">
        <v>0</v>
      </c>
      <c r="F469" s="31">
        <v>0</v>
      </c>
      <c r="G469" s="31">
        <v>0</v>
      </c>
      <c r="H469" s="31">
        <v>0</v>
      </c>
      <c r="I469" s="31">
        <v>0</v>
      </c>
      <c r="J469" s="31">
        <v>0</v>
      </c>
      <c r="K469" s="31">
        <v>0</v>
      </c>
      <c r="L469" s="31">
        <v>0</v>
      </c>
      <c r="M469" s="31">
        <v>0</v>
      </c>
      <c r="N469" s="31">
        <v>0</v>
      </c>
      <c r="O469" s="27"/>
      <c r="P469" s="29"/>
      <c r="Q469" s="30"/>
    </row>
    <row r="470" spans="1:17" ht="69.75" x14ac:dyDescent="0.25">
      <c r="A470" s="25" t="s">
        <v>1233</v>
      </c>
      <c r="B470" s="26" t="s">
        <v>1234</v>
      </c>
      <c r="C470" s="27" t="s">
        <v>765</v>
      </c>
      <c r="D470" s="27" t="s">
        <v>766</v>
      </c>
      <c r="E470" s="28">
        <f>SUM(E471:E471)+42190</f>
        <v>42190</v>
      </c>
      <c r="F470" s="28">
        <f>SUM(F471:F471)+42190</f>
        <v>42190</v>
      </c>
      <c r="G470" s="28">
        <f t="shared" ref="G470:N470" si="232">SUM(G471:G471)</f>
        <v>0</v>
      </c>
      <c r="H470" s="28">
        <f t="shared" si="232"/>
        <v>0</v>
      </c>
      <c r="I470" s="28">
        <f t="shared" si="232"/>
        <v>0</v>
      </c>
      <c r="J470" s="28">
        <f t="shared" si="232"/>
        <v>0</v>
      </c>
      <c r="K470" s="28">
        <f t="shared" si="232"/>
        <v>0</v>
      </c>
      <c r="L470" s="28">
        <f t="shared" si="232"/>
        <v>0</v>
      </c>
      <c r="M470" s="28">
        <f t="shared" si="232"/>
        <v>0</v>
      </c>
      <c r="N470" s="28">
        <f t="shared" si="232"/>
        <v>0</v>
      </c>
      <c r="O470" s="27" t="s">
        <v>1221</v>
      </c>
      <c r="P470" s="29" t="s">
        <v>348</v>
      </c>
      <c r="Q470" s="30" t="s">
        <v>1235</v>
      </c>
    </row>
    <row r="471" spans="1:17" ht="46.5" x14ac:dyDescent="0.25">
      <c r="A471" s="25" t="s">
        <v>1236</v>
      </c>
      <c r="B471" s="26" t="s">
        <v>1224</v>
      </c>
      <c r="C471" s="27"/>
      <c r="D471" s="27"/>
      <c r="E471" s="31">
        <v>0</v>
      </c>
      <c r="F471" s="31">
        <v>0</v>
      </c>
      <c r="G471" s="31">
        <v>0</v>
      </c>
      <c r="H471" s="31">
        <v>0</v>
      </c>
      <c r="I471" s="31">
        <v>0</v>
      </c>
      <c r="J471" s="31">
        <v>0</v>
      </c>
      <c r="K471" s="31">
        <v>0</v>
      </c>
      <c r="L471" s="31">
        <v>0</v>
      </c>
      <c r="M471" s="31">
        <v>0</v>
      </c>
      <c r="N471" s="31">
        <v>0</v>
      </c>
      <c r="O471" s="27"/>
      <c r="P471" s="29"/>
      <c r="Q471" s="30"/>
    </row>
    <row r="472" spans="1:17" ht="69.75" x14ac:dyDescent="0.25">
      <c r="A472" s="25" t="s">
        <v>1237</v>
      </c>
      <c r="B472" s="26" t="s">
        <v>1238</v>
      </c>
      <c r="C472" s="27" t="s">
        <v>92</v>
      </c>
      <c r="D472" s="27" t="s">
        <v>771</v>
      </c>
      <c r="E472" s="28">
        <f>SUM(E473:E473)+39680</f>
        <v>39680</v>
      </c>
      <c r="F472" s="28">
        <f>SUM(F473:F473)+39680</f>
        <v>39680</v>
      </c>
      <c r="G472" s="28">
        <f t="shared" ref="G472:N472" si="233">SUM(G473:G473)</f>
        <v>0</v>
      </c>
      <c r="H472" s="28">
        <f t="shared" si="233"/>
        <v>0</v>
      </c>
      <c r="I472" s="28">
        <f t="shared" si="233"/>
        <v>0</v>
      </c>
      <c r="J472" s="28">
        <f t="shared" si="233"/>
        <v>0</v>
      </c>
      <c r="K472" s="28">
        <f t="shared" si="233"/>
        <v>0</v>
      </c>
      <c r="L472" s="28">
        <f t="shared" si="233"/>
        <v>0</v>
      </c>
      <c r="M472" s="28">
        <f t="shared" si="233"/>
        <v>0</v>
      </c>
      <c r="N472" s="28">
        <f t="shared" si="233"/>
        <v>0</v>
      </c>
      <c r="O472" s="27" t="s">
        <v>1221</v>
      </c>
      <c r="P472" s="29" t="s">
        <v>348</v>
      </c>
      <c r="Q472" s="30" t="s">
        <v>1239</v>
      </c>
    </row>
    <row r="473" spans="1:17" ht="46.5" x14ac:dyDescent="0.25">
      <c r="A473" s="25" t="s">
        <v>1240</v>
      </c>
      <c r="B473" s="26" t="s">
        <v>1224</v>
      </c>
      <c r="C473" s="27"/>
      <c r="D473" s="27"/>
      <c r="E473" s="31">
        <v>0</v>
      </c>
      <c r="F473" s="31">
        <v>0</v>
      </c>
      <c r="G473" s="31">
        <v>0</v>
      </c>
      <c r="H473" s="31">
        <v>0</v>
      </c>
      <c r="I473" s="31">
        <v>0</v>
      </c>
      <c r="J473" s="31">
        <v>0</v>
      </c>
      <c r="K473" s="31">
        <v>0</v>
      </c>
      <c r="L473" s="31">
        <v>0</v>
      </c>
      <c r="M473" s="31">
        <v>0</v>
      </c>
      <c r="N473" s="31">
        <v>0</v>
      </c>
      <c r="O473" s="27"/>
      <c r="P473" s="29"/>
      <c r="Q473" s="30"/>
    </row>
    <row r="474" spans="1:17" ht="69.75" x14ac:dyDescent="0.25">
      <c r="A474" s="25" t="s">
        <v>1241</v>
      </c>
      <c r="B474" s="26" t="s">
        <v>1242</v>
      </c>
      <c r="C474" s="27" t="s">
        <v>97</v>
      </c>
      <c r="D474" s="27" t="s">
        <v>776</v>
      </c>
      <c r="E474" s="28">
        <f>SUM(E475:E475)+28480</f>
        <v>28480</v>
      </c>
      <c r="F474" s="28">
        <f>SUM(F475:F475)+28480</f>
        <v>28480</v>
      </c>
      <c r="G474" s="28">
        <f t="shared" ref="G474:N474" si="234">SUM(G475:G475)</f>
        <v>0</v>
      </c>
      <c r="H474" s="28">
        <f t="shared" si="234"/>
        <v>0</v>
      </c>
      <c r="I474" s="28">
        <f t="shared" si="234"/>
        <v>0</v>
      </c>
      <c r="J474" s="28">
        <f t="shared" si="234"/>
        <v>0</v>
      </c>
      <c r="K474" s="28">
        <f t="shared" si="234"/>
        <v>0</v>
      </c>
      <c r="L474" s="28">
        <f t="shared" si="234"/>
        <v>0</v>
      </c>
      <c r="M474" s="28">
        <f t="shared" si="234"/>
        <v>0</v>
      </c>
      <c r="N474" s="28">
        <f t="shared" si="234"/>
        <v>0</v>
      </c>
      <c r="O474" s="27" t="s">
        <v>1221</v>
      </c>
      <c r="P474" s="29" t="s">
        <v>348</v>
      </c>
      <c r="Q474" s="30" t="s">
        <v>1243</v>
      </c>
    </row>
    <row r="475" spans="1:17" ht="46.5" x14ac:dyDescent="0.25">
      <c r="A475" s="25" t="s">
        <v>1244</v>
      </c>
      <c r="B475" s="26" t="s">
        <v>1224</v>
      </c>
      <c r="C475" s="27"/>
      <c r="D475" s="27"/>
      <c r="E475" s="31">
        <v>0</v>
      </c>
      <c r="F475" s="31">
        <v>0</v>
      </c>
      <c r="G475" s="31">
        <v>0</v>
      </c>
      <c r="H475" s="31">
        <v>0</v>
      </c>
      <c r="I475" s="31">
        <v>0</v>
      </c>
      <c r="J475" s="31">
        <v>0</v>
      </c>
      <c r="K475" s="31">
        <v>0</v>
      </c>
      <c r="L475" s="31">
        <v>0</v>
      </c>
      <c r="M475" s="31">
        <v>0</v>
      </c>
      <c r="N475" s="31">
        <v>0</v>
      </c>
      <c r="O475" s="27"/>
      <c r="P475" s="29"/>
      <c r="Q475" s="30"/>
    </row>
    <row r="476" spans="1:17" ht="69.75" x14ac:dyDescent="0.25">
      <c r="A476" s="25" t="s">
        <v>1245</v>
      </c>
      <c r="B476" s="26" t="s">
        <v>1246</v>
      </c>
      <c r="C476" s="27" t="s">
        <v>102</v>
      </c>
      <c r="D476" s="27" t="s">
        <v>781</v>
      </c>
      <c r="E476" s="28">
        <f>SUM(E477:E477)+21050</f>
        <v>21050</v>
      </c>
      <c r="F476" s="28">
        <f>SUM(F477:F477)+21050</f>
        <v>21050</v>
      </c>
      <c r="G476" s="28">
        <f t="shared" ref="G476:N476" si="235">SUM(G477:G477)</f>
        <v>0</v>
      </c>
      <c r="H476" s="28">
        <f t="shared" si="235"/>
        <v>0</v>
      </c>
      <c r="I476" s="28">
        <f t="shared" si="235"/>
        <v>0</v>
      </c>
      <c r="J476" s="28">
        <f t="shared" si="235"/>
        <v>0</v>
      </c>
      <c r="K476" s="28">
        <f t="shared" si="235"/>
        <v>0</v>
      </c>
      <c r="L476" s="28">
        <f t="shared" si="235"/>
        <v>0</v>
      </c>
      <c r="M476" s="28">
        <f t="shared" si="235"/>
        <v>0</v>
      </c>
      <c r="N476" s="28">
        <f t="shared" si="235"/>
        <v>0</v>
      </c>
      <c r="O476" s="27" t="s">
        <v>1221</v>
      </c>
      <c r="P476" s="29" t="s">
        <v>348</v>
      </c>
      <c r="Q476" s="30" t="s">
        <v>1247</v>
      </c>
    </row>
    <row r="477" spans="1:17" ht="46.5" x14ac:dyDescent="0.25">
      <c r="A477" s="25" t="s">
        <v>1248</v>
      </c>
      <c r="B477" s="26" t="s">
        <v>1224</v>
      </c>
      <c r="C477" s="27"/>
      <c r="D477" s="27"/>
      <c r="E477" s="31">
        <v>0</v>
      </c>
      <c r="F477" s="31">
        <v>0</v>
      </c>
      <c r="G477" s="31">
        <v>0</v>
      </c>
      <c r="H477" s="31">
        <v>0</v>
      </c>
      <c r="I477" s="31">
        <v>0</v>
      </c>
      <c r="J477" s="31">
        <v>0</v>
      </c>
      <c r="K477" s="31">
        <v>0</v>
      </c>
      <c r="L477" s="31">
        <v>0</v>
      </c>
      <c r="M477" s="31">
        <v>0</v>
      </c>
      <c r="N477" s="31">
        <v>0</v>
      </c>
      <c r="O477" s="27"/>
      <c r="P477" s="29"/>
      <c r="Q477" s="30"/>
    </row>
    <row r="478" spans="1:17" ht="69.75" x14ac:dyDescent="0.25">
      <c r="A478" s="25" t="s">
        <v>1249</v>
      </c>
      <c r="B478" s="26" t="s">
        <v>1250</v>
      </c>
      <c r="C478" s="27" t="s">
        <v>786</v>
      </c>
      <c r="D478" s="27" t="s">
        <v>787</v>
      </c>
      <c r="E478" s="28">
        <f>SUM(E479:E479)+47840</f>
        <v>47840</v>
      </c>
      <c r="F478" s="28">
        <f>SUM(F479:F479)+47840</f>
        <v>47840</v>
      </c>
      <c r="G478" s="28">
        <f t="shared" ref="G478:N478" si="236">SUM(G479:G479)</f>
        <v>0</v>
      </c>
      <c r="H478" s="28">
        <f t="shared" si="236"/>
        <v>0</v>
      </c>
      <c r="I478" s="28">
        <f t="shared" si="236"/>
        <v>0</v>
      </c>
      <c r="J478" s="28">
        <f t="shared" si="236"/>
        <v>0</v>
      </c>
      <c r="K478" s="28">
        <f t="shared" si="236"/>
        <v>0</v>
      </c>
      <c r="L478" s="28">
        <f t="shared" si="236"/>
        <v>0</v>
      </c>
      <c r="M478" s="28">
        <f t="shared" si="236"/>
        <v>0</v>
      </c>
      <c r="N478" s="28">
        <f t="shared" si="236"/>
        <v>0</v>
      </c>
      <c r="O478" s="27" t="s">
        <v>1221</v>
      </c>
      <c r="P478" s="29" t="s">
        <v>348</v>
      </c>
      <c r="Q478" s="30" t="s">
        <v>1251</v>
      </c>
    </row>
    <row r="479" spans="1:17" ht="46.5" x14ac:dyDescent="0.25">
      <c r="A479" s="25" t="s">
        <v>1252</v>
      </c>
      <c r="B479" s="26" t="s">
        <v>1224</v>
      </c>
      <c r="C479" s="27"/>
      <c r="D479" s="27"/>
      <c r="E479" s="31">
        <v>0</v>
      </c>
      <c r="F479" s="31">
        <v>0</v>
      </c>
      <c r="G479" s="31">
        <v>0</v>
      </c>
      <c r="H479" s="31">
        <v>0</v>
      </c>
      <c r="I479" s="31">
        <v>0</v>
      </c>
      <c r="J479" s="31">
        <v>0</v>
      </c>
      <c r="K479" s="31">
        <v>0</v>
      </c>
      <c r="L479" s="31">
        <v>0</v>
      </c>
      <c r="M479" s="31">
        <v>0</v>
      </c>
      <c r="N479" s="31">
        <v>0</v>
      </c>
      <c r="O479" s="27"/>
      <c r="P479" s="29"/>
      <c r="Q479" s="30"/>
    </row>
    <row r="480" spans="1:17" ht="69.75" x14ac:dyDescent="0.25">
      <c r="A480" s="25" t="s">
        <v>1253</v>
      </c>
      <c r="B480" s="26" t="s">
        <v>1254</v>
      </c>
      <c r="C480" s="27" t="s">
        <v>792</v>
      </c>
      <c r="D480" s="27" t="s">
        <v>793</v>
      </c>
      <c r="E480" s="28">
        <f>SUM(E481:E481)+35130</f>
        <v>35130</v>
      </c>
      <c r="F480" s="28">
        <f>SUM(F481:F481)+35130</f>
        <v>35130</v>
      </c>
      <c r="G480" s="28">
        <f t="shared" ref="G480:N480" si="237">SUM(G481:G481)</f>
        <v>0</v>
      </c>
      <c r="H480" s="28">
        <f t="shared" si="237"/>
        <v>0</v>
      </c>
      <c r="I480" s="28">
        <f t="shared" si="237"/>
        <v>0</v>
      </c>
      <c r="J480" s="28">
        <f t="shared" si="237"/>
        <v>0</v>
      </c>
      <c r="K480" s="28">
        <f t="shared" si="237"/>
        <v>0</v>
      </c>
      <c r="L480" s="28">
        <f t="shared" si="237"/>
        <v>0</v>
      </c>
      <c r="M480" s="28">
        <f t="shared" si="237"/>
        <v>0</v>
      </c>
      <c r="N480" s="28">
        <f t="shared" si="237"/>
        <v>0</v>
      </c>
      <c r="O480" s="27" t="s">
        <v>1221</v>
      </c>
      <c r="P480" s="29" t="s">
        <v>348</v>
      </c>
      <c r="Q480" s="30" t="s">
        <v>1255</v>
      </c>
    </row>
    <row r="481" spans="1:17" ht="46.5" x14ac:dyDescent="0.25">
      <c r="A481" s="25" t="s">
        <v>1256</v>
      </c>
      <c r="B481" s="26" t="s">
        <v>1224</v>
      </c>
      <c r="C481" s="27"/>
      <c r="D481" s="27"/>
      <c r="E481" s="31">
        <v>0</v>
      </c>
      <c r="F481" s="31">
        <v>0</v>
      </c>
      <c r="G481" s="31">
        <v>0</v>
      </c>
      <c r="H481" s="31">
        <v>0</v>
      </c>
      <c r="I481" s="31">
        <v>0</v>
      </c>
      <c r="J481" s="31">
        <v>0</v>
      </c>
      <c r="K481" s="31">
        <v>0</v>
      </c>
      <c r="L481" s="31">
        <v>0</v>
      </c>
      <c r="M481" s="31">
        <v>0</v>
      </c>
      <c r="N481" s="31">
        <v>0</v>
      </c>
      <c r="O481" s="27"/>
      <c r="P481" s="29"/>
      <c r="Q481" s="30"/>
    </row>
    <row r="482" spans="1:17" ht="69.75" x14ac:dyDescent="0.25">
      <c r="A482" s="25" t="s">
        <v>1257</v>
      </c>
      <c r="B482" s="26" t="s">
        <v>1258</v>
      </c>
      <c r="C482" s="27" t="s">
        <v>798</v>
      </c>
      <c r="D482" s="27" t="s">
        <v>799</v>
      </c>
      <c r="E482" s="28">
        <f>SUM(E483:E483)+30350</f>
        <v>30350</v>
      </c>
      <c r="F482" s="28">
        <f>SUM(F483:F483)+30350</f>
        <v>30350</v>
      </c>
      <c r="G482" s="28">
        <f t="shared" ref="G482:N482" si="238">SUM(G483:G483)</f>
        <v>0</v>
      </c>
      <c r="H482" s="28">
        <f t="shared" si="238"/>
        <v>0</v>
      </c>
      <c r="I482" s="28">
        <f t="shared" si="238"/>
        <v>0</v>
      </c>
      <c r="J482" s="28">
        <f t="shared" si="238"/>
        <v>0</v>
      </c>
      <c r="K482" s="28">
        <f t="shared" si="238"/>
        <v>0</v>
      </c>
      <c r="L482" s="28">
        <f t="shared" si="238"/>
        <v>0</v>
      </c>
      <c r="M482" s="28">
        <f t="shared" si="238"/>
        <v>0</v>
      </c>
      <c r="N482" s="28">
        <f t="shared" si="238"/>
        <v>0</v>
      </c>
      <c r="O482" s="27" t="s">
        <v>1221</v>
      </c>
      <c r="P482" s="29" t="s">
        <v>348</v>
      </c>
      <c r="Q482" s="30" t="s">
        <v>1259</v>
      </c>
    </row>
    <row r="483" spans="1:17" ht="46.5" x14ac:dyDescent="0.25">
      <c r="A483" s="25" t="s">
        <v>1260</v>
      </c>
      <c r="B483" s="26" t="s">
        <v>1224</v>
      </c>
      <c r="C483" s="27"/>
      <c r="D483" s="27"/>
      <c r="E483" s="31">
        <v>0</v>
      </c>
      <c r="F483" s="31">
        <v>0</v>
      </c>
      <c r="G483" s="31">
        <v>0</v>
      </c>
      <c r="H483" s="31">
        <v>0</v>
      </c>
      <c r="I483" s="31">
        <v>0</v>
      </c>
      <c r="J483" s="31">
        <v>0</v>
      </c>
      <c r="K483" s="31">
        <v>0</v>
      </c>
      <c r="L483" s="31">
        <v>0</v>
      </c>
      <c r="M483" s="31">
        <v>0</v>
      </c>
      <c r="N483" s="31">
        <v>0</v>
      </c>
      <c r="O483" s="27"/>
      <c r="P483" s="29"/>
      <c r="Q483" s="30"/>
    </row>
    <row r="484" spans="1:17" ht="69.75" x14ac:dyDescent="0.25">
      <c r="A484" s="25" t="s">
        <v>1261</v>
      </c>
      <c r="B484" s="26" t="s">
        <v>1262</v>
      </c>
      <c r="C484" s="27" t="s">
        <v>806</v>
      </c>
      <c r="D484" s="27" t="s">
        <v>807</v>
      </c>
      <c r="E484" s="28">
        <f>SUM(E485:E485)+15900</f>
        <v>15900</v>
      </c>
      <c r="F484" s="28">
        <f>SUM(F485:F485)+15900</f>
        <v>15900</v>
      </c>
      <c r="G484" s="28">
        <f t="shared" ref="G484:N484" si="239">SUM(G485:G485)</f>
        <v>0</v>
      </c>
      <c r="H484" s="28">
        <f t="shared" si="239"/>
        <v>0</v>
      </c>
      <c r="I484" s="28">
        <f t="shared" si="239"/>
        <v>0</v>
      </c>
      <c r="J484" s="28">
        <f t="shared" si="239"/>
        <v>0</v>
      </c>
      <c r="K484" s="28">
        <f t="shared" si="239"/>
        <v>0</v>
      </c>
      <c r="L484" s="28">
        <f t="shared" si="239"/>
        <v>0</v>
      </c>
      <c r="M484" s="28">
        <f t="shared" si="239"/>
        <v>0</v>
      </c>
      <c r="N484" s="28">
        <f t="shared" si="239"/>
        <v>0</v>
      </c>
      <c r="O484" s="27" t="s">
        <v>1221</v>
      </c>
      <c r="P484" s="29" t="s">
        <v>348</v>
      </c>
      <c r="Q484" s="30" t="s">
        <v>1263</v>
      </c>
    </row>
    <row r="485" spans="1:17" ht="46.5" x14ac:dyDescent="0.25">
      <c r="A485" s="25" t="s">
        <v>1264</v>
      </c>
      <c r="B485" s="26" t="s">
        <v>1224</v>
      </c>
      <c r="C485" s="27"/>
      <c r="D485" s="27"/>
      <c r="E485" s="31">
        <v>0</v>
      </c>
      <c r="F485" s="31">
        <v>0</v>
      </c>
      <c r="G485" s="31">
        <v>0</v>
      </c>
      <c r="H485" s="31">
        <v>0</v>
      </c>
      <c r="I485" s="31">
        <v>0</v>
      </c>
      <c r="J485" s="31">
        <v>0</v>
      </c>
      <c r="K485" s="31">
        <v>0</v>
      </c>
      <c r="L485" s="31">
        <v>0</v>
      </c>
      <c r="M485" s="31">
        <v>0</v>
      </c>
      <c r="N485" s="31">
        <v>0</v>
      </c>
      <c r="O485" s="27"/>
      <c r="P485" s="29"/>
      <c r="Q485" s="30"/>
    </row>
    <row r="486" spans="1:17" ht="69.75" x14ac:dyDescent="0.25">
      <c r="A486" s="25" t="s">
        <v>1265</v>
      </c>
      <c r="B486" s="26" t="s">
        <v>1266</v>
      </c>
      <c r="C486" s="27" t="s">
        <v>812</v>
      </c>
      <c r="D486" s="27" t="s">
        <v>813</v>
      </c>
      <c r="E486" s="28">
        <f>SUM(E487:E487)+22840</f>
        <v>22840</v>
      </c>
      <c r="F486" s="28">
        <f>SUM(F487:F487)+22840</f>
        <v>22840</v>
      </c>
      <c r="G486" s="28">
        <f t="shared" ref="G486:N486" si="240">SUM(G487:G487)</f>
        <v>0</v>
      </c>
      <c r="H486" s="28">
        <f t="shared" si="240"/>
        <v>0</v>
      </c>
      <c r="I486" s="28">
        <f t="shared" si="240"/>
        <v>0</v>
      </c>
      <c r="J486" s="28">
        <f t="shared" si="240"/>
        <v>0</v>
      </c>
      <c r="K486" s="28">
        <f t="shared" si="240"/>
        <v>0</v>
      </c>
      <c r="L486" s="28">
        <f t="shared" si="240"/>
        <v>0</v>
      </c>
      <c r="M486" s="28">
        <f t="shared" si="240"/>
        <v>0</v>
      </c>
      <c r="N486" s="28">
        <f t="shared" si="240"/>
        <v>0</v>
      </c>
      <c r="O486" s="27" t="s">
        <v>1221</v>
      </c>
      <c r="P486" s="29" t="s">
        <v>348</v>
      </c>
      <c r="Q486" s="30" t="s">
        <v>1267</v>
      </c>
    </row>
    <row r="487" spans="1:17" ht="46.5" x14ac:dyDescent="0.25">
      <c r="A487" s="25" t="s">
        <v>1268</v>
      </c>
      <c r="B487" s="26" t="s">
        <v>1224</v>
      </c>
      <c r="C487" s="27"/>
      <c r="D487" s="27"/>
      <c r="E487" s="31">
        <v>0</v>
      </c>
      <c r="F487" s="31">
        <v>0</v>
      </c>
      <c r="G487" s="31">
        <v>0</v>
      </c>
      <c r="H487" s="31">
        <v>0</v>
      </c>
      <c r="I487" s="31">
        <v>0</v>
      </c>
      <c r="J487" s="31">
        <v>0</v>
      </c>
      <c r="K487" s="31">
        <v>0</v>
      </c>
      <c r="L487" s="31">
        <v>0</v>
      </c>
      <c r="M487" s="31">
        <v>0</v>
      </c>
      <c r="N487" s="31">
        <v>0</v>
      </c>
      <c r="O487" s="27"/>
      <c r="P487" s="29"/>
      <c r="Q487" s="30"/>
    </row>
    <row r="488" spans="1:17" ht="69.75" x14ac:dyDescent="0.25">
      <c r="A488" s="25" t="s">
        <v>1269</v>
      </c>
      <c r="B488" s="26" t="s">
        <v>1270</v>
      </c>
      <c r="C488" s="27" t="s">
        <v>818</v>
      </c>
      <c r="D488" s="27" t="s">
        <v>819</v>
      </c>
      <c r="E488" s="28">
        <f>SUM(E489:E489)+92680</f>
        <v>92680</v>
      </c>
      <c r="F488" s="28">
        <f>SUM(F489:F489)+92680</f>
        <v>92680</v>
      </c>
      <c r="G488" s="28">
        <f t="shared" ref="G488:N488" si="241">SUM(G489:G489)</f>
        <v>0</v>
      </c>
      <c r="H488" s="28">
        <f t="shared" si="241"/>
        <v>0</v>
      </c>
      <c r="I488" s="28">
        <f t="shared" si="241"/>
        <v>0</v>
      </c>
      <c r="J488" s="28">
        <f t="shared" si="241"/>
        <v>0</v>
      </c>
      <c r="K488" s="28">
        <f t="shared" si="241"/>
        <v>0</v>
      </c>
      <c r="L488" s="28">
        <f t="shared" si="241"/>
        <v>0</v>
      </c>
      <c r="M488" s="28">
        <f t="shared" si="241"/>
        <v>0</v>
      </c>
      <c r="N488" s="28">
        <f t="shared" si="241"/>
        <v>0</v>
      </c>
      <c r="O488" s="27" t="s">
        <v>1221</v>
      </c>
      <c r="P488" s="29" t="s">
        <v>348</v>
      </c>
      <c r="Q488" s="30" t="s">
        <v>1271</v>
      </c>
    </row>
    <row r="489" spans="1:17" ht="46.5" x14ac:dyDescent="0.25">
      <c r="A489" s="25" t="s">
        <v>1272</v>
      </c>
      <c r="B489" s="26" t="s">
        <v>1224</v>
      </c>
      <c r="C489" s="27"/>
      <c r="D489" s="27"/>
      <c r="E489" s="31">
        <v>0</v>
      </c>
      <c r="F489" s="31">
        <v>0</v>
      </c>
      <c r="G489" s="31">
        <v>0</v>
      </c>
      <c r="H489" s="31">
        <v>0</v>
      </c>
      <c r="I489" s="31">
        <v>0</v>
      </c>
      <c r="J489" s="31">
        <v>0</v>
      </c>
      <c r="K489" s="31">
        <v>0</v>
      </c>
      <c r="L489" s="31">
        <v>0</v>
      </c>
      <c r="M489" s="31">
        <v>0</v>
      </c>
      <c r="N489" s="31">
        <v>0</v>
      </c>
      <c r="O489" s="27"/>
      <c r="P489" s="29"/>
      <c r="Q489" s="30"/>
    </row>
    <row r="490" spans="1:17" ht="69.75" x14ac:dyDescent="0.25">
      <c r="A490" s="25" t="s">
        <v>1273</v>
      </c>
      <c r="B490" s="26" t="s">
        <v>1274</v>
      </c>
      <c r="C490" s="27" t="s">
        <v>824</v>
      </c>
      <c r="D490" s="27" t="s">
        <v>825</v>
      </c>
      <c r="E490" s="28">
        <f>SUM(E491:E491)+16820</f>
        <v>16820</v>
      </c>
      <c r="F490" s="28">
        <f>SUM(F491:F491)+16820</f>
        <v>16820</v>
      </c>
      <c r="G490" s="28">
        <f t="shared" ref="G490:N490" si="242">SUM(G491:G491)</f>
        <v>0</v>
      </c>
      <c r="H490" s="28">
        <f t="shared" si="242"/>
        <v>0</v>
      </c>
      <c r="I490" s="28">
        <f t="shared" si="242"/>
        <v>0</v>
      </c>
      <c r="J490" s="28">
        <f t="shared" si="242"/>
        <v>0</v>
      </c>
      <c r="K490" s="28">
        <f t="shared" si="242"/>
        <v>0</v>
      </c>
      <c r="L490" s="28">
        <f t="shared" si="242"/>
        <v>0</v>
      </c>
      <c r="M490" s="28">
        <f t="shared" si="242"/>
        <v>0</v>
      </c>
      <c r="N490" s="28">
        <f t="shared" si="242"/>
        <v>0</v>
      </c>
      <c r="O490" s="27" t="s">
        <v>1221</v>
      </c>
      <c r="P490" s="29" t="s">
        <v>348</v>
      </c>
      <c r="Q490" s="30" t="s">
        <v>1275</v>
      </c>
    </row>
    <row r="491" spans="1:17" ht="46.5" x14ac:dyDescent="0.25">
      <c r="A491" s="25" t="s">
        <v>1276</v>
      </c>
      <c r="B491" s="26" t="s">
        <v>1224</v>
      </c>
      <c r="C491" s="27"/>
      <c r="D491" s="27"/>
      <c r="E491" s="31">
        <v>0</v>
      </c>
      <c r="F491" s="31">
        <v>0</v>
      </c>
      <c r="G491" s="31">
        <v>0</v>
      </c>
      <c r="H491" s="31">
        <v>0</v>
      </c>
      <c r="I491" s="31">
        <v>0</v>
      </c>
      <c r="J491" s="31">
        <v>0</v>
      </c>
      <c r="K491" s="31">
        <v>0</v>
      </c>
      <c r="L491" s="31">
        <v>0</v>
      </c>
      <c r="M491" s="31">
        <v>0</v>
      </c>
      <c r="N491" s="31">
        <v>0</v>
      </c>
      <c r="O491" s="27"/>
      <c r="P491" s="29"/>
      <c r="Q491" s="30"/>
    </row>
    <row r="492" spans="1:17" ht="116.25" x14ac:dyDescent="0.25">
      <c r="A492" s="25" t="s">
        <v>1277</v>
      </c>
      <c r="B492" s="26" t="s">
        <v>1278</v>
      </c>
      <c r="C492" s="27" t="s">
        <v>256</v>
      </c>
      <c r="D492" s="27" t="s">
        <v>259</v>
      </c>
      <c r="E492" s="28">
        <f>SUM(E493:E493)+150000</f>
        <v>150000</v>
      </c>
      <c r="F492" s="28">
        <f>SUM(F493:F493)+150000</f>
        <v>150000</v>
      </c>
      <c r="G492" s="28">
        <f t="shared" ref="G492:N492" si="243">SUM(G493:G493)</f>
        <v>0</v>
      </c>
      <c r="H492" s="28">
        <f t="shared" si="243"/>
        <v>0</v>
      </c>
      <c r="I492" s="28">
        <f t="shared" si="243"/>
        <v>0</v>
      </c>
      <c r="J492" s="28">
        <f t="shared" si="243"/>
        <v>0</v>
      </c>
      <c r="K492" s="28">
        <f t="shared" si="243"/>
        <v>0</v>
      </c>
      <c r="L492" s="28">
        <f t="shared" si="243"/>
        <v>0</v>
      </c>
      <c r="M492" s="28">
        <f t="shared" si="243"/>
        <v>0</v>
      </c>
      <c r="N492" s="28">
        <f t="shared" si="243"/>
        <v>0</v>
      </c>
      <c r="O492" s="27" t="s">
        <v>1279</v>
      </c>
      <c r="P492" s="29" t="s">
        <v>34</v>
      </c>
      <c r="Q492" s="30" t="s">
        <v>35</v>
      </c>
    </row>
    <row r="493" spans="1:17" ht="46.5" x14ac:dyDescent="0.25">
      <c r="A493" s="25" t="s">
        <v>1280</v>
      </c>
      <c r="B493" s="26" t="s">
        <v>1281</v>
      </c>
      <c r="C493" s="27"/>
      <c r="D493" s="27"/>
      <c r="E493" s="31">
        <v>0</v>
      </c>
      <c r="F493" s="31">
        <v>0</v>
      </c>
      <c r="G493" s="31">
        <v>0</v>
      </c>
      <c r="H493" s="31">
        <v>0</v>
      </c>
      <c r="I493" s="31">
        <v>0</v>
      </c>
      <c r="J493" s="31">
        <v>0</v>
      </c>
      <c r="K493" s="31">
        <v>0</v>
      </c>
      <c r="L493" s="31">
        <v>0</v>
      </c>
      <c r="M493" s="31">
        <v>0</v>
      </c>
      <c r="N493" s="31">
        <v>0</v>
      </c>
      <c r="O493" s="27"/>
      <c r="P493" s="29"/>
      <c r="Q493" s="30"/>
    </row>
    <row r="494" spans="1:17" ht="67.5" x14ac:dyDescent="0.25">
      <c r="A494" s="19" t="s">
        <v>1282</v>
      </c>
      <c r="B494" s="20" t="s">
        <v>1283</v>
      </c>
      <c r="C494" s="21" t="s">
        <v>256</v>
      </c>
      <c r="D494" s="21" t="s">
        <v>280</v>
      </c>
      <c r="E494" s="22">
        <f t="shared" ref="E494:N494" si="244">SUM(E495:E495)</f>
        <v>200470</v>
      </c>
      <c r="F494" s="22">
        <f t="shared" si="244"/>
        <v>200470</v>
      </c>
      <c r="G494" s="22">
        <f t="shared" si="244"/>
        <v>0</v>
      </c>
      <c r="H494" s="22">
        <f t="shared" si="244"/>
        <v>0</v>
      </c>
      <c r="I494" s="22">
        <f t="shared" si="244"/>
        <v>0</v>
      </c>
      <c r="J494" s="22">
        <f t="shared" si="244"/>
        <v>0</v>
      </c>
      <c r="K494" s="22">
        <f t="shared" si="244"/>
        <v>0</v>
      </c>
      <c r="L494" s="22">
        <f t="shared" si="244"/>
        <v>0</v>
      </c>
      <c r="M494" s="22">
        <f t="shared" si="244"/>
        <v>0</v>
      </c>
      <c r="N494" s="22">
        <f t="shared" si="244"/>
        <v>0</v>
      </c>
      <c r="O494" s="21" t="s">
        <v>1284</v>
      </c>
      <c r="P494" s="23" t="s">
        <v>348</v>
      </c>
      <c r="Q494" s="24" t="s">
        <v>35</v>
      </c>
    </row>
    <row r="495" spans="1:17" ht="69.75" x14ac:dyDescent="0.25">
      <c r="A495" s="25" t="s">
        <v>1285</v>
      </c>
      <c r="B495" s="26" t="s">
        <v>1286</v>
      </c>
      <c r="C495" s="27" t="s">
        <v>256</v>
      </c>
      <c r="D495" s="27" t="s">
        <v>280</v>
      </c>
      <c r="E495" s="28">
        <f>SUM(E496:E496)+200470</f>
        <v>200470</v>
      </c>
      <c r="F495" s="28">
        <f>SUM(F496:F496)+200470</f>
        <v>200470</v>
      </c>
      <c r="G495" s="28">
        <f t="shared" ref="G495:N495" si="245">SUM(G496:G496)</f>
        <v>0</v>
      </c>
      <c r="H495" s="28">
        <f t="shared" si="245"/>
        <v>0</v>
      </c>
      <c r="I495" s="28">
        <f t="shared" si="245"/>
        <v>0</v>
      </c>
      <c r="J495" s="28">
        <f t="shared" si="245"/>
        <v>0</v>
      </c>
      <c r="K495" s="28">
        <f t="shared" si="245"/>
        <v>0</v>
      </c>
      <c r="L495" s="28">
        <f t="shared" si="245"/>
        <v>0</v>
      </c>
      <c r="M495" s="28">
        <f t="shared" si="245"/>
        <v>0</v>
      </c>
      <c r="N495" s="28">
        <f t="shared" si="245"/>
        <v>0</v>
      </c>
      <c r="O495" s="27" t="s">
        <v>1287</v>
      </c>
      <c r="P495" s="29" t="s">
        <v>348</v>
      </c>
      <c r="Q495" s="30" t="s">
        <v>35</v>
      </c>
    </row>
    <row r="496" spans="1:17" ht="69.75" x14ac:dyDescent="0.25">
      <c r="A496" s="25" t="s">
        <v>1288</v>
      </c>
      <c r="B496" s="26" t="s">
        <v>1289</v>
      </c>
      <c r="C496" s="27"/>
      <c r="D496" s="27"/>
      <c r="E496" s="31">
        <v>0</v>
      </c>
      <c r="F496" s="31">
        <v>0</v>
      </c>
      <c r="G496" s="31">
        <v>0</v>
      </c>
      <c r="H496" s="31">
        <v>0</v>
      </c>
      <c r="I496" s="31">
        <v>0</v>
      </c>
      <c r="J496" s="31">
        <v>0</v>
      </c>
      <c r="K496" s="31">
        <v>0</v>
      </c>
      <c r="L496" s="31">
        <v>0</v>
      </c>
      <c r="M496" s="31">
        <v>0</v>
      </c>
      <c r="N496" s="31">
        <v>0</v>
      </c>
      <c r="O496" s="27"/>
      <c r="P496" s="29"/>
      <c r="Q496" s="30"/>
    </row>
    <row r="497" spans="1:17" ht="157.5" x14ac:dyDescent="0.25">
      <c r="A497" s="19" t="s">
        <v>1290</v>
      </c>
      <c r="B497" s="20" t="s">
        <v>1291</v>
      </c>
      <c r="C497" s="21" t="s">
        <v>256</v>
      </c>
      <c r="D497" s="21" t="s">
        <v>280</v>
      </c>
      <c r="E497" s="22">
        <f t="shared" ref="E497:N497" si="246">SUM(E498:E498)</f>
        <v>20100</v>
      </c>
      <c r="F497" s="22">
        <f t="shared" si="246"/>
        <v>20100</v>
      </c>
      <c r="G497" s="22">
        <f t="shared" si="246"/>
        <v>0</v>
      </c>
      <c r="H497" s="22">
        <f t="shared" si="246"/>
        <v>0</v>
      </c>
      <c r="I497" s="22">
        <f t="shared" si="246"/>
        <v>0</v>
      </c>
      <c r="J497" s="22">
        <f t="shared" si="246"/>
        <v>0</v>
      </c>
      <c r="K497" s="22">
        <f t="shared" si="246"/>
        <v>0</v>
      </c>
      <c r="L497" s="22">
        <f t="shared" si="246"/>
        <v>0</v>
      </c>
      <c r="M497" s="22">
        <f t="shared" si="246"/>
        <v>0</v>
      </c>
      <c r="N497" s="22">
        <f t="shared" si="246"/>
        <v>0</v>
      </c>
      <c r="O497" s="21" t="s">
        <v>1292</v>
      </c>
      <c r="P497" s="23" t="s">
        <v>348</v>
      </c>
      <c r="Q497" s="24" t="s">
        <v>465</v>
      </c>
    </row>
    <row r="498" spans="1:17" ht="69.75" x14ac:dyDescent="0.25">
      <c r="A498" s="25" t="s">
        <v>1293</v>
      </c>
      <c r="B498" s="26" t="s">
        <v>1294</v>
      </c>
      <c r="C498" s="27" t="s">
        <v>256</v>
      </c>
      <c r="D498" s="27" t="s">
        <v>280</v>
      </c>
      <c r="E498" s="28">
        <f>SUM(E499:E499)+20100</f>
        <v>20100</v>
      </c>
      <c r="F498" s="28">
        <f>SUM(F499:F499)+20100</f>
        <v>20100</v>
      </c>
      <c r="G498" s="28">
        <f t="shared" ref="G498:N498" si="247">SUM(G499:G499)</f>
        <v>0</v>
      </c>
      <c r="H498" s="28">
        <f t="shared" si="247"/>
        <v>0</v>
      </c>
      <c r="I498" s="28">
        <f t="shared" si="247"/>
        <v>0</v>
      </c>
      <c r="J498" s="28">
        <f t="shared" si="247"/>
        <v>0</v>
      </c>
      <c r="K498" s="28">
        <f t="shared" si="247"/>
        <v>0</v>
      </c>
      <c r="L498" s="28">
        <f t="shared" si="247"/>
        <v>0</v>
      </c>
      <c r="M498" s="28">
        <f t="shared" si="247"/>
        <v>0</v>
      </c>
      <c r="N498" s="28">
        <f t="shared" si="247"/>
        <v>0</v>
      </c>
      <c r="O498" s="27" t="s">
        <v>1295</v>
      </c>
      <c r="P498" s="29" t="s">
        <v>348</v>
      </c>
      <c r="Q498" s="30" t="s">
        <v>465</v>
      </c>
    </row>
    <row r="499" spans="1:17" ht="116.25" x14ac:dyDescent="0.25">
      <c r="A499" s="25" t="s">
        <v>1296</v>
      </c>
      <c r="B499" s="26" t="s">
        <v>1297</v>
      </c>
      <c r="C499" s="27"/>
      <c r="D499" s="27"/>
      <c r="E499" s="31">
        <v>0</v>
      </c>
      <c r="F499" s="31">
        <v>0</v>
      </c>
      <c r="G499" s="31">
        <v>0</v>
      </c>
      <c r="H499" s="31">
        <v>0</v>
      </c>
      <c r="I499" s="31">
        <v>0</v>
      </c>
      <c r="J499" s="31">
        <v>0</v>
      </c>
      <c r="K499" s="31">
        <v>0</v>
      </c>
      <c r="L499" s="31">
        <v>0</v>
      </c>
      <c r="M499" s="31">
        <v>0</v>
      </c>
      <c r="N499" s="31">
        <v>0</v>
      </c>
      <c r="O499" s="27"/>
      <c r="P499" s="29"/>
      <c r="Q499" s="30"/>
    </row>
    <row r="500" spans="1:17" ht="112.5" x14ac:dyDescent="0.25">
      <c r="A500" s="19" t="s">
        <v>1298</v>
      </c>
      <c r="B500" s="20" t="s">
        <v>1299</v>
      </c>
      <c r="C500" s="21" t="s">
        <v>256</v>
      </c>
      <c r="D500" s="21" t="s">
        <v>280</v>
      </c>
      <c r="E500" s="22">
        <f t="shared" ref="E500:N500" si="248">E501+E503</f>
        <v>377450</v>
      </c>
      <c r="F500" s="22">
        <f t="shared" si="248"/>
        <v>359243.77</v>
      </c>
      <c r="G500" s="22">
        <f t="shared" si="248"/>
        <v>18206.23</v>
      </c>
      <c r="H500" s="22">
        <f t="shared" si="248"/>
        <v>0</v>
      </c>
      <c r="I500" s="22">
        <f t="shared" si="248"/>
        <v>0</v>
      </c>
      <c r="J500" s="22">
        <f t="shared" si="248"/>
        <v>0</v>
      </c>
      <c r="K500" s="22">
        <f t="shared" si="248"/>
        <v>0</v>
      </c>
      <c r="L500" s="22">
        <f t="shared" si="248"/>
        <v>0</v>
      </c>
      <c r="M500" s="22">
        <f t="shared" si="248"/>
        <v>0</v>
      </c>
      <c r="N500" s="22">
        <f t="shared" si="248"/>
        <v>0</v>
      </c>
      <c r="O500" s="21" t="s">
        <v>1300</v>
      </c>
      <c r="P500" s="23" t="s">
        <v>34</v>
      </c>
      <c r="Q500" s="24" t="s">
        <v>184</v>
      </c>
    </row>
    <row r="501" spans="1:17" ht="69.75" x14ac:dyDescent="0.25">
      <c r="A501" s="25" t="s">
        <v>1301</v>
      </c>
      <c r="B501" s="26" t="s">
        <v>1302</v>
      </c>
      <c r="C501" s="27" t="s">
        <v>256</v>
      </c>
      <c r="D501" s="27" t="s">
        <v>280</v>
      </c>
      <c r="E501" s="28">
        <f>SUM(E502:E502)+278450</f>
        <v>278450</v>
      </c>
      <c r="F501" s="28">
        <f>SUM(F502:F502)+260243.77</f>
        <v>260243.77</v>
      </c>
      <c r="G501" s="28">
        <f>SUM(G502:G502)+18206.23</f>
        <v>18206.23</v>
      </c>
      <c r="H501" s="28">
        <f t="shared" ref="H501:N501" si="249">SUM(H502:H502)</f>
        <v>0</v>
      </c>
      <c r="I501" s="28">
        <f t="shared" si="249"/>
        <v>0</v>
      </c>
      <c r="J501" s="28">
        <f t="shared" si="249"/>
        <v>0</v>
      </c>
      <c r="K501" s="28">
        <f t="shared" si="249"/>
        <v>0</v>
      </c>
      <c r="L501" s="28">
        <f t="shared" si="249"/>
        <v>0</v>
      </c>
      <c r="M501" s="28">
        <f t="shared" si="249"/>
        <v>0</v>
      </c>
      <c r="N501" s="28">
        <f t="shared" si="249"/>
        <v>0</v>
      </c>
      <c r="O501" s="27" t="s">
        <v>1303</v>
      </c>
      <c r="P501" s="29" t="s">
        <v>34</v>
      </c>
      <c r="Q501" s="30" t="s">
        <v>184</v>
      </c>
    </row>
    <row r="502" spans="1:17" ht="46.5" x14ac:dyDescent="0.25">
      <c r="A502" s="25" t="s">
        <v>1304</v>
      </c>
      <c r="B502" s="26" t="s">
        <v>1305</v>
      </c>
      <c r="C502" s="27"/>
      <c r="D502" s="27"/>
      <c r="E502" s="31">
        <v>0</v>
      </c>
      <c r="F502" s="31">
        <v>0</v>
      </c>
      <c r="G502" s="31">
        <v>0</v>
      </c>
      <c r="H502" s="31">
        <v>0</v>
      </c>
      <c r="I502" s="31">
        <v>0</v>
      </c>
      <c r="J502" s="31">
        <v>0</v>
      </c>
      <c r="K502" s="31">
        <v>0</v>
      </c>
      <c r="L502" s="31">
        <v>0</v>
      </c>
      <c r="M502" s="31">
        <v>0</v>
      </c>
      <c r="N502" s="31">
        <v>0</v>
      </c>
      <c r="O502" s="27"/>
      <c r="P502" s="29"/>
      <c r="Q502" s="30"/>
    </row>
    <row r="503" spans="1:17" ht="93" x14ac:dyDescent="0.25">
      <c r="A503" s="25" t="s">
        <v>1306</v>
      </c>
      <c r="B503" s="26" t="s">
        <v>1307</v>
      </c>
      <c r="C503" s="27" t="s">
        <v>256</v>
      </c>
      <c r="D503" s="27" t="s">
        <v>280</v>
      </c>
      <c r="E503" s="28">
        <f>SUM(E504:E504)+99000</f>
        <v>99000</v>
      </c>
      <c r="F503" s="28">
        <f>SUM(F504:F504)+99000</f>
        <v>99000</v>
      </c>
      <c r="G503" s="28">
        <f t="shared" ref="G503:N503" si="250">SUM(G504:G504)</f>
        <v>0</v>
      </c>
      <c r="H503" s="28">
        <f t="shared" si="250"/>
        <v>0</v>
      </c>
      <c r="I503" s="28">
        <f t="shared" si="250"/>
        <v>0</v>
      </c>
      <c r="J503" s="28">
        <f t="shared" si="250"/>
        <v>0</v>
      </c>
      <c r="K503" s="28">
        <f t="shared" si="250"/>
        <v>0</v>
      </c>
      <c r="L503" s="28">
        <f t="shared" si="250"/>
        <v>0</v>
      </c>
      <c r="M503" s="28">
        <f t="shared" si="250"/>
        <v>0</v>
      </c>
      <c r="N503" s="28">
        <f t="shared" si="250"/>
        <v>0</v>
      </c>
      <c r="O503" s="27" t="s">
        <v>1308</v>
      </c>
      <c r="P503" s="29" t="s">
        <v>34</v>
      </c>
      <c r="Q503" s="30" t="s">
        <v>35</v>
      </c>
    </row>
    <row r="504" spans="1:17" ht="69.75" x14ac:dyDescent="0.25">
      <c r="A504" s="25" t="s">
        <v>1309</v>
      </c>
      <c r="B504" s="26" t="s">
        <v>1310</v>
      </c>
      <c r="C504" s="27"/>
      <c r="D504" s="27"/>
      <c r="E504" s="31">
        <v>0</v>
      </c>
      <c r="F504" s="31">
        <v>0</v>
      </c>
      <c r="G504" s="31">
        <v>0</v>
      </c>
      <c r="H504" s="31">
        <v>0</v>
      </c>
      <c r="I504" s="31">
        <v>0</v>
      </c>
      <c r="J504" s="31">
        <v>0</v>
      </c>
      <c r="K504" s="31">
        <v>0</v>
      </c>
      <c r="L504" s="31">
        <v>0</v>
      </c>
      <c r="M504" s="31">
        <v>0</v>
      </c>
      <c r="N504" s="31">
        <v>0</v>
      </c>
      <c r="O504" s="27"/>
      <c r="P504" s="29"/>
      <c r="Q504" s="30"/>
    </row>
    <row r="505" spans="1:17" ht="90" x14ac:dyDescent="0.25">
      <c r="A505" s="19" t="s">
        <v>1311</v>
      </c>
      <c r="B505" s="20" t="s">
        <v>1312</v>
      </c>
      <c r="C505" s="21" t="s">
        <v>256</v>
      </c>
      <c r="D505" s="21" t="s">
        <v>280</v>
      </c>
      <c r="E505" s="22">
        <f t="shared" ref="E505:N505" si="251">E506+E508</f>
        <v>16000</v>
      </c>
      <c r="F505" s="22">
        <f t="shared" si="251"/>
        <v>16000</v>
      </c>
      <c r="G505" s="22">
        <f t="shared" si="251"/>
        <v>0</v>
      </c>
      <c r="H505" s="22">
        <f t="shared" si="251"/>
        <v>0</v>
      </c>
      <c r="I505" s="22">
        <f t="shared" si="251"/>
        <v>0</v>
      </c>
      <c r="J505" s="22">
        <f t="shared" si="251"/>
        <v>0</v>
      </c>
      <c r="K505" s="22">
        <f t="shared" si="251"/>
        <v>0</v>
      </c>
      <c r="L505" s="22">
        <f t="shared" si="251"/>
        <v>0</v>
      </c>
      <c r="M505" s="22">
        <f t="shared" si="251"/>
        <v>0</v>
      </c>
      <c r="N505" s="22">
        <f t="shared" si="251"/>
        <v>0</v>
      </c>
      <c r="O505" s="21" t="s">
        <v>1313</v>
      </c>
      <c r="P505" s="23" t="s">
        <v>34</v>
      </c>
      <c r="Q505" s="24" t="s">
        <v>45</v>
      </c>
    </row>
    <row r="506" spans="1:17" ht="93" x14ac:dyDescent="0.25">
      <c r="A506" s="25" t="s">
        <v>1314</v>
      </c>
      <c r="B506" s="26" t="s">
        <v>1315</v>
      </c>
      <c r="C506" s="27" t="s">
        <v>256</v>
      </c>
      <c r="D506" s="27" t="s">
        <v>280</v>
      </c>
      <c r="E506" s="28">
        <f>SUM(E507:E507)+1000</f>
        <v>1000</v>
      </c>
      <c r="F506" s="28">
        <f>SUM(F507:F507)+1000</f>
        <v>1000</v>
      </c>
      <c r="G506" s="28">
        <f t="shared" ref="G506:N506" si="252">SUM(G507:G507)</f>
        <v>0</v>
      </c>
      <c r="H506" s="28">
        <f t="shared" si="252"/>
        <v>0</v>
      </c>
      <c r="I506" s="28">
        <f t="shared" si="252"/>
        <v>0</v>
      </c>
      <c r="J506" s="28">
        <f t="shared" si="252"/>
        <v>0</v>
      </c>
      <c r="K506" s="28">
        <f t="shared" si="252"/>
        <v>0</v>
      </c>
      <c r="L506" s="28">
        <f t="shared" si="252"/>
        <v>0</v>
      </c>
      <c r="M506" s="28">
        <f t="shared" si="252"/>
        <v>0</v>
      </c>
      <c r="N506" s="28">
        <f t="shared" si="252"/>
        <v>0</v>
      </c>
      <c r="O506" s="27" t="s">
        <v>1316</v>
      </c>
      <c r="P506" s="29" t="s">
        <v>34</v>
      </c>
      <c r="Q506" s="30" t="s">
        <v>45</v>
      </c>
    </row>
    <row r="507" spans="1:17" ht="93" x14ac:dyDescent="0.25">
      <c r="A507" s="25" t="s">
        <v>1317</v>
      </c>
      <c r="B507" s="26" t="s">
        <v>1318</v>
      </c>
      <c r="C507" s="27"/>
      <c r="D507" s="27"/>
      <c r="E507" s="31">
        <v>0</v>
      </c>
      <c r="F507" s="31">
        <v>0</v>
      </c>
      <c r="G507" s="31">
        <v>0</v>
      </c>
      <c r="H507" s="31">
        <v>0</v>
      </c>
      <c r="I507" s="31">
        <v>0</v>
      </c>
      <c r="J507" s="31">
        <v>0</v>
      </c>
      <c r="K507" s="31">
        <v>0</v>
      </c>
      <c r="L507" s="31">
        <v>0</v>
      </c>
      <c r="M507" s="31">
        <v>0</v>
      </c>
      <c r="N507" s="31">
        <v>0</v>
      </c>
      <c r="O507" s="27"/>
      <c r="P507" s="29"/>
      <c r="Q507" s="30"/>
    </row>
    <row r="508" spans="1:17" ht="69.75" x14ac:dyDescent="0.25">
      <c r="A508" s="25" t="s">
        <v>1319</v>
      </c>
      <c r="B508" s="26" t="s">
        <v>1320</v>
      </c>
      <c r="C508" s="27" t="s">
        <v>256</v>
      </c>
      <c r="D508" s="27" t="s">
        <v>280</v>
      </c>
      <c r="E508" s="28">
        <f>SUM(E509:E509)+15000</f>
        <v>15000</v>
      </c>
      <c r="F508" s="28">
        <f>SUM(F509:F509)+15000</f>
        <v>15000</v>
      </c>
      <c r="G508" s="28">
        <f t="shared" ref="G508:N508" si="253">SUM(G509:G509)</f>
        <v>0</v>
      </c>
      <c r="H508" s="28">
        <f t="shared" si="253"/>
        <v>0</v>
      </c>
      <c r="I508" s="28">
        <f t="shared" si="253"/>
        <v>0</v>
      </c>
      <c r="J508" s="28">
        <f t="shared" si="253"/>
        <v>0</v>
      </c>
      <c r="K508" s="28">
        <f t="shared" si="253"/>
        <v>0</v>
      </c>
      <c r="L508" s="28">
        <f t="shared" si="253"/>
        <v>0</v>
      </c>
      <c r="M508" s="28">
        <f t="shared" si="253"/>
        <v>0</v>
      </c>
      <c r="N508" s="28">
        <f t="shared" si="253"/>
        <v>0</v>
      </c>
      <c r="O508" s="27" t="s">
        <v>503</v>
      </c>
      <c r="P508" s="29" t="s">
        <v>34</v>
      </c>
      <c r="Q508" s="30" t="s">
        <v>35</v>
      </c>
    </row>
    <row r="509" spans="1:17" ht="93.75" thickBot="1" x14ac:dyDescent="0.3">
      <c r="A509" s="25" t="s">
        <v>1321</v>
      </c>
      <c r="B509" s="26" t="s">
        <v>505</v>
      </c>
      <c r="C509" s="27"/>
      <c r="D509" s="27"/>
      <c r="E509" s="31">
        <v>0</v>
      </c>
      <c r="F509" s="31">
        <v>0</v>
      </c>
      <c r="G509" s="31">
        <v>0</v>
      </c>
      <c r="H509" s="31">
        <v>0</v>
      </c>
      <c r="I509" s="31">
        <v>0</v>
      </c>
      <c r="J509" s="31">
        <v>0</v>
      </c>
      <c r="K509" s="31">
        <v>0</v>
      </c>
      <c r="L509" s="31">
        <v>0</v>
      </c>
      <c r="M509" s="31">
        <v>0</v>
      </c>
      <c r="N509" s="31">
        <v>0</v>
      </c>
      <c r="O509" s="27"/>
      <c r="P509" s="29"/>
      <c r="Q509" s="30"/>
    </row>
    <row r="510" spans="1:17" ht="68.25" thickBot="1" x14ac:dyDescent="0.3">
      <c r="A510" s="13" t="s">
        <v>1322</v>
      </c>
      <c r="B510" s="14" t="s">
        <v>355</v>
      </c>
      <c r="C510" s="15" t="s">
        <v>356</v>
      </c>
      <c r="D510" s="15" t="s">
        <v>357</v>
      </c>
      <c r="E510" s="16">
        <f t="shared" ref="E510:N510" si="254">SUM(E511:E511)</f>
        <v>396200</v>
      </c>
      <c r="F510" s="16">
        <f t="shared" si="254"/>
        <v>75000</v>
      </c>
      <c r="G510" s="16">
        <f t="shared" si="254"/>
        <v>0</v>
      </c>
      <c r="H510" s="16">
        <f t="shared" si="254"/>
        <v>0</v>
      </c>
      <c r="I510" s="16">
        <f t="shared" si="254"/>
        <v>321200</v>
      </c>
      <c r="J510" s="16">
        <f t="shared" si="254"/>
        <v>0</v>
      </c>
      <c r="K510" s="16">
        <f t="shared" si="254"/>
        <v>0</v>
      </c>
      <c r="L510" s="16">
        <f t="shared" si="254"/>
        <v>0</v>
      </c>
      <c r="M510" s="16">
        <f t="shared" si="254"/>
        <v>0</v>
      </c>
      <c r="N510" s="16">
        <f t="shared" si="254"/>
        <v>0</v>
      </c>
      <c r="O510" s="15" t="s">
        <v>358</v>
      </c>
      <c r="P510" s="17" t="s">
        <v>29</v>
      </c>
      <c r="Q510" s="18" t="s">
        <v>69</v>
      </c>
    </row>
    <row r="511" spans="1:17" ht="90" x14ac:dyDescent="0.25">
      <c r="A511" s="19" t="s">
        <v>1323</v>
      </c>
      <c r="B511" s="20" t="s">
        <v>1324</v>
      </c>
      <c r="C511" s="21" t="s">
        <v>356</v>
      </c>
      <c r="D511" s="21" t="s">
        <v>1325</v>
      </c>
      <c r="E511" s="22">
        <f t="shared" ref="E511:N511" si="255">E512+E514</f>
        <v>396200</v>
      </c>
      <c r="F511" s="22">
        <f t="shared" si="255"/>
        <v>75000</v>
      </c>
      <c r="G511" s="22">
        <f t="shared" si="255"/>
        <v>0</v>
      </c>
      <c r="H511" s="22">
        <f t="shared" si="255"/>
        <v>0</v>
      </c>
      <c r="I511" s="22">
        <f t="shared" si="255"/>
        <v>321200</v>
      </c>
      <c r="J511" s="22">
        <f t="shared" si="255"/>
        <v>0</v>
      </c>
      <c r="K511" s="22">
        <f t="shared" si="255"/>
        <v>0</v>
      </c>
      <c r="L511" s="22">
        <f t="shared" si="255"/>
        <v>0</v>
      </c>
      <c r="M511" s="22">
        <f t="shared" si="255"/>
        <v>0</v>
      </c>
      <c r="N511" s="22">
        <f t="shared" si="255"/>
        <v>0</v>
      </c>
      <c r="O511" s="21" t="s">
        <v>1326</v>
      </c>
      <c r="P511" s="23" t="s">
        <v>1053</v>
      </c>
      <c r="Q511" s="24" t="s">
        <v>1327</v>
      </c>
    </row>
    <row r="512" spans="1:17" ht="46.5" x14ac:dyDescent="0.25">
      <c r="A512" s="25" t="s">
        <v>1328</v>
      </c>
      <c r="B512" s="26" t="s">
        <v>1329</v>
      </c>
      <c r="C512" s="27" t="s">
        <v>356</v>
      </c>
      <c r="D512" s="27" t="s">
        <v>366</v>
      </c>
      <c r="E512" s="28">
        <f>SUM(E513:E513)+321200</f>
        <v>321200</v>
      </c>
      <c r="F512" s="28">
        <f>SUM(F513:F513)</f>
        <v>0</v>
      </c>
      <c r="G512" s="28">
        <f>SUM(G513:G513)</f>
        <v>0</v>
      </c>
      <c r="H512" s="28">
        <f>SUM(H513:H513)</f>
        <v>0</v>
      </c>
      <c r="I512" s="28">
        <f>SUM(I513:I513)+321200</f>
        <v>321200</v>
      </c>
      <c r="J512" s="28">
        <f>SUM(J513:J513)</f>
        <v>0</v>
      </c>
      <c r="K512" s="28">
        <f>SUM(K513:K513)</f>
        <v>0</v>
      </c>
      <c r="L512" s="28">
        <f>SUM(L513:L513)</f>
        <v>0</v>
      </c>
      <c r="M512" s="28">
        <f>SUM(M513:M513)</f>
        <v>0</v>
      </c>
      <c r="N512" s="28">
        <f>SUM(N513:N513)</f>
        <v>0</v>
      </c>
      <c r="O512" s="27" t="s">
        <v>1330</v>
      </c>
      <c r="P512" s="29" t="s">
        <v>348</v>
      </c>
      <c r="Q512" s="30" t="s">
        <v>160</v>
      </c>
    </row>
    <row r="513" spans="1:17" ht="93" x14ac:dyDescent="0.25">
      <c r="A513" s="25" t="s">
        <v>1331</v>
      </c>
      <c r="B513" s="26" t="s">
        <v>1332</v>
      </c>
      <c r="C513" s="27"/>
      <c r="D513" s="27"/>
      <c r="E513" s="31">
        <v>0</v>
      </c>
      <c r="F513" s="31">
        <v>0</v>
      </c>
      <c r="G513" s="31">
        <v>0</v>
      </c>
      <c r="H513" s="31">
        <v>0</v>
      </c>
      <c r="I513" s="31">
        <v>0</v>
      </c>
      <c r="J513" s="31">
        <v>0</v>
      </c>
      <c r="K513" s="31">
        <v>0</v>
      </c>
      <c r="L513" s="31">
        <v>0</v>
      </c>
      <c r="M513" s="31">
        <v>0</v>
      </c>
      <c r="N513" s="31">
        <v>0</v>
      </c>
      <c r="O513" s="27"/>
      <c r="P513" s="29"/>
      <c r="Q513" s="30"/>
    </row>
    <row r="514" spans="1:17" ht="46.5" x14ac:dyDescent="0.25">
      <c r="A514" s="25" t="s">
        <v>1333</v>
      </c>
      <c r="B514" s="26" t="s">
        <v>1334</v>
      </c>
      <c r="C514" s="27" t="s">
        <v>356</v>
      </c>
      <c r="D514" s="27" t="s">
        <v>366</v>
      </c>
      <c r="E514" s="28">
        <f>SUM(E515:E516)+75000</f>
        <v>75000</v>
      </c>
      <c r="F514" s="28">
        <f>SUM(F515:F516)+75000</f>
        <v>75000</v>
      </c>
      <c r="G514" s="28">
        <f t="shared" ref="G514:N514" si="256">SUM(G515:G516)</f>
        <v>0</v>
      </c>
      <c r="H514" s="28">
        <f t="shared" si="256"/>
        <v>0</v>
      </c>
      <c r="I514" s="28">
        <f t="shared" si="256"/>
        <v>0</v>
      </c>
      <c r="J514" s="28">
        <f t="shared" si="256"/>
        <v>0</v>
      </c>
      <c r="K514" s="28">
        <f t="shared" si="256"/>
        <v>0</v>
      </c>
      <c r="L514" s="28">
        <f t="shared" si="256"/>
        <v>0</v>
      </c>
      <c r="M514" s="28">
        <f t="shared" si="256"/>
        <v>0</v>
      </c>
      <c r="N514" s="28">
        <f t="shared" si="256"/>
        <v>0</v>
      </c>
      <c r="O514" s="27" t="s">
        <v>1335</v>
      </c>
      <c r="P514" s="29" t="s">
        <v>34</v>
      </c>
      <c r="Q514" s="30" t="s">
        <v>35</v>
      </c>
    </row>
    <row r="515" spans="1:17" ht="46.5" x14ac:dyDescent="0.25">
      <c r="A515" s="32"/>
      <c r="B515" s="33"/>
      <c r="C515" s="34"/>
      <c r="D515" s="34"/>
      <c r="E515" s="35">
        <v>0</v>
      </c>
      <c r="F515" s="35">
        <v>0</v>
      </c>
      <c r="G515" s="35">
        <v>0</v>
      </c>
      <c r="H515" s="35">
        <v>0</v>
      </c>
      <c r="I515" s="35">
        <v>0</v>
      </c>
      <c r="J515" s="35">
        <v>0</v>
      </c>
      <c r="K515" s="35">
        <v>0</v>
      </c>
      <c r="L515" s="35">
        <v>0</v>
      </c>
      <c r="M515" s="35">
        <v>0</v>
      </c>
      <c r="N515" s="35">
        <v>0</v>
      </c>
      <c r="O515" s="34" t="s">
        <v>1336</v>
      </c>
      <c r="P515" s="36" t="s">
        <v>34</v>
      </c>
      <c r="Q515" s="37" t="s">
        <v>246</v>
      </c>
    </row>
    <row r="516" spans="1:17" ht="116.25" x14ac:dyDescent="0.25">
      <c r="A516" s="25" t="s">
        <v>1337</v>
      </c>
      <c r="B516" s="26" t="s">
        <v>1338</v>
      </c>
      <c r="C516" s="27"/>
      <c r="D516" s="27"/>
      <c r="E516" s="31">
        <v>0</v>
      </c>
      <c r="F516" s="31">
        <v>0</v>
      </c>
      <c r="G516" s="31">
        <v>0</v>
      </c>
      <c r="H516" s="31">
        <v>0</v>
      </c>
      <c r="I516" s="31">
        <v>0</v>
      </c>
      <c r="J516" s="31">
        <v>0</v>
      </c>
      <c r="K516" s="31">
        <v>0</v>
      </c>
      <c r="L516" s="31">
        <v>0</v>
      </c>
      <c r="M516" s="31">
        <v>0</v>
      </c>
      <c r="N516" s="31">
        <v>0</v>
      </c>
      <c r="O516" s="27"/>
      <c r="P516" s="29"/>
      <c r="Q516" s="30"/>
    </row>
    <row r="517" spans="1:17" ht="90" x14ac:dyDescent="0.25">
      <c r="A517" s="13" t="s">
        <v>1339</v>
      </c>
      <c r="B517" s="14" t="s">
        <v>1340</v>
      </c>
      <c r="C517" s="15" t="s">
        <v>356</v>
      </c>
      <c r="D517" s="15" t="s">
        <v>1341</v>
      </c>
      <c r="E517" s="16">
        <f t="shared" ref="E517:N518" si="257">SUM(E518:E518)</f>
        <v>9000</v>
      </c>
      <c r="F517" s="16">
        <f t="shared" si="257"/>
        <v>9000</v>
      </c>
      <c r="G517" s="16">
        <f t="shared" si="257"/>
        <v>0</v>
      </c>
      <c r="H517" s="16">
        <f t="shared" si="257"/>
        <v>0</v>
      </c>
      <c r="I517" s="16">
        <f t="shared" si="257"/>
        <v>0</v>
      </c>
      <c r="J517" s="16">
        <f t="shared" si="257"/>
        <v>0</v>
      </c>
      <c r="K517" s="16">
        <f t="shared" si="257"/>
        <v>0</v>
      </c>
      <c r="L517" s="16">
        <f t="shared" si="257"/>
        <v>0</v>
      </c>
      <c r="M517" s="16">
        <f t="shared" si="257"/>
        <v>0</v>
      </c>
      <c r="N517" s="16">
        <f t="shared" si="257"/>
        <v>0</v>
      </c>
      <c r="O517" s="15" t="s">
        <v>1342</v>
      </c>
      <c r="P517" s="17" t="s">
        <v>29</v>
      </c>
      <c r="Q517" s="18" t="s">
        <v>1343</v>
      </c>
    </row>
    <row r="518" spans="1:17" ht="112.5" x14ac:dyDescent="0.25">
      <c r="A518" s="19" t="s">
        <v>1344</v>
      </c>
      <c r="B518" s="20" t="s">
        <v>1345</v>
      </c>
      <c r="C518" s="21" t="s">
        <v>356</v>
      </c>
      <c r="D518" s="21" t="s">
        <v>1325</v>
      </c>
      <c r="E518" s="22">
        <f t="shared" si="257"/>
        <v>9000</v>
      </c>
      <c r="F518" s="22">
        <f t="shared" si="257"/>
        <v>9000</v>
      </c>
      <c r="G518" s="22">
        <f t="shared" si="257"/>
        <v>0</v>
      </c>
      <c r="H518" s="22">
        <f t="shared" si="257"/>
        <v>0</v>
      </c>
      <c r="I518" s="22">
        <f t="shared" si="257"/>
        <v>0</v>
      </c>
      <c r="J518" s="22">
        <f t="shared" si="257"/>
        <v>0</v>
      </c>
      <c r="K518" s="22">
        <f t="shared" si="257"/>
        <v>0</v>
      </c>
      <c r="L518" s="22">
        <f t="shared" si="257"/>
        <v>0</v>
      </c>
      <c r="M518" s="22">
        <f t="shared" si="257"/>
        <v>0</v>
      </c>
      <c r="N518" s="22">
        <f t="shared" si="257"/>
        <v>0</v>
      </c>
      <c r="O518" s="21" t="s">
        <v>1346</v>
      </c>
      <c r="P518" s="23" t="s">
        <v>34</v>
      </c>
      <c r="Q518" s="24" t="s">
        <v>1347</v>
      </c>
    </row>
    <row r="519" spans="1:17" ht="93" x14ac:dyDescent="0.25">
      <c r="A519" s="25" t="s">
        <v>1348</v>
      </c>
      <c r="B519" s="26" t="s">
        <v>1349</v>
      </c>
      <c r="C519" s="27" t="s">
        <v>356</v>
      </c>
      <c r="D519" s="27" t="s">
        <v>1341</v>
      </c>
      <c r="E519" s="28">
        <f>SUM(E520:E520)+9000</f>
        <v>9000</v>
      </c>
      <c r="F519" s="28">
        <f>SUM(F520:F520)+9000</f>
        <v>9000</v>
      </c>
      <c r="G519" s="28">
        <f t="shared" ref="G519:N519" si="258">SUM(G520:G520)</f>
        <v>0</v>
      </c>
      <c r="H519" s="28">
        <f t="shared" si="258"/>
        <v>0</v>
      </c>
      <c r="I519" s="28">
        <f t="shared" si="258"/>
        <v>0</v>
      </c>
      <c r="J519" s="28">
        <f t="shared" si="258"/>
        <v>0</v>
      </c>
      <c r="K519" s="28">
        <f t="shared" si="258"/>
        <v>0</v>
      </c>
      <c r="L519" s="28">
        <f t="shared" si="258"/>
        <v>0</v>
      </c>
      <c r="M519" s="28">
        <f t="shared" si="258"/>
        <v>0</v>
      </c>
      <c r="N519" s="28">
        <f t="shared" si="258"/>
        <v>0</v>
      </c>
      <c r="O519" s="27" t="s">
        <v>1350</v>
      </c>
      <c r="P519" s="29" t="s">
        <v>34</v>
      </c>
      <c r="Q519" s="30" t="s">
        <v>1351</v>
      </c>
    </row>
    <row r="520" spans="1:17" ht="116.25" x14ac:dyDescent="0.25">
      <c r="A520" s="25" t="s">
        <v>1352</v>
      </c>
      <c r="B520" s="26" t="s">
        <v>1353</v>
      </c>
      <c r="C520" s="27"/>
      <c r="D520" s="27"/>
      <c r="E520" s="31">
        <v>0</v>
      </c>
      <c r="F520" s="31">
        <v>0</v>
      </c>
      <c r="G520" s="31">
        <v>0</v>
      </c>
      <c r="H520" s="31">
        <v>0</v>
      </c>
      <c r="I520" s="31">
        <v>0</v>
      </c>
      <c r="J520" s="31">
        <v>0</v>
      </c>
      <c r="K520" s="31">
        <v>0</v>
      </c>
      <c r="L520" s="31">
        <v>0</v>
      </c>
      <c r="M520" s="31">
        <v>0</v>
      </c>
      <c r="N520" s="31">
        <v>0</v>
      </c>
      <c r="O520" s="27"/>
      <c r="P520" s="29"/>
      <c r="Q520" s="30"/>
    </row>
    <row r="521" spans="1:17" ht="53.25" customHeight="1" x14ac:dyDescent="0.25">
      <c r="A521" s="7" t="s">
        <v>1354</v>
      </c>
      <c r="B521" s="8" t="s">
        <v>1355</v>
      </c>
      <c r="C521" s="9" t="s">
        <v>1356</v>
      </c>
      <c r="D521" s="9" t="s">
        <v>1930</v>
      </c>
      <c r="E521" s="10">
        <f t="shared" ref="E521:N521" si="259">E522+E571+E701+E709+E739+E747</f>
        <v>21005202.699999999</v>
      </c>
      <c r="F521" s="10">
        <f t="shared" si="259"/>
        <v>5683653</v>
      </c>
      <c r="G521" s="10">
        <f t="shared" si="259"/>
        <v>142872.44</v>
      </c>
      <c r="H521" s="10">
        <f t="shared" si="259"/>
        <v>0</v>
      </c>
      <c r="I521" s="10">
        <f t="shared" si="259"/>
        <v>1845945</v>
      </c>
      <c r="J521" s="10">
        <f t="shared" si="259"/>
        <v>0</v>
      </c>
      <c r="K521" s="10">
        <f t="shared" si="259"/>
        <v>280085.42</v>
      </c>
      <c r="L521" s="10">
        <f t="shared" si="259"/>
        <v>13052646.839999998</v>
      </c>
      <c r="M521" s="10">
        <f t="shared" si="259"/>
        <v>0</v>
      </c>
      <c r="N521" s="10">
        <f t="shared" si="259"/>
        <v>0</v>
      </c>
      <c r="O521" s="9"/>
      <c r="P521" s="11"/>
      <c r="Q521" s="12"/>
    </row>
    <row r="522" spans="1:17" ht="67.5" x14ac:dyDescent="0.25">
      <c r="A522" s="13" t="s">
        <v>1357</v>
      </c>
      <c r="B522" s="14" t="s">
        <v>1358</v>
      </c>
      <c r="C522" s="15" t="s">
        <v>1356</v>
      </c>
      <c r="D522" s="15" t="s">
        <v>1359</v>
      </c>
      <c r="E522" s="16">
        <f t="shared" ref="E522:N522" si="260">E523+E541+E550+E568</f>
        <v>3098505.58</v>
      </c>
      <c r="F522" s="16">
        <f t="shared" si="260"/>
        <v>1622368</v>
      </c>
      <c r="G522" s="16">
        <f t="shared" si="260"/>
        <v>15503.63</v>
      </c>
      <c r="H522" s="16">
        <f t="shared" si="260"/>
        <v>0</v>
      </c>
      <c r="I522" s="16">
        <f t="shared" si="260"/>
        <v>958900</v>
      </c>
      <c r="J522" s="16">
        <f t="shared" si="260"/>
        <v>0</v>
      </c>
      <c r="K522" s="16">
        <f t="shared" si="260"/>
        <v>0</v>
      </c>
      <c r="L522" s="16">
        <f t="shared" si="260"/>
        <v>501733.95</v>
      </c>
      <c r="M522" s="16">
        <f t="shared" si="260"/>
        <v>0</v>
      </c>
      <c r="N522" s="16">
        <f t="shared" si="260"/>
        <v>0</v>
      </c>
      <c r="O522" s="15" t="s">
        <v>1360</v>
      </c>
      <c r="P522" s="17" t="s">
        <v>29</v>
      </c>
      <c r="Q522" s="18" t="s">
        <v>588</v>
      </c>
    </row>
    <row r="523" spans="1:17" ht="45" x14ac:dyDescent="0.25">
      <c r="A523" s="19" t="s">
        <v>1361</v>
      </c>
      <c r="B523" s="20" t="s">
        <v>1362</v>
      </c>
      <c r="C523" s="21" t="s">
        <v>1356</v>
      </c>
      <c r="D523" s="21" t="s">
        <v>1359</v>
      </c>
      <c r="E523" s="22">
        <f t="shared" ref="E523:N523" si="261">E524+E529+E531+E533+E537+E539</f>
        <v>2312656.63</v>
      </c>
      <c r="F523" s="22">
        <f t="shared" si="261"/>
        <v>1337837</v>
      </c>
      <c r="G523" s="22">
        <f t="shared" si="261"/>
        <v>15503.63</v>
      </c>
      <c r="H523" s="22">
        <f t="shared" si="261"/>
        <v>0</v>
      </c>
      <c r="I523" s="22">
        <f t="shared" si="261"/>
        <v>955700</v>
      </c>
      <c r="J523" s="22">
        <f t="shared" si="261"/>
        <v>0</v>
      </c>
      <c r="K523" s="22">
        <f t="shared" si="261"/>
        <v>0</v>
      </c>
      <c r="L523" s="22">
        <f t="shared" si="261"/>
        <v>3616</v>
      </c>
      <c r="M523" s="22">
        <f t="shared" si="261"/>
        <v>0</v>
      </c>
      <c r="N523" s="22">
        <f t="shared" si="261"/>
        <v>0</v>
      </c>
      <c r="O523" s="21" t="s">
        <v>1363</v>
      </c>
      <c r="P523" s="23" t="s">
        <v>34</v>
      </c>
      <c r="Q523" s="24" t="s">
        <v>1364</v>
      </c>
    </row>
    <row r="524" spans="1:17" ht="69.75" x14ac:dyDescent="0.25">
      <c r="A524" s="25" t="s">
        <v>1365</v>
      </c>
      <c r="B524" s="26" t="s">
        <v>1366</v>
      </c>
      <c r="C524" s="27" t="s">
        <v>1356</v>
      </c>
      <c r="D524" s="27" t="s">
        <v>1367</v>
      </c>
      <c r="E524" s="28">
        <f>SUM(E525:E528)+211373.63</f>
        <v>211373.63</v>
      </c>
      <c r="F524" s="28">
        <f>SUM(F525:F528)+119254</f>
        <v>119254</v>
      </c>
      <c r="G524" s="28">
        <f>SUM(G525:G528)+15503.63</f>
        <v>15503.63</v>
      </c>
      <c r="H524" s="28">
        <f>SUM(H525:H528)</f>
        <v>0</v>
      </c>
      <c r="I524" s="28">
        <f>SUM(I525:I528)+73000</f>
        <v>73000</v>
      </c>
      <c r="J524" s="28">
        <f>SUM(J525:J528)</f>
        <v>0</v>
      </c>
      <c r="K524" s="28">
        <f>SUM(K525:K528)</f>
        <v>0</v>
      </c>
      <c r="L524" s="28">
        <f>SUM(L525:L528)+3616</f>
        <v>3616</v>
      </c>
      <c r="M524" s="28">
        <f>SUM(M525:M528)</f>
        <v>0</v>
      </c>
      <c r="N524" s="28">
        <f>SUM(N525:N528)</f>
        <v>0</v>
      </c>
      <c r="O524" s="27" t="s">
        <v>1368</v>
      </c>
      <c r="P524" s="29" t="s">
        <v>34</v>
      </c>
      <c r="Q524" s="30" t="s">
        <v>166</v>
      </c>
    </row>
    <row r="525" spans="1:17" ht="93" x14ac:dyDescent="0.25">
      <c r="A525" s="32"/>
      <c r="B525" s="33"/>
      <c r="C525" s="34"/>
      <c r="D525" s="34"/>
      <c r="E525" s="35">
        <v>0</v>
      </c>
      <c r="F525" s="35">
        <v>0</v>
      </c>
      <c r="G525" s="35">
        <v>0</v>
      </c>
      <c r="H525" s="35">
        <v>0</v>
      </c>
      <c r="I525" s="35">
        <v>0</v>
      </c>
      <c r="J525" s="35">
        <v>0</v>
      </c>
      <c r="K525" s="35">
        <v>0</v>
      </c>
      <c r="L525" s="35">
        <v>0</v>
      </c>
      <c r="M525" s="35">
        <v>0</v>
      </c>
      <c r="N525" s="35">
        <v>0</v>
      </c>
      <c r="O525" s="34" t="s">
        <v>1369</v>
      </c>
      <c r="P525" s="36" t="s">
        <v>34</v>
      </c>
      <c r="Q525" s="37" t="s">
        <v>166</v>
      </c>
    </row>
    <row r="526" spans="1:17" ht="93" x14ac:dyDescent="0.25">
      <c r="A526" s="25" t="s">
        <v>1370</v>
      </c>
      <c r="B526" s="26" t="s">
        <v>1371</v>
      </c>
      <c r="C526" s="27"/>
      <c r="D526" s="27"/>
      <c r="E526" s="31">
        <v>0</v>
      </c>
      <c r="F526" s="31">
        <v>0</v>
      </c>
      <c r="G526" s="31">
        <v>0</v>
      </c>
      <c r="H526" s="31">
        <v>0</v>
      </c>
      <c r="I526" s="31">
        <v>0</v>
      </c>
      <c r="J526" s="31">
        <v>0</v>
      </c>
      <c r="K526" s="31">
        <v>0</v>
      </c>
      <c r="L526" s="31">
        <v>0</v>
      </c>
      <c r="M526" s="31">
        <v>0</v>
      </c>
      <c r="N526" s="31">
        <v>0</v>
      </c>
      <c r="O526" s="27"/>
      <c r="P526" s="29"/>
      <c r="Q526" s="30"/>
    </row>
    <row r="527" spans="1:17" ht="93" x14ac:dyDescent="0.25">
      <c r="A527" s="25" t="s">
        <v>1372</v>
      </c>
      <c r="B527" s="26" t="s">
        <v>1373</v>
      </c>
      <c r="C527" s="27"/>
      <c r="D527" s="27"/>
      <c r="E527" s="31">
        <v>0</v>
      </c>
      <c r="F527" s="31">
        <v>0</v>
      </c>
      <c r="G527" s="31">
        <v>0</v>
      </c>
      <c r="H527" s="31">
        <v>0</v>
      </c>
      <c r="I527" s="31">
        <v>0</v>
      </c>
      <c r="J527" s="31">
        <v>0</v>
      </c>
      <c r="K527" s="31">
        <v>0</v>
      </c>
      <c r="L527" s="31">
        <v>0</v>
      </c>
      <c r="M527" s="31">
        <v>0</v>
      </c>
      <c r="N527" s="31">
        <v>0</v>
      </c>
      <c r="O527" s="27"/>
      <c r="P527" s="29"/>
      <c r="Q527" s="30"/>
    </row>
    <row r="528" spans="1:17" ht="116.25" x14ac:dyDescent="0.25">
      <c r="A528" s="25" t="s">
        <v>1374</v>
      </c>
      <c r="B528" s="26" t="s">
        <v>1375</v>
      </c>
      <c r="C528" s="27"/>
      <c r="D528" s="27"/>
      <c r="E528" s="31">
        <v>0</v>
      </c>
      <c r="F528" s="31">
        <v>0</v>
      </c>
      <c r="G528" s="31">
        <v>0</v>
      </c>
      <c r="H528" s="31">
        <v>0</v>
      </c>
      <c r="I528" s="31">
        <v>0</v>
      </c>
      <c r="J528" s="31">
        <v>0</v>
      </c>
      <c r="K528" s="31">
        <v>0</v>
      </c>
      <c r="L528" s="31">
        <v>0</v>
      </c>
      <c r="M528" s="31">
        <v>0</v>
      </c>
      <c r="N528" s="31">
        <v>0</v>
      </c>
      <c r="O528" s="27"/>
      <c r="P528" s="29"/>
      <c r="Q528" s="30"/>
    </row>
    <row r="529" spans="1:17" ht="69.75" x14ac:dyDescent="0.25">
      <c r="A529" s="25" t="s">
        <v>1376</v>
      </c>
      <c r="B529" s="26" t="s">
        <v>1377</v>
      </c>
      <c r="C529" s="27" t="s">
        <v>1356</v>
      </c>
      <c r="D529" s="27" t="s">
        <v>1378</v>
      </c>
      <c r="E529" s="28">
        <f>SUM(E530:E530)+184800</f>
        <v>184800</v>
      </c>
      <c r="F529" s="28">
        <f>SUM(F530:F530)+184800</f>
        <v>184800</v>
      </c>
      <c r="G529" s="28">
        <f t="shared" ref="G529:N529" si="262">SUM(G530:G530)</f>
        <v>0</v>
      </c>
      <c r="H529" s="28">
        <f t="shared" si="262"/>
        <v>0</v>
      </c>
      <c r="I529" s="28">
        <f t="shared" si="262"/>
        <v>0</v>
      </c>
      <c r="J529" s="28">
        <f t="shared" si="262"/>
        <v>0</v>
      </c>
      <c r="K529" s="28">
        <f t="shared" si="262"/>
        <v>0</v>
      </c>
      <c r="L529" s="28">
        <f t="shared" si="262"/>
        <v>0</v>
      </c>
      <c r="M529" s="28">
        <f t="shared" si="262"/>
        <v>0</v>
      </c>
      <c r="N529" s="28">
        <f t="shared" si="262"/>
        <v>0</v>
      </c>
      <c r="O529" s="27" t="s">
        <v>1379</v>
      </c>
      <c r="P529" s="29" t="s">
        <v>34</v>
      </c>
      <c r="Q529" s="30" t="s">
        <v>1380</v>
      </c>
    </row>
    <row r="530" spans="1:17" ht="69.75" x14ac:dyDescent="0.25">
      <c r="A530" s="25" t="s">
        <v>1381</v>
      </c>
      <c r="B530" s="26" t="s">
        <v>1382</v>
      </c>
      <c r="C530" s="27"/>
      <c r="D530" s="27"/>
      <c r="E530" s="31">
        <v>0</v>
      </c>
      <c r="F530" s="31">
        <v>0</v>
      </c>
      <c r="G530" s="31">
        <v>0</v>
      </c>
      <c r="H530" s="31">
        <v>0</v>
      </c>
      <c r="I530" s="31">
        <v>0</v>
      </c>
      <c r="J530" s="31">
        <v>0</v>
      </c>
      <c r="K530" s="31">
        <v>0</v>
      </c>
      <c r="L530" s="31">
        <v>0</v>
      </c>
      <c r="M530" s="31">
        <v>0</v>
      </c>
      <c r="N530" s="31">
        <v>0</v>
      </c>
      <c r="O530" s="27"/>
      <c r="P530" s="29"/>
      <c r="Q530" s="30"/>
    </row>
    <row r="531" spans="1:17" ht="93" x14ac:dyDescent="0.25">
      <c r="A531" s="25" t="s">
        <v>1383</v>
      </c>
      <c r="B531" s="26" t="s">
        <v>1384</v>
      </c>
      <c r="C531" s="27" t="s">
        <v>1356</v>
      </c>
      <c r="D531" s="27" t="s">
        <v>1385</v>
      </c>
      <c r="E531" s="28">
        <f>SUM(E532:E532)+199983</f>
        <v>199983</v>
      </c>
      <c r="F531" s="28">
        <f>SUM(F532:F532)+199983</f>
        <v>199983</v>
      </c>
      <c r="G531" s="28">
        <f t="shared" ref="G531:N531" si="263">SUM(G532:G532)</f>
        <v>0</v>
      </c>
      <c r="H531" s="28">
        <f t="shared" si="263"/>
        <v>0</v>
      </c>
      <c r="I531" s="28">
        <f t="shared" si="263"/>
        <v>0</v>
      </c>
      <c r="J531" s="28">
        <f t="shared" si="263"/>
        <v>0</v>
      </c>
      <c r="K531" s="28">
        <f t="shared" si="263"/>
        <v>0</v>
      </c>
      <c r="L531" s="28">
        <f t="shared" si="263"/>
        <v>0</v>
      </c>
      <c r="M531" s="28">
        <f t="shared" si="263"/>
        <v>0</v>
      </c>
      <c r="N531" s="28">
        <f t="shared" si="263"/>
        <v>0</v>
      </c>
      <c r="O531" s="27" t="s">
        <v>1386</v>
      </c>
      <c r="P531" s="29" t="s">
        <v>34</v>
      </c>
      <c r="Q531" s="30" t="s">
        <v>168</v>
      </c>
    </row>
    <row r="532" spans="1:17" ht="116.25" x14ac:dyDescent="0.25">
      <c r="A532" s="25" t="s">
        <v>1387</v>
      </c>
      <c r="B532" s="26" t="s">
        <v>1388</v>
      </c>
      <c r="C532" s="27"/>
      <c r="D532" s="27"/>
      <c r="E532" s="31">
        <v>0</v>
      </c>
      <c r="F532" s="31">
        <v>0</v>
      </c>
      <c r="G532" s="31">
        <v>0</v>
      </c>
      <c r="H532" s="31">
        <v>0</v>
      </c>
      <c r="I532" s="31">
        <v>0</v>
      </c>
      <c r="J532" s="31">
        <v>0</v>
      </c>
      <c r="K532" s="31">
        <v>0</v>
      </c>
      <c r="L532" s="31">
        <v>0</v>
      </c>
      <c r="M532" s="31">
        <v>0</v>
      </c>
      <c r="N532" s="31">
        <v>0</v>
      </c>
      <c r="O532" s="27"/>
      <c r="P532" s="29"/>
      <c r="Q532" s="30"/>
    </row>
    <row r="533" spans="1:17" ht="93" x14ac:dyDescent="0.25">
      <c r="A533" s="25" t="s">
        <v>1389</v>
      </c>
      <c r="B533" s="26" t="s">
        <v>1390</v>
      </c>
      <c r="C533" s="27" t="s">
        <v>1356</v>
      </c>
      <c r="D533" s="27" t="s">
        <v>1378</v>
      </c>
      <c r="E533" s="28">
        <f>SUM(E534:E536)+130800</f>
        <v>130800</v>
      </c>
      <c r="F533" s="28">
        <f>SUM(F534:F536)+130800</f>
        <v>130800</v>
      </c>
      <c r="G533" s="28">
        <f t="shared" ref="G533:N533" si="264">SUM(G534:G536)</f>
        <v>0</v>
      </c>
      <c r="H533" s="28">
        <f t="shared" si="264"/>
        <v>0</v>
      </c>
      <c r="I533" s="28">
        <f t="shared" si="264"/>
        <v>0</v>
      </c>
      <c r="J533" s="28">
        <f t="shared" si="264"/>
        <v>0</v>
      </c>
      <c r="K533" s="28">
        <f t="shared" si="264"/>
        <v>0</v>
      </c>
      <c r="L533" s="28">
        <f t="shared" si="264"/>
        <v>0</v>
      </c>
      <c r="M533" s="28">
        <f t="shared" si="264"/>
        <v>0</v>
      </c>
      <c r="N533" s="28">
        <f t="shared" si="264"/>
        <v>0</v>
      </c>
      <c r="O533" s="27" t="s">
        <v>1391</v>
      </c>
      <c r="P533" s="29" t="s">
        <v>34</v>
      </c>
      <c r="Q533" s="30" t="s">
        <v>200</v>
      </c>
    </row>
    <row r="534" spans="1:17" ht="46.5" x14ac:dyDescent="0.25">
      <c r="A534" s="25" t="s">
        <v>1392</v>
      </c>
      <c r="B534" s="26" t="s">
        <v>1393</v>
      </c>
      <c r="C534" s="27"/>
      <c r="D534" s="27"/>
      <c r="E534" s="31">
        <v>0</v>
      </c>
      <c r="F534" s="31">
        <v>0</v>
      </c>
      <c r="G534" s="31">
        <v>0</v>
      </c>
      <c r="H534" s="31">
        <v>0</v>
      </c>
      <c r="I534" s="31">
        <v>0</v>
      </c>
      <c r="J534" s="31">
        <v>0</v>
      </c>
      <c r="K534" s="31">
        <v>0</v>
      </c>
      <c r="L534" s="31">
        <v>0</v>
      </c>
      <c r="M534" s="31">
        <v>0</v>
      </c>
      <c r="N534" s="31">
        <v>0</v>
      </c>
      <c r="O534" s="27"/>
      <c r="P534" s="29"/>
      <c r="Q534" s="30"/>
    </row>
    <row r="535" spans="1:17" ht="69.75" x14ac:dyDescent="0.25">
      <c r="A535" s="25" t="s">
        <v>1394</v>
      </c>
      <c r="B535" s="26" t="s">
        <v>1395</v>
      </c>
      <c r="C535" s="27"/>
      <c r="D535" s="27"/>
      <c r="E535" s="31">
        <v>0</v>
      </c>
      <c r="F535" s="31">
        <v>0</v>
      </c>
      <c r="G535" s="31">
        <v>0</v>
      </c>
      <c r="H535" s="31">
        <v>0</v>
      </c>
      <c r="I535" s="31">
        <v>0</v>
      </c>
      <c r="J535" s="31">
        <v>0</v>
      </c>
      <c r="K535" s="31">
        <v>0</v>
      </c>
      <c r="L535" s="31">
        <v>0</v>
      </c>
      <c r="M535" s="31">
        <v>0</v>
      </c>
      <c r="N535" s="31">
        <v>0</v>
      </c>
      <c r="O535" s="27"/>
      <c r="P535" s="29"/>
      <c r="Q535" s="30"/>
    </row>
    <row r="536" spans="1:17" ht="69.75" x14ac:dyDescent="0.25">
      <c r="A536" s="25" t="s">
        <v>1396</v>
      </c>
      <c r="B536" s="26" t="s">
        <v>1397</v>
      </c>
      <c r="C536" s="27"/>
      <c r="D536" s="27"/>
      <c r="E536" s="31">
        <v>0</v>
      </c>
      <c r="F536" s="31">
        <v>0</v>
      </c>
      <c r="G536" s="31">
        <v>0</v>
      </c>
      <c r="H536" s="31">
        <v>0</v>
      </c>
      <c r="I536" s="31">
        <v>0</v>
      </c>
      <c r="J536" s="31">
        <v>0</v>
      </c>
      <c r="K536" s="31">
        <v>0</v>
      </c>
      <c r="L536" s="31">
        <v>0</v>
      </c>
      <c r="M536" s="31">
        <v>0</v>
      </c>
      <c r="N536" s="31">
        <v>0</v>
      </c>
      <c r="O536" s="27"/>
      <c r="P536" s="29"/>
      <c r="Q536" s="30"/>
    </row>
    <row r="537" spans="1:17" ht="139.5" x14ac:dyDescent="0.25">
      <c r="A537" s="25" t="s">
        <v>1398</v>
      </c>
      <c r="B537" s="26" t="s">
        <v>1399</v>
      </c>
      <c r="C537" s="27" t="s">
        <v>1356</v>
      </c>
      <c r="D537" s="27" t="s">
        <v>1367</v>
      </c>
      <c r="E537" s="28">
        <f>SUM(E538:E538)+703000</f>
        <v>703000</v>
      </c>
      <c r="F537" s="28">
        <f>SUM(F538:F538)+703000</f>
        <v>703000</v>
      </c>
      <c r="G537" s="28">
        <f t="shared" ref="G537:N537" si="265">SUM(G538:G538)</f>
        <v>0</v>
      </c>
      <c r="H537" s="28">
        <f t="shared" si="265"/>
        <v>0</v>
      </c>
      <c r="I537" s="28">
        <f t="shared" si="265"/>
        <v>0</v>
      </c>
      <c r="J537" s="28">
        <f t="shared" si="265"/>
        <v>0</v>
      </c>
      <c r="K537" s="28">
        <f t="shared" si="265"/>
        <v>0</v>
      </c>
      <c r="L537" s="28">
        <f t="shared" si="265"/>
        <v>0</v>
      </c>
      <c r="M537" s="28">
        <f t="shared" si="265"/>
        <v>0</v>
      </c>
      <c r="N537" s="28">
        <f t="shared" si="265"/>
        <v>0</v>
      </c>
      <c r="O537" s="27" t="s">
        <v>1400</v>
      </c>
      <c r="P537" s="29" t="s">
        <v>34</v>
      </c>
      <c r="Q537" s="30" t="s">
        <v>1401</v>
      </c>
    </row>
    <row r="538" spans="1:17" ht="139.5" x14ac:dyDescent="0.25">
      <c r="A538" s="25" t="s">
        <v>1402</v>
      </c>
      <c r="B538" s="26" t="s">
        <v>1403</v>
      </c>
      <c r="C538" s="27"/>
      <c r="D538" s="27"/>
      <c r="E538" s="31">
        <v>0</v>
      </c>
      <c r="F538" s="31">
        <v>0</v>
      </c>
      <c r="G538" s="31">
        <v>0</v>
      </c>
      <c r="H538" s="31">
        <v>0</v>
      </c>
      <c r="I538" s="31">
        <v>0</v>
      </c>
      <c r="J538" s="31">
        <v>0</v>
      </c>
      <c r="K538" s="31">
        <v>0</v>
      </c>
      <c r="L538" s="31">
        <v>0</v>
      </c>
      <c r="M538" s="31">
        <v>0</v>
      </c>
      <c r="N538" s="31">
        <v>0</v>
      </c>
      <c r="O538" s="27"/>
      <c r="P538" s="29"/>
      <c r="Q538" s="30"/>
    </row>
    <row r="539" spans="1:17" ht="93" x14ac:dyDescent="0.25">
      <c r="A539" s="25" t="s">
        <v>1404</v>
      </c>
      <c r="B539" s="26" t="s">
        <v>1405</v>
      </c>
      <c r="C539" s="27" t="s">
        <v>1356</v>
      </c>
      <c r="D539" s="27" t="s">
        <v>1367</v>
      </c>
      <c r="E539" s="28">
        <f>SUM(E540:E540)+882700</f>
        <v>882700</v>
      </c>
      <c r="F539" s="28">
        <f>SUM(F540:F540)</f>
        <v>0</v>
      </c>
      <c r="G539" s="28">
        <f>SUM(G540:G540)</f>
        <v>0</v>
      </c>
      <c r="H539" s="28">
        <f>SUM(H540:H540)</f>
        <v>0</v>
      </c>
      <c r="I539" s="28">
        <f>SUM(I540:I540)+882700</f>
        <v>882700</v>
      </c>
      <c r="J539" s="28">
        <f>SUM(J540:J540)</f>
        <v>0</v>
      </c>
      <c r="K539" s="28">
        <f>SUM(K540:K540)</f>
        <v>0</v>
      </c>
      <c r="L539" s="28">
        <f>SUM(L540:L540)</f>
        <v>0</v>
      </c>
      <c r="M539" s="28">
        <f>SUM(M540:M540)</f>
        <v>0</v>
      </c>
      <c r="N539" s="28">
        <f>SUM(N540:N540)</f>
        <v>0</v>
      </c>
      <c r="O539" s="27" t="s">
        <v>1406</v>
      </c>
      <c r="P539" s="29" t="s">
        <v>34</v>
      </c>
      <c r="Q539" s="30" t="s">
        <v>119</v>
      </c>
    </row>
    <row r="540" spans="1:17" ht="93" x14ac:dyDescent="0.25">
      <c r="A540" s="25" t="s">
        <v>1407</v>
      </c>
      <c r="B540" s="26" t="s">
        <v>1408</v>
      </c>
      <c r="C540" s="27"/>
      <c r="D540" s="27"/>
      <c r="E540" s="31">
        <v>0</v>
      </c>
      <c r="F540" s="31">
        <v>0</v>
      </c>
      <c r="G540" s="31">
        <v>0</v>
      </c>
      <c r="H540" s="31">
        <v>0</v>
      </c>
      <c r="I540" s="31">
        <v>0</v>
      </c>
      <c r="J540" s="31">
        <v>0</v>
      </c>
      <c r="K540" s="31">
        <v>0</v>
      </c>
      <c r="L540" s="31">
        <v>0</v>
      </c>
      <c r="M540" s="31">
        <v>0</v>
      </c>
      <c r="N540" s="31">
        <v>0</v>
      </c>
      <c r="O540" s="27"/>
      <c r="P540" s="29"/>
      <c r="Q540" s="30"/>
    </row>
    <row r="541" spans="1:17" ht="45" x14ac:dyDescent="0.25">
      <c r="A541" s="19" t="s">
        <v>1409</v>
      </c>
      <c r="B541" s="20" t="s">
        <v>1410</v>
      </c>
      <c r="C541" s="21" t="s">
        <v>1356</v>
      </c>
      <c r="D541" s="21" t="s">
        <v>1359</v>
      </c>
      <c r="E541" s="22">
        <f t="shared" ref="E541:N541" si="266">E542+E544+E546+E548</f>
        <v>563589</v>
      </c>
      <c r="F541" s="22">
        <f t="shared" si="266"/>
        <v>222531</v>
      </c>
      <c r="G541" s="22">
        <f t="shared" si="266"/>
        <v>0</v>
      </c>
      <c r="H541" s="22">
        <f t="shared" si="266"/>
        <v>0</v>
      </c>
      <c r="I541" s="22">
        <f t="shared" si="266"/>
        <v>0</v>
      </c>
      <c r="J541" s="22">
        <f t="shared" si="266"/>
        <v>0</v>
      </c>
      <c r="K541" s="22">
        <f t="shared" si="266"/>
        <v>0</v>
      </c>
      <c r="L541" s="22">
        <f t="shared" si="266"/>
        <v>341058</v>
      </c>
      <c r="M541" s="22">
        <f t="shared" si="266"/>
        <v>0</v>
      </c>
      <c r="N541" s="22">
        <f t="shared" si="266"/>
        <v>0</v>
      </c>
      <c r="O541" s="21" t="s">
        <v>1411</v>
      </c>
      <c r="P541" s="23" t="s">
        <v>34</v>
      </c>
      <c r="Q541" s="24" t="s">
        <v>1412</v>
      </c>
    </row>
    <row r="542" spans="1:17" ht="69.75" x14ac:dyDescent="0.25">
      <c r="A542" s="25" t="s">
        <v>1413</v>
      </c>
      <c r="B542" s="26" t="s">
        <v>1414</v>
      </c>
      <c r="C542" s="27" t="s">
        <v>1356</v>
      </c>
      <c r="D542" s="27" t="s">
        <v>1378</v>
      </c>
      <c r="E542" s="28">
        <f>SUM(E543:E543)+4000</f>
        <v>4000</v>
      </c>
      <c r="F542" s="28">
        <f t="shared" ref="F542:K542" si="267">SUM(F543:F543)</f>
        <v>0</v>
      </c>
      <c r="G542" s="28">
        <f t="shared" si="267"/>
        <v>0</v>
      </c>
      <c r="H542" s="28">
        <f t="shared" si="267"/>
        <v>0</v>
      </c>
      <c r="I542" s="28">
        <f t="shared" si="267"/>
        <v>0</v>
      </c>
      <c r="J542" s="28">
        <f t="shared" si="267"/>
        <v>0</v>
      </c>
      <c r="K542" s="28">
        <f t="shared" si="267"/>
        <v>0</v>
      </c>
      <c r="L542" s="28">
        <f>SUM(L543:L543)+4000</f>
        <v>4000</v>
      </c>
      <c r="M542" s="28">
        <f>SUM(M543:M543)</f>
        <v>0</v>
      </c>
      <c r="N542" s="28">
        <f>SUM(N543:N543)</f>
        <v>0</v>
      </c>
      <c r="O542" s="27" t="s">
        <v>1415</v>
      </c>
      <c r="P542" s="29" t="s">
        <v>34</v>
      </c>
      <c r="Q542" s="30" t="s">
        <v>184</v>
      </c>
    </row>
    <row r="543" spans="1:17" ht="46.5" x14ac:dyDescent="0.25">
      <c r="A543" s="25" t="s">
        <v>1416</v>
      </c>
      <c r="B543" s="26" t="s">
        <v>1417</v>
      </c>
      <c r="C543" s="27"/>
      <c r="D543" s="27"/>
      <c r="E543" s="31">
        <v>0</v>
      </c>
      <c r="F543" s="31">
        <v>0</v>
      </c>
      <c r="G543" s="31">
        <v>0</v>
      </c>
      <c r="H543" s="31">
        <v>0</v>
      </c>
      <c r="I543" s="31">
        <v>0</v>
      </c>
      <c r="J543" s="31">
        <v>0</v>
      </c>
      <c r="K543" s="31">
        <v>0</v>
      </c>
      <c r="L543" s="31">
        <v>0</v>
      </c>
      <c r="M543" s="31">
        <v>0</v>
      </c>
      <c r="N543" s="31">
        <v>0</v>
      </c>
      <c r="O543" s="27"/>
      <c r="P543" s="29"/>
      <c r="Q543" s="30"/>
    </row>
    <row r="544" spans="1:17" ht="46.5" x14ac:dyDescent="0.25">
      <c r="A544" s="25" t="s">
        <v>1418</v>
      </c>
      <c r="B544" s="26" t="s">
        <v>1419</v>
      </c>
      <c r="C544" s="27" t="s">
        <v>1356</v>
      </c>
      <c r="D544" s="27" t="s">
        <v>1378</v>
      </c>
      <c r="E544" s="28">
        <f>SUM(E545:E545)+354600</f>
        <v>354600</v>
      </c>
      <c r="F544" s="28">
        <f>SUM(F545:F545)+153000</f>
        <v>153000</v>
      </c>
      <c r="G544" s="28">
        <f>SUM(G545:G545)</f>
        <v>0</v>
      </c>
      <c r="H544" s="28">
        <f>SUM(H545:H545)</f>
        <v>0</v>
      </c>
      <c r="I544" s="28">
        <f>SUM(I545:I545)</f>
        <v>0</v>
      </c>
      <c r="J544" s="28">
        <f>SUM(J545:J545)</f>
        <v>0</v>
      </c>
      <c r="K544" s="28">
        <f>SUM(K545:K545)</f>
        <v>0</v>
      </c>
      <c r="L544" s="28">
        <f>SUM(L545:L545)+201600</f>
        <v>201600</v>
      </c>
      <c r="M544" s="28">
        <f>SUM(M545:M545)</f>
        <v>0</v>
      </c>
      <c r="N544" s="28">
        <f>SUM(N545:N545)</f>
        <v>0</v>
      </c>
      <c r="O544" s="27" t="s">
        <v>1420</v>
      </c>
      <c r="P544" s="29" t="s">
        <v>34</v>
      </c>
      <c r="Q544" s="30" t="s">
        <v>1421</v>
      </c>
    </row>
    <row r="545" spans="1:17" ht="69.75" x14ac:dyDescent="0.25">
      <c r="A545" s="25" t="s">
        <v>1422</v>
      </c>
      <c r="B545" s="26" t="s">
        <v>1423</v>
      </c>
      <c r="C545" s="27"/>
      <c r="D545" s="27"/>
      <c r="E545" s="31">
        <v>0</v>
      </c>
      <c r="F545" s="31">
        <v>0</v>
      </c>
      <c r="G545" s="31">
        <v>0</v>
      </c>
      <c r="H545" s="31">
        <v>0</v>
      </c>
      <c r="I545" s="31">
        <v>0</v>
      </c>
      <c r="J545" s="31">
        <v>0</v>
      </c>
      <c r="K545" s="31">
        <v>0</v>
      </c>
      <c r="L545" s="31">
        <v>0</v>
      </c>
      <c r="M545" s="31">
        <v>0</v>
      </c>
      <c r="N545" s="31">
        <v>0</v>
      </c>
      <c r="O545" s="27"/>
      <c r="P545" s="29"/>
      <c r="Q545" s="30"/>
    </row>
    <row r="546" spans="1:17" ht="69.75" x14ac:dyDescent="0.25">
      <c r="A546" s="25" t="s">
        <v>1424</v>
      </c>
      <c r="B546" s="26" t="s">
        <v>1425</v>
      </c>
      <c r="C546" s="27" t="s">
        <v>1356</v>
      </c>
      <c r="D546" s="27" t="s">
        <v>1426</v>
      </c>
      <c r="E546" s="28">
        <f>SUM(E547:E547)+201044</f>
        <v>201044</v>
      </c>
      <c r="F546" s="28">
        <f>SUM(F547:F547)+69531</f>
        <v>69531</v>
      </c>
      <c r="G546" s="28">
        <f>SUM(G547:G547)</f>
        <v>0</v>
      </c>
      <c r="H546" s="28">
        <f>SUM(H547:H547)</f>
        <v>0</v>
      </c>
      <c r="I546" s="28">
        <f>SUM(I547:I547)</f>
        <v>0</v>
      </c>
      <c r="J546" s="28">
        <f>SUM(J547:J547)</f>
        <v>0</v>
      </c>
      <c r="K546" s="28">
        <f>SUM(K547:K547)</f>
        <v>0</v>
      </c>
      <c r="L546" s="28">
        <f>SUM(L547:L547)+131513</f>
        <v>131513</v>
      </c>
      <c r="M546" s="28">
        <f>SUM(M547:M547)</f>
        <v>0</v>
      </c>
      <c r="N546" s="28">
        <f>SUM(N547:N547)</f>
        <v>0</v>
      </c>
      <c r="O546" s="27" t="s">
        <v>1427</v>
      </c>
      <c r="P546" s="29" t="s">
        <v>34</v>
      </c>
      <c r="Q546" s="30" t="s">
        <v>1428</v>
      </c>
    </row>
    <row r="547" spans="1:17" ht="69.75" x14ac:dyDescent="0.25">
      <c r="A547" s="25" t="s">
        <v>1429</v>
      </c>
      <c r="B547" s="26" t="s">
        <v>1430</v>
      </c>
      <c r="C547" s="27"/>
      <c r="D547" s="27"/>
      <c r="E547" s="31">
        <v>0</v>
      </c>
      <c r="F547" s="31">
        <v>0</v>
      </c>
      <c r="G547" s="31">
        <v>0</v>
      </c>
      <c r="H547" s="31">
        <v>0</v>
      </c>
      <c r="I547" s="31">
        <v>0</v>
      </c>
      <c r="J547" s="31">
        <v>0</v>
      </c>
      <c r="K547" s="31">
        <v>0</v>
      </c>
      <c r="L547" s="31">
        <v>0</v>
      </c>
      <c r="M547" s="31">
        <v>0</v>
      </c>
      <c r="N547" s="31">
        <v>0</v>
      </c>
      <c r="O547" s="27"/>
      <c r="P547" s="29"/>
      <c r="Q547" s="30"/>
    </row>
    <row r="548" spans="1:17" ht="93" x14ac:dyDescent="0.25">
      <c r="A548" s="25" t="s">
        <v>1431</v>
      </c>
      <c r="B548" s="26" t="s">
        <v>1432</v>
      </c>
      <c r="C548" s="27" t="s">
        <v>1356</v>
      </c>
      <c r="D548" s="27" t="s">
        <v>1426</v>
      </c>
      <c r="E548" s="28">
        <f>SUM(E549:E549)+3945</f>
        <v>3945</v>
      </c>
      <c r="F548" s="28">
        <f t="shared" ref="F548:K548" si="268">SUM(F549:F549)</f>
        <v>0</v>
      </c>
      <c r="G548" s="28">
        <f t="shared" si="268"/>
        <v>0</v>
      </c>
      <c r="H548" s="28">
        <f t="shared" si="268"/>
        <v>0</v>
      </c>
      <c r="I548" s="28">
        <f t="shared" si="268"/>
        <v>0</v>
      </c>
      <c r="J548" s="28">
        <f t="shared" si="268"/>
        <v>0</v>
      </c>
      <c r="K548" s="28">
        <f t="shared" si="268"/>
        <v>0</v>
      </c>
      <c r="L548" s="28">
        <f>SUM(L549:L549)+3945</f>
        <v>3945</v>
      </c>
      <c r="M548" s="28">
        <f>SUM(M549:M549)</f>
        <v>0</v>
      </c>
      <c r="N548" s="28">
        <f>SUM(N549:N549)</f>
        <v>0</v>
      </c>
      <c r="O548" s="27" t="s">
        <v>1433</v>
      </c>
      <c r="P548" s="29" t="s">
        <v>34</v>
      </c>
      <c r="Q548" s="30" t="s">
        <v>35</v>
      </c>
    </row>
    <row r="549" spans="1:17" ht="69.75" x14ac:dyDescent="0.25">
      <c r="A549" s="25" t="s">
        <v>1434</v>
      </c>
      <c r="B549" s="26" t="s">
        <v>1435</v>
      </c>
      <c r="C549" s="27"/>
      <c r="D549" s="27"/>
      <c r="E549" s="31">
        <v>0</v>
      </c>
      <c r="F549" s="31">
        <v>0</v>
      </c>
      <c r="G549" s="31">
        <v>0</v>
      </c>
      <c r="H549" s="31">
        <v>0</v>
      </c>
      <c r="I549" s="31">
        <v>0</v>
      </c>
      <c r="J549" s="31">
        <v>0</v>
      </c>
      <c r="K549" s="31">
        <v>0</v>
      </c>
      <c r="L549" s="31">
        <v>0</v>
      </c>
      <c r="M549" s="31">
        <v>0</v>
      </c>
      <c r="N549" s="31">
        <v>0</v>
      </c>
      <c r="O549" s="27"/>
      <c r="P549" s="29"/>
      <c r="Q549" s="30"/>
    </row>
    <row r="550" spans="1:17" ht="45" x14ac:dyDescent="0.25">
      <c r="A550" s="19" t="s">
        <v>1436</v>
      </c>
      <c r="B550" s="20" t="s">
        <v>1437</v>
      </c>
      <c r="C550" s="21" t="s">
        <v>1356</v>
      </c>
      <c r="D550" s="21" t="s">
        <v>1359</v>
      </c>
      <c r="E550" s="22">
        <f t="shared" ref="E550:N550" si="269">E551+E554+E556+E558+E560+E564+E566</f>
        <v>207259.95</v>
      </c>
      <c r="F550" s="22">
        <f t="shared" si="269"/>
        <v>47000</v>
      </c>
      <c r="G550" s="22">
        <f t="shared" si="269"/>
        <v>0</v>
      </c>
      <c r="H550" s="22">
        <f t="shared" si="269"/>
        <v>0</v>
      </c>
      <c r="I550" s="22">
        <f t="shared" si="269"/>
        <v>3200</v>
      </c>
      <c r="J550" s="22">
        <f t="shared" si="269"/>
        <v>0</v>
      </c>
      <c r="K550" s="22">
        <f t="shared" si="269"/>
        <v>0</v>
      </c>
      <c r="L550" s="22">
        <f t="shared" si="269"/>
        <v>157059.95000000001</v>
      </c>
      <c r="M550" s="22">
        <f t="shared" si="269"/>
        <v>0</v>
      </c>
      <c r="N550" s="22">
        <f t="shared" si="269"/>
        <v>0</v>
      </c>
      <c r="O550" s="21" t="s">
        <v>136</v>
      </c>
      <c r="P550" s="23" t="s">
        <v>34</v>
      </c>
      <c r="Q550" s="24" t="s">
        <v>246</v>
      </c>
    </row>
    <row r="551" spans="1:17" ht="69.75" x14ac:dyDescent="0.25">
      <c r="A551" s="25" t="s">
        <v>1438</v>
      </c>
      <c r="B551" s="26" t="s">
        <v>1439</v>
      </c>
      <c r="C551" s="27" t="s">
        <v>1356</v>
      </c>
      <c r="D551" s="27" t="s">
        <v>1426</v>
      </c>
      <c r="E551" s="28">
        <f t="shared" ref="E551:N551" si="270">SUM(E552:E553)</f>
        <v>0</v>
      </c>
      <c r="F551" s="28">
        <f t="shared" si="270"/>
        <v>0</v>
      </c>
      <c r="G551" s="28">
        <f t="shared" si="270"/>
        <v>0</v>
      </c>
      <c r="H551" s="28">
        <f t="shared" si="270"/>
        <v>0</v>
      </c>
      <c r="I551" s="28">
        <f t="shared" si="270"/>
        <v>0</v>
      </c>
      <c r="J551" s="28">
        <f t="shared" si="270"/>
        <v>0</v>
      </c>
      <c r="K551" s="28">
        <f t="shared" si="270"/>
        <v>0</v>
      </c>
      <c r="L551" s="28">
        <f t="shared" si="270"/>
        <v>0</v>
      </c>
      <c r="M551" s="28">
        <f t="shared" si="270"/>
        <v>0</v>
      </c>
      <c r="N551" s="28">
        <f t="shared" si="270"/>
        <v>0</v>
      </c>
      <c r="O551" s="27" t="s">
        <v>1440</v>
      </c>
      <c r="P551" s="29" t="s">
        <v>34</v>
      </c>
      <c r="Q551" s="30" t="s">
        <v>1441</v>
      </c>
    </row>
    <row r="552" spans="1:17" ht="93" x14ac:dyDescent="0.25">
      <c r="A552" s="25" t="s">
        <v>1442</v>
      </c>
      <c r="B552" s="26" t="s">
        <v>1443</v>
      </c>
      <c r="C552" s="27"/>
      <c r="D552" s="27"/>
      <c r="E552" s="31">
        <v>0</v>
      </c>
      <c r="F552" s="31">
        <v>0</v>
      </c>
      <c r="G552" s="31">
        <v>0</v>
      </c>
      <c r="H552" s="31">
        <v>0</v>
      </c>
      <c r="I552" s="31">
        <v>0</v>
      </c>
      <c r="J552" s="31">
        <v>0</v>
      </c>
      <c r="K552" s="31">
        <v>0</v>
      </c>
      <c r="L552" s="31">
        <v>0</v>
      </c>
      <c r="M552" s="31">
        <v>0</v>
      </c>
      <c r="N552" s="31">
        <v>0</v>
      </c>
      <c r="O552" s="27"/>
      <c r="P552" s="29"/>
      <c r="Q552" s="30"/>
    </row>
    <row r="553" spans="1:17" ht="93" x14ac:dyDescent="0.25">
      <c r="A553" s="25" t="s">
        <v>1444</v>
      </c>
      <c r="B553" s="26" t="s">
        <v>1445</v>
      </c>
      <c r="C553" s="27"/>
      <c r="D553" s="27"/>
      <c r="E553" s="31">
        <v>0</v>
      </c>
      <c r="F553" s="31">
        <v>0</v>
      </c>
      <c r="G553" s="31">
        <v>0</v>
      </c>
      <c r="H553" s="31">
        <v>0</v>
      </c>
      <c r="I553" s="31">
        <v>0</v>
      </c>
      <c r="J553" s="31">
        <v>0</v>
      </c>
      <c r="K553" s="31">
        <v>0</v>
      </c>
      <c r="L553" s="31">
        <v>0</v>
      </c>
      <c r="M553" s="31">
        <v>0</v>
      </c>
      <c r="N553" s="31">
        <v>0</v>
      </c>
      <c r="O553" s="27"/>
      <c r="P553" s="29"/>
      <c r="Q553" s="30"/>
    </row>
    <row r="554" spans="1:17" ht="46.5" x14ac:dyDescent="0.25">
      <c r="A554" s="25" t="s">
        <v>1446</v>
      </c>
      <c r="B554" s="26" t="s">
        <v>1447</v>
      </c>
      <c r="C554" s="27" t="s">
        <v>1356</v>
      </c>
      <c r="D554" s="27" t="s">
        <v>1448</v>
      </c>
      <c r="E554" s="28">
        <f>SUM(E555:E555)+78080.72</f>
        <v>78080.72</v>
      </c>
      <c r="F554" s="28">
        <f>SUM(F555:F555)+45000</f>
        <v>45000</v>
      </c>
      <c r="G554" s="28">
        <f>SUM(G555:G555)</f>
        <v>0</v>
      </c>
      <c r="H554" s="28">
        <f>SUM(H555:H555)</f>
        <v>0</v>
      </c>
      <c r="I554" s="28">
        <f>SUM(I555:I555)</f>
        <v>0</v>
      </c>
      <c r="J554" s="28">
        <f>SUM(J555:J555)</f>
        <v>0</v>
      </c>
      <c r="K554" s="28">
        <f>SUM(K555:K555)</f>
        <v>0</v>
      </c>
      <c r="L554" s="28">
        <f>SUM(L555:L555)+33080.72</f>
        <v>33080.720000000001</v>
      </c>
      <c r="M554" s="28">
        <f>SUM(M555:M555)</f>
        <v>0</v>
      </c>
      <c r="N554" s="28">
        <f>SUM(N555:N555)</f>
        <v>0</v>
      </c>
      <c r="O554" s="27" t="s">
        <v>1449</v>
      </c>
      <c r="P554" s="29" t="s">
        <v>34</v>
      </c>
      <c r="Q554" s="30" t="s">
        <v>1450</v>
      </c>
    </row>
    <row r="555" spans="1:17" ht="46.5" x14ac:dyDescent="0.25">
      <c r="A555" s="25" t="s">
        <v>1451</v>
      </c>
      <c r="B555" s="26" t="s">
        <v>1452</v>
      </c>
      <c r="C555" s="27"/>
      <c r="D555" s="27"/>
      <c r="E555" s="31">
        <v>0</v>
      </c>
      <c r="F555" s="31">
        <v>0</v>
      </c>
      <c r="G555" s="31">
        <v>0</v>
      </c>
      <c r="H555" s="31">
        <v>0</v>
      </c>
      <c r="I555" s="31">
        <v>0</v>
      </c>
      <c r="J555" s="31">
        <v>0</v>
      </c>
      <c r="K555" s="31">
        <v>0</v>
      </c>
      <c r="L555" s="31">
        <v>0</v>
      </c>
      <c r="M555" s="31">
        <v>0</v>
      </c>
      <c r="N555" s="31">
        <v>0</v>
      </c>
      <c r="O555" s="27"/>
      <c r="P555" s="29"/>
      <c r="Q555" s="30"/>
    </row>
    <row r="556" spans="1:17" ht="69.75" x14ac:dyDescent="0.25">
      <c r="A556" s="25" t="s">
        <v>1453</v>
      </c>
      <c r="B556" s="26" t="s">
        <v>1454</v>
      </c>
      <c r="C556" s="27" t="s">
        <v>1356</v>
      </c>
      <c r="D556" s="27" t="s">
        <v>1448</v>
      </c>
      <c r="E556" s="28">
        <f>SUM(E557:E557)+1323.23</f>
        <v>1323.23</v>
      </c>
      <c r="F556" s="28">
        <f t="shared" ref="F556:K556" si="271">SUM(F557:F557)</f>
        <v>0</v>
      </c>
      <c r="G556" s="28">
        <f t="shared" si="271"/>
        <v>0</v>
      </c>
      <c r="H556" s="28">
        <f t="shared" si="271"/>
        <v>0</v>
      </c>
      <c r="I556" s="28">
        <f t="shared" si="271"/>
        <v>0</v>
      </c>
      <c r="J556" s="28">
        <f t="shared" si="271"/>
        <v>0</v>
      </c>
      <c r="K556" s="28">
        <f t="shared" si="271"/>
        <v>0</v>
      </c>
      <c r="L556" s="28">
        <f>SUM(L557:L557)+1323.23</f>
        <v>1323.23</v>
      </c>
      <c r="M556" s="28">
        <f>SUM(M557:M557)</f>
        <v>0</v>
      </c>
      <c r="N556" s="28">
        <f>SUM(N557:N557)</f>
        <v>0</v>
      </c>
      <c r="O556" s="27" t="s">
        <v>1455</v>
      </c>
      <c r="P556" s="29" t="s">
        <v>34</v>
      </c>
      <c r="Q556" s="30" t="s">
        <v>59</v>
      </c>
    </row>
    <row r="557" spans="1:17" ht="69.75" x14ac:dyDescent="0.25">
      <c r="A557" s="25" t="s">
        <v>1456</v>
      </c>
      <c r="B557" s="26" t="s">
        <v>1457</v>
      </c>
      <c r="C557" s="27"/>
      <c r="D557" s="27"/>
      <c r="E557" s="31">
        <v>0</v>
      </c>
      <c r="F557" s="31">
        <v>0</v>
      </c>
      <c r="G557" s="31">
        <v>0</v>
      </c>
      <c r="H557" s="31">
        <v>0</v>
      </c>
      <c r="I557" s="31">
        <v>0</v>
      </c>
      <c r="J557" s="31">
        <v>0</v>
      </c>
      <c r="K557" s="31">
        <v>0</v>
      </c>
      <c r="L557" s="31">
        <v>0</v>
      </c>
      <c r="M557" s="31">
        <v>0</v>
      </c>
      <c r="N557" s="31">
        <v>0</v>
      </c>
      <c r="O557" s="27"/>
      <c r="P557" s="29"/>
      <c r="Q557" s="30"/>
    </row>
    <row r="558" spans="1:17" ht="69.75" x14ac:dyDescent="0.25">
      <c r="A558" s="25" t="s">
        <v>1458</v>
      </c>
      <c r="B558" s="26" t="s">
        <v>1459</v>
      </c>
      <c r="C558" s="27" t="s">
        <v>1356</v>
      </c>
      <c r="D558" s="27" t="s">
        <v>1426</v>
      </c>
      <c r="E558" s="28">
        <f>SUM(E559:E559)+2000</f>
        <v>2000</v>
      </c>
      <c r="F558" s="28">
        <f>SUM(F559:F559)+2000</f>
        <v>2000</v>
      </c>
      <c r="G558" s="28">
        <f t="shared" ref="G558:N558" si="272">SUM(G559:G559)</f>
        <v>0</v>
      </c>
      <c r="H558" s="28">
        <f t="shared" si="272"/>
        <v>0</v>
      </c>
      <c r="I558" s="28">
        <f t="shared" si="272"/>
        <v>0</v>
      </c>
      <c r="J558" s="28">
        <f t="shared" si="272"/>
        <v>0</v>
      </c>
      <c r="K558" s="28">
        <f t="shared" si="272"/>
        <v>0</v>
      </c>
      <c r="L558" s="28">
        <f t="shared" si="272"/>
        <v>0</v>
      </c>
      <c r="M558" s="28">
        <f t="shared" si="272"/>
        <v>0</v>
      </c>
      <c r="N558" s="28">
        <f t="shared" si="272"/>
        <v>0</v>
      </c>
      <c r="O558" s="27" t="s">
        <v>1460</v>
      </c>
      <c r="P558" s="29" t="s">
        <v>34</v>
      </c>
      <c r="Q558" s="30" t="s">
        <v>184</v>
      </c>
    </row>
    <row r="559" spans="1:17" ht="46.5" x14ac:dyDescent="0.25">
      <c r="A559" s="25" t="s">
        <v>1461</v>
      </c>
      <c r="B559" s="26" t="s">
        <v>1462</v>
      </c>
      <c r="C559" s="27"/>
      <c r="D559" s="27"/>
      <c r="E559" s="31">
        <v>0</v>
      </c>
      <c r="F559" s="31">
        <v>0</v>
      </c>
      <c r="G559" s="31">
        <v>0</v>
      </c>
      <c r="H559" s="31">
        <v>0</v>
      </c>
      <c r="I559" s="31">
        <v>0</v>
      </c>
      <c r="J559" s="31">
        <v>0</v>
      </c>
      <c r="K559" s="31">
        <v>0</v>
      </c>
      <c r="L559" s="31">
        <v>0</v>
      </c>
      <c r="M559" s="31">
        <v>0</v>
      </c>
      <c r="N559" s="31">
        <v>0</v>
      </c>
      <c r="O559" s="27"/>
      <c r="P559" s="29"/>
      <c r="Q559" s="30"/>
    </row>
    <row r="560" spans="1:17" ht="46.5" x14ac:dyDescent="0.25">
      <c r="A560" s="25" t="s">
        <v>1463</v>
      </c>
      <c r="B560" s="26" t="s">
        <v>1464</v>
      </c>
      <c r="C560" s="27" t="s">
        <v>1356</v>
      </c>
      <c r="D560" s="27" t="s">
        <v>1367</v>
      </c>
      <c r="E560" s="28">
        <f>SUM(E561:E563)+120251</f>
        <v>120251</v>
      </c>
      <c r="F560" s="28">
        <f t="shared" ref="F560:K560" si="273">SUM(F561:F563)</f>
        <v>0</v>
      </c>
      <c r="G560" s="28">
        <f t="shared" si="273"/>
        <v>0</v>
      </c>
      <c r="H560" s="28">
        <f t="shared" si="273"/>
        <v>0</v>
      </c>
      <c r="I560" s="28">
        <f t="shared" si="273"/>
        <v>0</v>
      </c>
      <c r="J560" s="28">
        <f t="shared" si="273"/>
        <v>0</v>
      </c>
      <c r="K560" s="28">
        <f t="shared" si="273"/>
        <v>0</v>
      </c>
      <c r="L560" s="28">
        <f>SUM(L561:L563)+120251</f>
        <v>120251</v>
      </c>
      <c r="M560" s="28">
        <f>SUM(M561:M563)</f>
        <v>0</v>
      </c>
      <c r="N560" s="28">
        <f>SUM(N561:N563)</f>
        <v>0</v>
      </c>
      <c r="O560" s="27" t="s">
        <v>1465</v>
      </c>
      <c r="P560" s="29" t="s">
        <v>34</v>
      </c>
      <c r="Q560" s="30" t="s">
        <v>1174</v>
      </c>
    </row>
    <row r="561" spans="1:17" ht="93" x14ac:dyDescent="0.25">
      <c r="A561" s="25" t="s">
        <v>1466</v>
      </c>
      <c r="B561" s="26" t="s">
        <v>1467</v>
      </c>
      <c r="C561" s="27"/>
      <c r="D561" s="27"/>
      <c r="E561" s="31">
        <v>0</v>
      </c>
      <c r="F561" s="31">
        <v>0</v>
      </c>
      <c r="G561" s="31">
        <v>0</v>
      </c>
      <c r="H561" s="31">
        <v>0</v>
      </c>
      <c r="I561" s="31">
        <v>0</v>
      </c>
      <c r="J561" s="31">
        <v>0</v>
      </c>
      <c r="K561" s="31">
        <v>0</v>
      </c>
      <c r="L561" s="31">
        <v>0</v>
      </c>
      <c r="M561" s="31">
        <v>0</v>
      </c>
      <c r="N561" s="31">
        <v>0</v>
      </c>
      <c r="O561" s="27"/>
      <c r="P561" s="29"/>
      <c r="Q561" s="30"/>
    </row>
    <row r="562" spans="1:17" ht="93" x14ac:dyDescent="0.25">
      <c r="A562" s="25" t="s">
        <v>1468</v>
      </c>
      <c r="B562" s="26" t="s">
        <v>1469</v>
      </c>
      <c r="C562" s="27"/>
      <c r="D562" s="27"/>
      <c r="E562" s="31">
        <v>0</v>
      </c>
      <c r="F562" s="31">
        <v>0</v>
      </c>
      <c r="G562" s="31">
        <v>0</v>
      </c>
      <c r="H562" s="31">
        <v>0</v>
      </c>
      <c r="I562" s="31">
        <v>0</v>
      </c>
      <c r="J562" s="31">
        <v>0</v>
      </c>
      <c r="K562" s="31">
        <v>0</v>
      </c>
      <c r="L562" s="31">
        <v>0</v>
      </c>
      <c r="M562" s="31">
        <v>0</v>
      </c>
      <c r="N562" s="31">
        <v>0</v>
      </c>
      <c r="O562" s="27"/>
      <c r="P562" s="29"/>
      <c r="Q562" s="30"/>
    </row>
    <row r="563" spans="1:17" ht="69.75" x14ac:dyDescent="0.25">
      <c r="A563" s="25" t="s">
        <v>1470</v>
      </c>
      <c r="B563" s="26" t="s">
        <v>1471</v>
      </c>
      <c r="C563" s="27"/>
      <c r="D563" s="27"/>
      <c r="E563" s="31">
        <v>0</v>
      </c>
      <c r="F563" s="31">
        <v>0</v>
      </c>
      <c r="G563" s="31">
        <v>0</v>
      </c>
      <c r="H563" s="31">
        <v>0</v>
      </c>
      <c r="I563" s="31">
        <v>0</v>
      </c>
      <c r="J563" s="31">
        <v>0</v>
      </c>
      <c r="K563" s="31">
        <v>0</v>
      </c>
      <c r="L563" s="31">
        <v>0</v>
      </c>
      <c r="M563" s="31">
        <v>0</v>
      </c>
      <c r="N563" s="31">
        <v>0</v>
      </c>
      <c r="O563" s="27"/>
      <c r="P563" s="29"/>
      <c r="Q563" s="30"/>
    </row>
    <row r="564" spans="1:17" ht="69.75" x14ac:dyDescent="0.25">
      <c r="A564" s="25" t="s">
        <v>1472</v>
      </c>
      <c r="B564" s="26" t="s">
        <v>1473</v>
      </c>
      <c r="C564" s="27" t="s">
        <v>1356</v>
      </c>
      <c r="D564" s="27" t="s">
        <v>1367</v>
      </c>
      <c r="E564" s="28">
        <f>SUM(E565:E565)+2405</f>
        <v>2405</v>
      </c>
      <c r="F564" s="28">
        <f t="shared" ref="F564:K564" si="274">SUM(F565:F565)</f>
        <v>0</v>
      </c>
      <c r="G564" s="28">
        <f t="shared" si="274"/>
        <v>0</v>
      </c>
      <c r="H564" s="28">
        <f t="shared" si="274"/>
        <v>0</v>
      </c>
      <c r="I564" s="28">
        <f t="shared" si="274"/>
        <v>0</v>
      </c>
      <c r="J564" s="28">
        <f t="shared" si="274"/>
        <v>0</v>
      </c>
      <c r="K564" s="28">
        <f t="shared" si="274"/>
        <v>0</v>
      </c>
      <c r="L564" s="28">
        <f>SUM(L565:L565)+2405</f>
        <v>2405</v>
      </c>
      <c r="M564" s="28">
        <f>SUM(M565:M565)</f>
        <v>0</v>
      </c>
      <c r="N564" s="28">
        <f>SUM(N565:N565)</f>
        <v>0</v>
      </c>
      <c r="O564" s="27" t="s">
        <v>1474</v>
      </c>
      <c r="P564" s="29" t="s">
        <v>34</v>
      </c>
      <c r="Q564" s="30" t="s">
        <v>344</v>
      </c>
    </row>
    <row r="565" spans="1:17" ht="69.75" x14ac:dyDescent="0.25">
      <c r="A565" s="25" t="s">
        <v>1475</v>
      </c>
      <c r="B565" s="26" t="s">
        <v>1476</v>
      </c>
      <c r="C565" s="27"/>
      <c r="D565" s="27"/>
      <c r="E565" s="31">
        <v>0</v>
      </c>
      <c r="F565" s="31">
        <v>0</v>
      </c>
      <c r="G565" s="31">
        <v>0</v>
      </c>
      <c r="H565" s="31">
        <v>0</v>
      </c>
      <c r="I565" s="31">
        <v>0</v>
      </c>
      <c r="J565" s="31">
        <v>0</v>
      </c>
      <c r="K565" s="31">
        <v>0</v>
      </c>
      <c r="L565" s="31">
        <v>0</v>
      </c>
      <c r="M565" s="31">
        <v>0</v>
      </c>
      <c r="N565" s="31">
        <v>0</v>
      </c>
      <c r="O565" s="27"/>
      <c r="P565" s="29"/>
      <c r="Q565" s="30"/>
    </row>
    <row r="566" spans="1:17" ht="69.75" x14ac:dyDescent="0.25">
      <c r="A566" s="25" t="s">
        <v>1477</v>
      </c>
      <c r="B566" s="26" t="s">
        <v>1478</v>
      </c>
      <c r="C566" s="27" t="s">
        <v>1356</v>
      </c>
      <c r="D566" s="27" t="s">
        <v>1426</v>
      </c>
      <c r="E566" s="28">
        <f>SUM(E567:E567)+3200</f>
        <v>3200</v>
      </c>
      <c r="F566" s="28">
        <f>SUM(F567:F567)</f>
        <v>0</v>
      </c>
      <c r="G566" s="28">
        <f>SUM(G567:G567)</f>
        <v>0</v>
      </c>
      <c r="H566" s="28">
        <f>SUM(H567:H567)</f>
        <v>0</v>
      </c>
      <c r="I566" s="28">
        <f>SUM(I567:I567)+3200</f>
        <v>3200</v>
      </c>
      <c r="J566" s="28">
        <f>SUM(J567:J567)</f>
        <v>0</v>
      </c>
      <c r="K566" s="28">
        <f>SUM(K567:K567)</f>
        <v>0</v>
      </c>
      <c r="L566" s="28">
        <f>SUM(L567:L567)</f>
        <v>0</v>
      </c>
      <c r="M566" s="28">
        <f>SUM(M567:M567)</f>
        <v>0</v>
      </c>
      <c r="N566" s="28">
        <f>SUM(N567:N567)</f>
        <v>0</v>
      </c>
      <c r="O566" s="27" t="s">
        <v>1479</v>
      </c>
      <c r="P566" s="29" t="s">
        <v>34</v>
      </c>
      <c r="Q566" s="30" t="s">
        <v>160</v>
      </c>
    </row>
    <row r="567" spans="1:17" ht="69.75" x14ac:dyDescent="0.25">
      <c r="A567" s="25" t="s">
        <v>1480</v>
      </c>
      <c r="B567" s="26" t="s">
        <v>1481</v>
      </c>
      <c r="C567" s="27"/>
      <c r="D567" s="27"/>
      <c r="E567" s="31">
        <v>0</v>
      </c>
      <c r="F567" s="31">
        <v>0</v>
      </c>
      <c r="G567" s="31">
        <v>0</v>
      </c>
      <c r="H567" s="31">
        <v>0</v>
      </c>
      <c r="I567" s="31">
        <v>0</v>
      </c>
      <c r="J567" s="31">
        <v>0</v>
      </c>
      <c r="K567" s="31">
        <v>0</v>
      </c>
      <c r="L567" s="31">
        <v>0</v>
      </c>
      <c r="M567" s="31">
        <v>0</v>
      </c>
      <c r="N567" s="31">
        <v>0</v>
      </c>
      <c r="O567" s="27"/>
      <c r="P567" s="29"/>
      <c r="Q567" s="30"/>
    </row>
    <row r="568" spans="1:17" ht="45" x14ac:dyDescent="0.25">
      <c r="A568" s="19" t="s">
        <v>1482</v>
      </c>
      <c r="B568" s="20" t="s">
        <v>1483</v>
      </c>
      <c r="C568" s="21" t="s">
        <v>1356</v>
      </c>
      <c r="D568" s="21" t="s">
        <v>1359</v>
      </c>
      <c r="E568" s="22">
        <f t="shared" ref="E568:N568" si="275">SUM(E569:E569)</f>
        <v>15000</v>
      </c>
      <c r="F568" s="22">
        <f t="shared" si="275"/>
        <v>15000</v>
      </c>
      <c r="G568" s="22">
        <f t="shared" si="275"/>
        <v>0</v>
      </c>
      <c r="H568" s="22">
        <f t="shared" si="275"/>
        <v>0</v>
      </c>
      <c r="I568" s="22">
        <f t="shared" si="275"/>
        <v>0</v>
      </c>
      <c r="J568" s="22">
        <f t="shared" si="275"/>
        <v>0</v>
      </c>
      <c r="K568" s="22">
        <f t="shared" si="275"/>
        <v>0</v>
      </c>
      <c r="L568" s="22">
        <f t="shared" si="275"/>
        <v>0</v>
      </c>
      <c r="M568" s="22">
        <f t="shared" si="275"/>
        <v>0</v>
      </c>
      <c r="N568" s="22">
        <f t="shared" si="275"/>
        <v>0</v>
      </c>
      <c r="O568" s="21" t="s">
        <v>1484</v>
      </c>
      <c r="P568" s="23" t="s">
        <v>34</v>
      </c>
      <c r="Q568" s="24" t="s">
        <v>1485</v>
      </c>
    </row>
    <row r="569" spans="1:17" ht="116.25" x14ac:dyDescent="0.25">
      <c r="A569" s="25" t="s">
        <v>1486</v>
      </c>
      <c r="B569" s="26" t="s">
        <v>1487</v>
      </c>
      <c r="C569" s="27" t="s">
        <v>1356</v>
      </c>
      <c r="D569" s="27" t="s">
        <v>1488</v>
      </c>
      <c r="E569" s="28">
        <f>SUM(E570:E570)+15000</f>
        <v>15000</v>
      </c>
      <c r="F569" s="28">
        <f>SUM(F570:F570)+15000</f>
        <v>15000</v>
      </c>
      <c r="G569" s="28">
        <f t="shared" ref="G569:N569" si="276">SUM(G570:G570)</f>
        <v>0</v>
      </c>
      <c r="H569" s="28">
        <f t="shared" si="276"/>
        <v>0</v>
      </c>
      <c r="I569" s="28">
        <f t="shared" si="276"/>
        <v>0</v>
      </c>
      <c r="J569" s="28">
        <f t="shared" si="276"/>
        <v>0</v>
      </c>
      <c r="K569" s="28">
        <f t="shared" si="276"/>
        <v>0</v>
      </c>
      <c r="L569" s="28">
        <f t="shared" si="276"/>
        <v>0</v>
      </c>
      <c r="M569" s="28">
        <f t="shared" si="276"/>
        <v>0</v>
      </c>
      <c r="N569" s="28">
        <f t="shared" si="276"/>
        <v>0</v>
      </c>
      <c r="O569" s="27" t="s">
        <v>1489</v>
      </c>
      <c r="P569" s="29" t="s">
        <v>34</v>
      </c>
      <c r="Q569" s="30" t="s">
        <v>57</v>
      </c>
    </row>
    <row r="570" spans="1:17" ht="46.5" x14ac:dyDescent="0.25">
      <c r="A570" s="25" t="s">
        <v>1490</v>
      </c>
      <c r="B570" s="26" t="s">
        <v>1491</v>
      </c>
      <c r="C570" s="27"/>
      <c r="D570" s="27"/>
      <c r="E570" s="31">
        <v>0</v>
      </c>
      <c r="F570" s="31">
        <v>0</v>
      </c>
      <c r="G570" s="31">
        <v>0</v>
      </c>
      <c r="H570" s="31">
        <v>0</v>
      </c>
      <c r="I570" s="31">
        <v>0</v>
      </c>
      <c r="J570" s="31">
        <v>0</v>
      </c>
      <c r="K570" s="31">
        <v>0</v>
      </c>
      <c r="L570" s="31">
        <v>0</v>
      </c>
      <c r="M570" s="31">
        <v>0</v>
      </c>
      <c r="N570" s="31">
        <v>0</v>
      </c>
      <c r="O570" s="27"/>
      <c r="P570" s="29"/>
      <c r="Q570" s="30"/>
    </row>
    <row r="571" spans="1:17" ht="45" x14ac:dyDescent="0.25">
      <c r="A571" s="13" t="s">
        <v>1492</v>
      </c>
      <c r="B571" s="14" t="s">
        <v>1493</v>
      </c>
      <c r="C571" s="15" t="s">
        <v>1356</v>
      </c>
      <c r="D571" s="15" t="s">
        <v>1359</v>
      </c>
      <c r="E571" s="16">
        <f t="shared" ref="E571:N571" si="277">E572+E578+E581+E584+E673+E676</f>
        <v>17683547.43</v>
      </c>
      <c r="F571" s="16">
        <f t="shared" si="277"/>
        <v>3902245</v>
      </c>
      <c r="G571" s="16">
        <f t="shared" si="277"/>
        <v>127368.81</v>
      </c>
      <c r="H571" s="16">
        <f t="shared" si="277"/>
        <v>0</v>
      </c>
      <c r="I571" s="16">
        <f t="shared" si="277"/>
        <v>828315</v>
      </c>
      <c r="J571" s="16">
        <f t="shared" si="277"/>
        <v>0</v>
      </c>
      <c r="K571" s="16">
        <f t="shared" si="277"/>
        <v>280085.42</v>
      </c>
      <c r="L571" s="16">
        <f t="shared" si="277"/>
        <v>12545533.199999999</v>
      </c>
      <c r="M571" s="16">
        <f t="shared" si="277"/>
        <v>0</v>
      </c>
      <c r="N571" s="16">
        <f t="shared" si="277"/>
        <v>0</v>
      </c>
      <c r="O571" s="15" t="s">
        <v>1494</v>
      </c>
      <c r="P571" s="17" t="s">
        <v>29</v>
      </c>
      <c r="Q571" s="18" t="s">
        <v>57</v>
      </c>
    </row>
    <row r="572" spans="1:17" ht="67.5" x14ac:dyDescent="0.25">
      <c r="A572" s="19" t="s">
        <v>1495</v>
      </c>
      <c r="B572" s="20" t="s">
        <v>1496</v>
      </c>
      <c r="C572" s="21" t="s">
        <v>1497</v>
      </c>
      <c r="D572" s="21" t="s">
        <v>1498</v>
      </c>
      <c r="E572" s="22">
        <f t="shared" ref="E572:N572" si="278">E573+E574+E576</f>
        <v>334903.62</v>
      </c>
      <c r="F572" s="22">
        <f t="shared" si="278"/>
        <v>0</v>
      </c>
      <c r="G572" s="22">
        <f t="shared" si="278"/>
        <v>0</v>
      </c>
      <c r="H572" s="22">
        <f t="shared" si="278"/>
        <v>0</v>
      </c>
      <c r="I572" s="22">
        <f t="shared" si="278"/>
        <v>0</v>
      </c>
      <c r="J572" s="22">
        <f t="shared" si="278"/>
        <v>0</v>
      </c>
      <c r="K572" s="22">
        <f t="shared" si="278"/>
        <v>280085.42</v>
      </c>
      <c r="L572" s="22">
        <f t="shared" si="278"/>
        <v>54818.2</v>
      </c>
      <c r="M572" s="22">
        <f t="shared" si="278"/>
        <v>0</v>
      </c>
      <c r="N572" s="22">
        <f t="shared" si="278"/>
        <v>0</v>
      </c>
      <c r="O572" s="21" t="s">
        <v>1499</v>
      </c>
      <c r="P572" s="23" t="s">
        <v>34</v>
      </c>
      <c r="Q572" s="24" t="s">
        <v>75</v>
      </c>
    </row>
    <row r="573" spans="1:17" ht="69.75" x14ac:dyDescent="0.25">
      <c r="A573" s="32"/>
      <c r="B573" s="33"/>
      <c r="C573" s="34"/>
      <c r="D573" s="34"/>
      <c r="E573" s="35">
        <v>0</v>
      </c>
      <c r="F573" s="35">
        <v>0</v>
      </c>
      <c r="G573" s="35">
        <v>0</v>
      </c>
      <c r="H573" s="35">
        <v>0</v>
      </c>
      <c r="I573" s="35">
        <v>0</v>
      </c>
      <c r="J573" s="35">
        <v>0</v>
      </c>
      <c r="K573" s="35">
        <v>0</v>
      </c>
      <c r="L573" s="35">
        <v>0</v>
      </c>
      <c r="M573" s="35">
        <v>0</v>
      </c>
      <c r="N573" s="35">
        <v>0</v>
      </c>
      <c r="O573" s="34" t="s">
        <v>1500</v>
      </c>
      <c r="P573" s="36" t="s">
        <v>34</v>
      </c>
      <c r="Q573" s="37" t="s">
        <v>75</v>
      </c>
    </row>
    <row r="574" spans="1:17" ht="93" x14ac:dyDescent="0.25">
      <c r="A574" s="25" t="s">
        <v>1501</v>
      </c>
      <c r="B574" s="26" t="s">
        <v>1502</v>
      </c>
      <c r="C574" s="27" t="s">
        <v>256</v>
      </c>
      <c r="D574" s="27" t="s">
        <v>266</v>
      </c>
      <c r="E574" s="28">
        <f>SUM(E575:E575)+30358.05</f>
        <v>30358.05</v>
      </c>
      <c r="F574" s="28">
        <f>SUM(F575:F575)</f>
        <v>0</v>
      </c>
      <c r="G574" s="28">
        <f>SUM(G575:G575)</f>
        <v>0</v>
      </c>
      <c r="H574" s="28">
        <f>SUM(H575:H575)</f>
        <v>0</v>
      </c>
      <c r="I574" s="28">
        <f>SUM(I575:I575)</f>
        <v>0</v>
      </c>
      <c r="J574" s="28">
        <f>SUM(J575:J575)</f>
        <v>0</v>
      </c>
      <c r="K574" s="28">
        <f>SUM(K575:K575)+30358.05</f>
        <v>30358.05</v>
      </c>
      <c r="L574" s="28">
        <f>SUM(L575:L575)</f>
        <v>0</v>
      </c>
      <c r="M574" s="28">
        <f>SUM(M575:M575)</f>
        <v>0</v>
      </c>
      <c r="N574" s="28">
        <f>SUM(N575:N575)</f>
        <v>0</v>
      </c>
      <c r="O574" s="27" t="s">
        <v>1503</v>
      </c>
      <c r="P574" s="29" t="s">
        <v>34</v>
      </c>
      <c r="Q574" s="30" t="s">
        <v>75</v>
      </c>
    </row>
    <row r="575" spans="1:17" ht="69.75" x14ac:dyDescent="0.25">
      <c r="A575" s="25" t="s">
        <v>1504</v>
      </c>
      <c r="B575" s="26" t="s">
        <v>1505</v>
      </c>
      <c r="C575" s="27"/>
      <c r="D575" s="27"/>
      <c r="E575" s="31">
        <v>0</v>
      </c>
      <c r="F575" s="31">
        <v>0</v>
      </c>
      <c r="G575" s="31">
        <v>0</v>
      </c>
      <c r="H575" s="31">
        <v>0</v>
      </c>
      <c r="I575" s="31">
        <v>0</v>
      </c>
      <c r="J575" s="31">
        <v>0</v>
      </c>
      <c r="K575" s="31">
        <v>0</v>
      </c>
      <c r="L575" s="31">
        <v>0</v>
      </c>
      <c r="M575" s="31">
        <v>0</v>
      </c>
      <c r="N575" s="31">
        <v>0</v>
      </c>
      <c r="O575" s="27"/>
      <c r="P575" s="29"/>
      <c r="Q575" s="30"/>
    </row>
    <row r="576" spans="1:17" ht="116.25" x14ac:dyDescent="0.25">
      <c r="A576" s="25" t="s">
        <v>1506</v>
      </c>
      <c r="B576" s="26" t="s">
        <v>1507</v>
      </c>
      <c r="C576" s="27" t="s">
        <v>1497</v>
      </c>
      <c r="D576" s="27" t="s">
        <v>1498</v>
      </c>
      <c r="E576" s="28">
        <f>SUM(E577:E577)+304545.57</f>
        <v>304545.57</v>
      </c>
      <c r="F576" s="28">
        <f>SUM(F577:F577)</f>
        <v>0</v>
      </c>
      <c r="G576" s="28">
        <f>SUM(G577:G577)</f>
        <v>0</v>
      </c>
      <c r="H576" s="28">
        <f>SUM(H577:H577)</f>
        <v>0</v>
      </c>
      <c r="I576" s="28">
        <f>SUM(I577:I577)</f>
        <v>0</v>
      </c>
      <c r="J576" s="28">
        <f>SUM(J577:J577)</f>
        <v>0</v>
      </c>
      <c r="K576" s="28">
        <f>SUM(K577:K577)+249727.37</f>
        <v>249727.37</v>
      </c>
      <c r="L576" s="28">
        <f>SUM(L577:L577)+54818.2</f>
        <v>54818.2</v>
      </c>
      <c r="M576" s="28">
        <f>SUM(M577:M577)</f>
        <v>0</v>
      </c>
      <c r="N576" s="28">
        <f>SUM(N577:N577)</f>
        <v>0</v>
      </c>
      <c r="O576" s="27" t="s">
        <v>1499</v>
      </c>
      <c r="P576" s="29" t="s">
        <v>34</v>
      </c>
      <c r="Q576" s="30" t="s">
        <v>75</v>
      </c>
    </row>
    <row r="577" spans="1:17" ht="46.5" x14ac:dyDescent="0.25">
      <c r="A577" s="25" t="s">
        <v>1508</v>
      </c>
      <c r="B577" s="26" t="s">
        <v>1509</v>
      </c>
      <c r="C577" s="27"/>
      <c r="D577" s="27"/>
      <c r="E577" s="31">
        <v>0</v>
      </c>
      <c r="F577" s="31">
        <v>0</v>
      </c>
      <c r="G577" s="31">
        <v>0</v>
      </c>
      <c r="H577" s="31">
        <v>0</v>
      </c>
      <c r="I577" s="31">
        <v>0</v>
      </c>
      <c r="J577" s="31">
        <v>0</v>
      </c>
      <c r="K577" s="31">
        <v>0</v>
      </c>
      <c r="L577" s="31">
        <v>0</v>
      </c>
      <c r="M577" s="31">
        <v>0</v>
      </c>
      <c r="N577" s="31">
        <v>0</v>
      </c>
      <c r="O577" s="27"/>
      <c r="P577" s="29"/>
      <c r="Q577" s="30"/>
    </row>
    <row r="578" spans="1:17" ht="112.5" x14ac:dyDescent="0.25">
      <c r="A578" s="19" t="s">
        <v>1510</v>
      </c>
      <c r="B578" s="20" t="s">
        <v>1511</v>
      </c>
      <c r="C578" s="21" t="s">
        <v>1356</v>
      </c>
      <c r="D578" s="21" t="s">
        <v>1359</v>
      </c>
      <c r="E578" s="22">
        <f t="shared" ref="E578:N579" si="279">SUM(E579:E579)</f>
        <v>0</v>
      </c>
      <c r="F578" s="22">
        <f t="shared" si="279"/>
        <v>0</v>
      </c>
      <c r="G578" s="22">
        <f t="shared" si="279"/>
        <v>0</v>
      </c>
      <c r="H578" s="22">
        <f t="shared" si="279"/>
        <v>0</v>
      </c>
      <c r="I578" s="22">
        <f t="shared" si="279"/>
        <v>0</v>
      </c>
      <c r="J578" s="22">
        <f t="shared" si="279"/>
        <v>0</v>
      </c>
      <c r="K578" s="22">
        <f t="shared" si="279"/>
        <v>0</v>
      </c>
      <c r="L578" s="22">
        <f t="shared" si="279"/>
        <v>0</v>
      </c>
      <c r="M578" s="22">
        <f t="shared" si="279"/>
        <v>0</v>
      </c>
      <c r="N578" s="22">
        <f t="shared" si="279"/>
        <v>0</v>
      </c>
      <c r="O578" s="21" t="s">
        <v>1512</v>
      </c>
      <c r="P578" s="23" t="s">
        <v>34</v>
      </c>
      <c r="Q578" s="24" t="s">
        <v>75</v>
      </c>
    </row>
    <row r="579" spans="1:17" ht="46.5" x14ac:dyDescent="0.25">
      <c r="A579" s="25" t="s">
        <v>1513</v>
      </c>
      <c r="B579" s="26" t="s">
        <v>1514</v>
      </c>
      <c r="C579" s="27" t="s">
        <v>1356</v>
      </c>
      <c r="D579" s="27" t="s">
        <v>1359</v>
      </c>
      <c r="E579" s="28">
        <f t="shared" si="279"/>
        <v>0</v>
      </c>
      <c r="F579" s="28">
        <f t="shared" si="279"/>
        <v>0</v>
      </c>
      <c r="G579" s="28">
        <f t="shared" si="279"/>
        <v>0</v>
      </c>
      <c r="H579" s="28">
        <f t="shared" si="279"/>
        <v>0</v>
      </c>
      <c r="I579" s="28">
        <f t="shared" si="279"/>
        <v>0</v>
      </c>
      <c r="J579" s="28">
        <f t="shared" si="279"/>
        <v>0</v>
      </c>
      <c r="K579" s="28">
        <f t="shared" si="279"/>
        <v>0</v>
      </c>
      <c r="L579" s="28">
        <f t="shared" si="279"/>
        <v>0</v>
      </c>
      <c r="M579" s="28">
        <f t="shared" si="279"/>
        <v>0</v>
      </c>
      <c r="N579" s="28">
        <f t="shared" si="279"/>
        <v>0</v>
      </c>
      <c r="O579" s="27" t="s">
        <v>1515</v>
      </c>
      <c r="P579" s="29" t="s">
        <v>34</v>
      </c>
      <c r="Q579" s="30" t="s">
        <v>75</v>
      </c>
    </row>
    <row r="580" spans="1:17" ht="69.75" x14ac:dyDescent="0.25">
      <c r="A580" s="25" t="s">
        <v>1516</v>
      </c>
      <c r="B580" s="26" t="s">
        <v>1517</v>
      </c>
      <c r="C580" s="27"/>
      <c r="D580" s="27"/>
      <c r="E580" s="31">
        <v>0</v>
      </c>
      <c r="F580" s="31">
        <v>0</v>
      </c>
      <c r="G580" s="31">
        <v>0</v>
      </c>
      <c r="H580" s="31">
        <v>0</v>
      </c>
      <c r="I580" s="31">
        <v>0</v>
      </c>
      <c r="J580" s="31">
        <v>0</v>
      </c>
      <c r="K580" s="31">
        <v>0</v>
      </c>
      <c r="L580" s="31">
        <v>0</v>
      </c>
      <c r="M580" s="31">
        <v>0</v>
      </c>
      <c r="N580" s="31">
        <v>0</v>
      </c>
      <c r="O580" s="27"/>
      <c r="P580" s="29"/>
      <c r="Q580" s="30"/>
    </row>
    <row r="581" spans="1:17" ht="90" x14ac:dyDescent="0.25">
      <c r="A581" s="19" t="s">
        <v>1518</v>
      </c>
      <c r="B581" s="20" t="s">
        <v>1519</v>
      </c>
      <c r="C581" s="21" t="s">
        <v>1356</v>
      </c>
      <c r="D581" s="21" t="s">
        <v>1359</v>
      </c>
      <c r="E581" s="22">
        <f t="shared" ref="E581:N581" si="280">SUM(E582:E582)</f>
        <v>256920</v>
      </c>
      <c r="F581" s="22">
        <f t="shared" si="280"/>
        <v>207305</v>
      </c>
      <c r="G581" s="22">
        <f t="shared" si="280"/>
        <v>0</v>
      </c>
      <c r="H581" s="22">
        <f t="shared" si="280"/>
        <v>0</v>
      </c>
      <c r="I581" s="22">
        <f t="shared" si="280"/>
        <v>0</v>
      </c>
      <c r="J581" s="22">
        <f t="shared" si="280"/>
        <v>0</v>
      </c>
      <c r="K581" s="22">
        <f t="shared" si="280"/>
        <v>0</v>
      </c>
      <c r="L581" s="22">
        <f t="shared" si="280"/>
        <v>49615</v>
      </c>
      <c r="M581" s="22">
        <f t="shared" si="280"/>
        <v>0</v>
      </c>
      <c r="N581" s="22">
        <f t="shared" si="280"/>
        <v>0</v>
      </c>
      <c r="O581" s="21" t="s">
        <v>1515</v>
      </c>
      <c r="P581" s="23" t="s">
        <v>34</v>
      </c>
      <c r="Q581" s="24" t="s">
        <v>35</v>
      </c>
    </row>
    <row r="582" spans="1:17" ht="69.75" x14ac:dyDescent="0.25">
      <c r="A582" s="25" t="s">
        <v>1520</v>
      </c>
      <c r="B582" s="26" t="s">
        <v>1521</v>
      </c>
      <c r="C582" s="27" t="s">
        <v>1356</v>
      </c>
      <c r="D582" s="27" t="s">
        <v>1522</v>
      </c>
      <c r="E582" s="28">
        <f>SUM(E583:E583)+256920</f>
        <v>256920</v>
      </c>
      <c r="F582" s="28">
        <f>SUM(F583:F583)+207305</f>
        <v>207305</v>
      </c>
      <c r="G582" s="28">
        <f>SUM(G583:G583)</f>
        <v>0</v>
      </c>
      <c r="H582" s="28">
        <f>SUM(H583:H583)</f>
        <v>0</v>
      </c>
      <c r="I582" s="28">
        <f>SUM(I583:I583)</f>
        <v>0</v>
      </c>
      <c r="J582" s="28">
        <f>SUM(J583:J583)</f>
        <v>0</v>
      </c>
      <c r="K582" s="28">
        <f>SUM(K583:K583)</f>
        <v>0</v>
      </c>
      <c r="L582" s="28">
        <f>SUM(L583:L583)+49615</f>
        <v>49615</v>
      </c>
      <c r="M582" s="28">
        <f>SUM(M583:M583)</f>
        <v>0</v>
      </c>
      <c r="N582" s="28">
        <f>SUM(N583:N583)</f>
        <v>0</v>
      </c>
      <c r="O582" s="27" t="s">
        <v>1523</v>
      </c>
      <c r="P582" s="29" t="s">
        <v>34</v>
      </c>
      <c r="Q582" s="30" t="s">
        <v>59</v>
      </c>
    </row>
    <row r="583" spans="1:17" ht="46.5" x14ac:dyDescent="0.25">
      <c r="A583" s="25" t="s">
        <v>1524</v>
      </c>
      <c r="B583" s="26" t="s">
        <v>1525</v>
      </c>
      <c r="C583" s="27"/>
      <c r="D583" s="27"/>
      <c r="E583" s="31">
        <v>0</v>
      </c>
      <c r="F583" s="31">
        <v>0</v>
      </c>
      <c r="G583" s="31">
        <v>0</v>
      </c>
      <c r="H583" s="31">
        <v>0</v>
      </c>
      <c r="I583" s="31">
        <v>0</v>
      </c>
      <c r="J583" s="31">
        <v>0</v>
      </c>
      <c r="K583" s="31">
        <v>0</v>
      </c>
      <c r="L583" s="31">
        <v>0</v>
      </c>
      <c r="M583" s="31">
        <v>0</v>
      </c>
      <c r="N583" s="31">
        <v>0</v>
      </c>
      <c r="O583" s="27"/>
      <c r="P583" s="29"/>
      <c r="Q583" s="30"/>
    </row>
    <row r="584" spans="1:17" ht="67.5" x14ac:dyDescent="0.25">
      <c r="A584" s="19" t="s">
        <v>1526</v>
      </c>
      <c r="B584" s="20" t="s">
        <v>1527</v>
      </c>
      <c r="C584" s="21" t="s">
        <v>1356</v>
      </c>
      <c r="D584" s="21" t="s">
        <v>1359</v>
      </c>
      <c r="E584" s="22">
        <f t="shared" ref="E584:N584" si="281">E585+E587+E589+E591+E593+E595+E597+E600+E603+E605+E607+E609+E611+E613+E615+E617+E619+E621+E623+E625+E627+E629+E631+E633+E635+E637+E639+E641+E643+E645+E647+E649+E651+E653+E655+E657+E659+E661+E663+E665+E667+E669+E671</f>
        <v>16946470</v>
      </c>
      <c r="F584" s="22">
        <f t="shared" si="281"/>
        <v>3679940</v>
      </c>
      <c r="G584" s="22">
        <f t="shared" si="281"/>
        <v>0</v>
      </c>
      <c r="H584" s="22">
        <f t="shared" si="281"/>
        <v>0</v>
      </c>
      <c r="I584" s="22">
        <f t="shared" si="281"/>
        <v>825430</v>
      </c>
      <c r="J584" s="22">
        <f t="shared" si="281"/>
        <v>0</v>
      </c>
      <c r="K584" s="22">
        <f t="shared" si="281"/>
        <v>0</v>
      </c>
      <c r="L584" s="22">
        <f t="shared" si="281"/>
        <v>12441100</v>
      </c>
      <c r="M584" s="22">
        <f t="shared" si="281"/>
        <v>0</v>
      </c>
      <c r="N584" s="22">
        <f t="shared" si="281"/>
        <v>0</v>
      </c>
      <c r="O584" s="21" t="s">
        <v>1515</v>
      </c>
      <c r="P584" s="23" t="s">
        <v>34</v>
      </c>
      <c r="Q584" s="24" t="s">
        <v>59</v>
      </c>
    </row>
    <row r="585" spans="1:17" ht="93" x14ac:dyDescent="0.25">
      <c r="A585" s="25" t="s">
        <v>1528</v>
      </c>
      <c r="B585" s="26" t="s">
        <v>1529</v>
      </c>
      <c r="C585" s="27" t="s">
        <v>1356</v>
      </c>
      <c r="D585" s="27" t="s">
        <v>1530</v>
      </c>
      <c r="E585" s="28">
        <f>SUM(E586:E586)+1700000</f>
        <v>1700000</v>
      </c>
      <c r="F585" s="28">
        <f>SUM(F586:F586)+1700000</f>
        <v>1700000</v>
      </c>
      <c r="G585" s="28">
        <f t="shared" ref="G585:N585" si="282">SUM(G586:G586)</f>
        <v>0</v>
      </c>
      <c r="H585" s="28">
        <f t="shared" si="282"/>
        <v>0</v>
      </c>
      <c r="I585" s="28">
        <f t="shared" si="282"/>
        <v>0</v>
      </c>
      <c r="J585" s="28">
        <f t="shared" si="282"/>
        <v>0</v>
      </c>
      <c r="K585" s="28">
        <f t="shared" si="282"/>
        <v>0</v>
      </c>
      <c r="L585" s="28">
        <f t="shared" si="282"/>
        <v>0</v>
      </c>
      <c r="M585" s="28">
        <f t="shared" si="282"/>
        <v>0</v>
      </c>
      <c r="N585" s="28">
        <f t="shared" si="282"/>
        <v>0</v>
      </c>
      <c r="O585" s="27" t="s">
        <v>1531</v>
      </c>
      <c r="P585" s="29" t="s">
        <v>34</v>
      </c>
      <c r="Q585" s="30" t="s">
        <v>1532</v>
      </c>
    </row>
    <row r="586" spans="1:17" ht="46.5" x14ac:dyDescent="0.25">
      <c r="A586" s="25" t="s">
        <v>1533</v>
      </c>
      <c r="B586" s="26" t="s">
        <v>1534</v>
      </c>
      <c r="C586" s="27"/>
      <c r="D586" s="27"/>
      <c r="E586" s="31">
        <v>0</v>
      </c>
      <c r="F586" s="31">
        <v>0</v>
      </c>
      <c r="G586" s="31">
        <v>0</v>
      </c>
      <c r="H586" s="31">
        <v>0</v>
      </c>
      <c r="I586" s="31">
        <v>0</v>
      </c>
      <c r="J586" s="31">
        <v>0</v>
      </c>
      <c r="K586" s="31">
        <v>0</v>
      </c>
      <c r="L586" s="31">
        <v>0</v>
      </c>
      <c r="M586" s="31">
        <v>0</v>
      </c>
      <c r="N586" s="31">
        <v>0</v>
      </c>
      <c r="O586" s="27"/>
      <c r="P586" s="29"/>
      <c r="Q586" s="30"/>
    </row>
    <row r="587" spans="1:17" ht="116.25" x14ac:dyDescent="0.25">
      <c r="A587" s="25" t="s">
        <v>1535</v>
      </c>
      <c r="B587" s="26" t="s">
        <v>1536</v>
      </c>
      <c r="C587" s="27" t="s">
        <v>1356</v>
      </c>
      <c r="D587" s="27" t="s">
        <v>1537</v>
      </c>
      <c r="E587" s="28">
        <f>SUM(E588:E588)+186000</f>
        <v>186000</v>
      </c>
      <c r="F587" s="28">
        <f>SUM(F588:F588)+186000</f>
        <v>186000</v>
      </c>
      <c r="G587" s="28">
        <f t="shared" ref="G587:N587" si="283">SUM(G588:G588)</f>
        <v>0</v>
      </c>
      <c r="H587" s="28">
        <f t="shared" si="283"/>
        <v>0</v>
      </c>
      <c r="I587" s="28">
        <f t="shared" si="283"/>
        <v>0</v>
      </c>
      <c r="J587" s="28">
        <f t="shared" si="283"/>
        <v>0</v>
      </c>
      <c r="K587" s="28">
        <f t="shared" si="283"/>
        <v>0</v>
      </c>
      <c r="L587" s="28">
        <f t="shared" si="283"/>
        <v>0</v>
      </c>
      <c r="M587" s="28">
        <f t="shared" si="283"/>
        <v>0</v>
      </c>
      <c r="N587" s="28">
        <f t="shared" si="283"/>
        <v>0</v>
      </c>
      <c r="O587" s="27" t="s">
        <v>1538</v>
      </c>
      <c r="P587" s="29" t="s">
        <v>34</v>
      </c>
      <c r="Q587" s="30" t="s">
        <v>1539</v>
      </c>
    </row>
    <row r="588" spans="1:17" ht="93" x14ac:dyDescent="0.25">
      <c r="A588" s="25" t="s">
        <v>1540</v>
      </c>
      <c r="B588" s="26" t="s">
        <v>1541</v>
      </c>
      <c r="C588" s="27"/>
      <c r="D588" s="27"/>
      <c r="E588" s="31">
        <v>0</v>
      </c>
      <c r="F588" s="31">
        <v>0</v>
      </c>
      <c r="G588" s="31">
        <v>0</v>
      </c>
      <c r="H588" s="31">
        <v>0</v>
      </c>
      <c r="I588" s="31">
        <v>0</v>
      </c>
      <c r="J588" s="31">
        <v>0</v>
      </c>
      <c r="K588" s="31">
        <v>0</v>
      </c>
      <c r="L588" s="31">
        <v>0</v>
      </c>
      <c r="M588" s="31">
        <v>0</v>
      </c>
      <c r="N588" s="31">
        <v>0</v>
      </c>
      <c r="O588" s="27"/>
      <c r="P588" s="29"/>
      <c r="Q588" s="30"/>
    </row>
    <row r="589" spans="1:17" ht="93" x14ac:dyDescent="0.25">
      <c r="A589" s="25" t="s">
        <v>1542</v>
      </c>
      <c r="B589" s="26" t="s">
        <v>1543</v>
      </c>
      <c r="C589" s="27" t="s">
        <v>1356</v>
      </c>
      <c r="D589" s="27" t="s">
        <v>1537</v>
      </c>
      <c r="E589" s="28">
        <f>SUM(E590:E590)+55410</f>
        <v>55410</v>
      </c>
      <c r="F589" s="28">
        <f>SUM(F590:F590)+55410</f>
        <v>55410</v>
      </c>
      <c r="G589" s="28">
        <f t="shared" ref="G589:N589" si="284">SUM(G590:G590)</f>
        <v>0</v>
      </c>
      <c r="H589" s="28">
        <f t="shared" si="284"/>
        <v>0</v>
      </c>
      <c r="I589" s="28">
        <f t="shared" si="284"/>
        <v>0</v>
      </c>
      <c r="J589" s="28">
        <f t="shared" si="284"/>
        <v>0</v>
      </c>
      <c r="K589" s="28">
        <f t="shared" si="284"/>
        <v>0</v>
      </c>
      <c r="L589" s="28">
        <f t="shared" si="284"/>
        <v>0</v>
      </c>
      <c r="M589" s="28">
        <f t="shared" si="284"/>
        <v>0</v>
      </c>
      <c r="N589" s="28">
        <f t="shared" si="284"/>
        <v>0</v>
      </c>
      <c r="O589" s="27" t="s">
        <v>1544</v>
      </c>
      <c r="P589" s="29" t="s">
        <v>34</v>
      </c>
      <c r="Q589" s="30" t="s">
        <v>1545</v>
      </c>
    </row>
    <row r="590" spans="1:17" ht="69.75" x14ac:dyDescent="0.25">
      <c r="A590" s="25" t="s">
        <v>1546</v>
      </c>
      <c r="B590" s="26" t="s">
        <v>1547</v>
      </c>
      <c r="C590" s="27"/>
      <c r="D590" s="27"/>
      <c r="E590" s="31">
        <v>0</v>
      </c>
      <c r="F590" s="31">
        <v>0</v>
      </c>
      <c r="G590" s="31">
        <v>0</v>
      </c>
      <c r="H590" s="31">
        <v>0</v>
      </c>
      <c r="I590" s="31">
        <v>0</v>
      </c>
      <c r="J590" s="31">
        <v>0</v>
      </c>
      <c r="K590" s="31">
        <v>0</v>
      </c>
      <c r="L590" s="31">
        <v>0</v>
      </c>
      <c r="M590" s="31">
        <v>0</v>
      </c>
      <c r="N590" s="31">
        <v>0</v>
      </c>
      <c r="O590" s="27"/>
      <c r="P590" s="29"/>
      <c r="Q590" s="30"/>
    </row>
    <row r="591" spans="1:17" ht="93" x14ac:dyDescent="0.25">
      <c r="A591" s="25" t="s">
        <v>1548</v>
      </c>
      <c r="B591" s="26" t="s">
        <v>1549</v>
      </c>
      <c r="C591" s="27" t="s">
        <v>1356</v>
      </c>
      <c r="D591" s="27" t="s">
        <v>1537</v>
      </c>
      <c r="E591" s="28">
        <f>SUM(E592:E592)+2500</f>
        <v>2500</v>
      </c>
      <c r="F591" s="28">
        <f>SUM(F592:F592)+2500</f>
        <v>2500</v>
      </c>
      <c r="G591" s="28">
        <f t="shared" ref="G591:N591" si="285">SUM(G592:G592)</f>
        <v>0</v>
      </c>
      <c r="H591" s="28">
        <f t="shared" si="285"/>
        <v>0</v>
      </c>
      <c r="I591" s="28">
        <f t="shared" si="285"/>
        <v>0</v>
      </c>
      <c r="J591" s="28">
        <f t="shared" si="285"/>
        <v>0</v>
      </c>
      <c r="K591" s="28">
        <f t="shared" si="285"/>
        <v>0</v>
      </c>
      <c r="L591" s="28">
        <f t="shared" si="285"/>
        <v>0</v>
      </c>
      <c r="M591" s="28">
        <f t="shared" si="285"/>
        <v>0</v>
      </c>
      <c r="N591" s="28">
        <f t="shared" si="285"/>
        <v>0</v>
      </c>
      <c r="O591" s="27" t="s">
        <v>1550</v>
      </c>
      <c r="P591" s="29" t="s">
        <v>34</v>
      </c>
      <c r="Q591" s="30" t="s">
        <v>113</v>
      </c>
    </row>
    <row r="592" spans="1:17" ht="69.75" x14ac:dyDescent="0.25">
      <c r="A592" s="25" t="s">
        <v>1551</v>
      </c>
      <c r="B592" s="26" t="s">
        <v>1552</v>
      </c>
      <c r="C592" s="27"/>
      <c r="D592" s="27"/>
      <c r="E592" s="31">
        <v>0</v>
      </c>
      <c r="F592" s="31">
        <v>0</v>
      </c>
      <c r="G592" s="31">
        <v>0</v>
      </c>
      <c r="H592" s="31">
        <v>0</v>
      </c>
      <c r="I592" s="31">
        <v>0</v>
      </c>
      <c r="J592" s="31">
        <v>0</v>
      </c>
      <c r="K592" s="31">
        <v>0</v>
      </c>
      <c r="L592" s="31">
        <v>0</v>
      </c>
      <c r="M592" s="31">
        <v>0</v>
      </c>
      <c r="N592" s="31">
        <v>0</v>
      </c>
      <c r="O592" s="27"/>
      <c r="P592" s="29"/>
      <c r="Q592" s="30"/>
    </row>
    <row r="593" spans="1:17" ht="46.5" x14ac:dyDescent="0.25">
      <c r="A593" s="25" t="s">
        <v>1553</v>
      </c>
      <c r="B593" s="26" t="s">
        <v>1554</v>
      </c>
      <c r="C593" s="27" t="s">
        <v>1356</v>
      </c>
      <c r="D593" s="27" t="s">
        <v>1359</v>
      </c>
      <c r="E593" s="28">
        <f>SUM(E594:E594)+32000</f>
        <v>32000</v>
      </c>
      <c r="F593" s="28">
        <f>SUM(F594:F594)+32000</f>
        <v>32000</v>
      </c>
      <c r="G593" s="28">
        <f t="shared" ref="G593:N593" si="286">SUM(G594:G594)</f>
        <v>0</v>
      </c>
      <c r="H593" s="28">
        <f t="shared" si="286"/>
        <v>0</v>
      </c>
      <c r="I593" s="28">
        <f t="shared" si="286"/>
        <v>0</v>
      </c>
      <c r="J593" s="28">
        <f t="shared" si="286"/>
        <v>0</v>
      </c>
      <c r="K593" s="28">
        <f t="shared" si="286"/>
        <v>0</v>
      </c>
      <c r="L593" s="28">
        <f t="shared" si="286"/>
        <v>0</v>
      </c>
      <c r="M593" s="28">
        <f t="shared" si="286"/>
        <v>0</v>
      </c>
      <c r="N593" s="28">
        <f t="shared" si="286"/>
        <v>0</v>
      </c>
      <c r="O593" s="27" t="s">
        <v>1555</v>
      </c>
      <c r="P593" s="29" t="s">
        <v>34</v>
      </c>
      <c r="Q593" s="30" t="s">
        <v>1556</v>
      </c>
    </row>
    <row r="594" spans="1:17" ht="69.75" x14ac:dyDescent="0.25">
      <c r="A594" s="25" t="s">
        <v>1557</v>
      </c>
      <c r="B594" s="26" t="s">
        <v>1558</v>
      </c>
      <c r="C594" s="27"/>
      <c r="D594" s="27"/>
      <c r="E594" s="31">
        <v>0</v>
      </c>
      <c r="F594" s="31">
        <v>0</v>
      </c>
      <c r="G594" s="31">
        <v>0</v>
      </c>
      <c r="H594" s="31">
        <v>0</v>
      </c>
      <c r="I594" s="31">
        <v>0</v>
      </c>
      <c r="J594" s="31">
        <v>0</v>
      </c>
      <c r="K594" s="31">
        <v>0</v>
      </c>
      <c r="L594" s="31">
        <v>0</v>
      </c>
      <c r="M594" s="31">
        <v>0</v>
      </c>
      <c r="N594" s="31">
        <v>0</v>
      </c>
      <c r="O594" s="27"/>
      <c r="P594" s="29"/>
      <c r="Q594" s="30"/>
    </row>
    <row r="595" spans="1:17" ht="46.5" x14ac:dyDescent="0.25">
      <c r="A595" s="25" t="s">
        <v>1559</v>
      </c>
      <c r="B595" s="26" t="s">
        <v>1560</v>
      </c>
      <c r="C595" s="27" t="s">
        <v>1356</v>
      </c>
      <c r="D595" s="27" t="s">
        <v>1359</v>
      </c>
      <c r="E595" s="28">
        <f>SUM(E596:E596)+22000</f>
        <v>22000</v>
      </c>
      <c r="F595" s="28">
        <f>SUM(F596:F596)+22000</f>
        <v>22000</v>
      </c>
      <c r="G595" s="28">
        <f t="shared" ref="G595:N595" si="287">SUM(G596:G596)</f>
        <v>0</v>
      </c>
      <c r="H595" s="28">
        <f t="shared" si="287"/>
        <v>0</v>
      </c>
      <c r="I595" s="28">
        <f t="shared" si="287"/>
        <v>0</v>
      </c>
      <c r="J595" s="28">
        <f t="shared" si="287"/>
        <v>0</v>
      </c>
      <c r="K595" s="28">
        <f t="shared" si="287"/>
        <v>0</v>
      </c>
      <c r="L595" s="28">
        <f t="shared" si="287"/>
        <v>0</v>
      </c>
      <c r="M595" s="28">
        <f t="shared" si="287"/>
        <v>0</v>
      </c>
      <c r="N595" s="28">
        <f t="shared" si="287"/>
        <v>0</v>
      </c>
      <c r="O595" s="27" t="s">
        <v>1561</v>
      </c>
      <c r="P595" s="29" t="s">
        <v>34</v>
      </c>
      <c r="Q595" s="30" t="s">
        <v>1562</v>
      </c>
    </row>
    <row r="596" spans="1:17" ht="69.75" x14ac:dyDescent="0.25">
      <c r="A596" s="25" t="s">
        <v>1563</v>
      </c>
      <c r="B596" s="26" t="s">
        <v>1564</v>
      </c>
      <c r="C596" s="27"/>
      <c r="D596" s="27"/>
      <c r="E596" s="31">
        <v>0</v>
      </c>
      <c r="F596" s="31">
        <v>0</v>
      </c>
      <c r="G596" s="31">
        <v>0</v>
      </c>
      <c r="H596" s="31">
        <v>0</v>
      </c>
      <c r="I596" s="31">
        <v>0</v>
      </c>
      <c r="J596" s="31">
        <v>0</v>
      </c>
      <c r="K596" s="31">
        <v>0</v>
      </c>
      <c r="L596" s="31">
        <v>0</v>
      </c>
      <c r="M596" s="31">
        <v>0</v>
      </c>
      <c r="N596" s="31">
        <v>0</v>
      </c>
      <c r="O596" s="27"/>
      <c r="P596" s="29"/>
      <c r="Q596" s="30"/>
    </row>
    <row r="597" spans="1:17" ht="348.75" x14ac:dyDescent="0.25">
      <c r="A597" s="25" t="s">
        <v>1565</v>
      </c>
      <c r="B597" s="26" t="s">
        <v>1566</v>
      </c>
      <c r="C597" s="27" t="s">
        <v>1567</v>
      </c>
      <c r="D597" s="27" t="s">
        <v>1568</v>
      </c>
      <c r="E597" s="28">
        <f>SUM(E598:E599)+568051</f>
        <v>568051</v>
      </c>
      <c r="F597" s="28">
        <f>SUM(F598:F599)</f>
        <v>0</v>
      </c>
      <c r="G597" s="28">
        <f>SUM(G598:G599)</f>
        <v>0</v>
      </c>
      <c r="H597" s="28">
        <f>SUM(H598:H599)</f>
        <v>0</v>
      </c>
      <c r="I597" s="28">
        <f>SUM(I598:I599)+568051</f>
        <v>568051</v>
      </c>
      <c r="J597" s="28">
        <f>SUM(J598:J599)</f>
        <v>0</v>
      </c>
      <c r="K597" s="28">
        <f>SUM(K598:K599)</f>
        <v>0</v>
      </c>
      <c r="L597" s="28">
        <f>SUM(L598:L599)</f>
        <v>0</v>
      </c>
      <c r="M597" s="28">
        <f>SUM(M598:M599)</f>
        <v>0</v>
      </c>
      <c r="N597" s="28">
        <f>SUM(N598:N599)</f>
        <v>0</v>
      </c>
      <c r="O597" s="27" t="s">
        <v>1569</v>
      </c>
      <c r="P597" s="29" t="s">
        <v>34</v>
      </c>
      <c r="Q597" s="30" t="s">
        <v>1570</v>
      </c>
    </row>
    <row r="598" spans="1:17" ht="69.75" x14ac:dyDescent="0.25">
      <c r="A598" s="32"/>
      <c r="B598" s="33"/>
      <c r="C598" s="34"/>
      <c r="D598" s="34"/>
      <c r="E598" s="35">
        <v>0</v>
      </c>
      <c r="F598" s="35">
        <v>0</v>
      </c>
      <c r="G598" s="35">
        <v>0</v>
      </c>
      <c r="H598" s="35">
        <v>0</v>
      </c>
      <c r="I598" s="35">
        <v>0</v>
      </c>
      <c r="J598" s="35">
        <v>0</v>
      </c>
      <c r="K598" s="35">
        <v>0</v>
      </c>
      <c r="L598" s="35">
        <v>0</v>
      </c>
      <c r="M598" s="35">
        <v>0</v>
      </c>
      <c r="N598" s="35">
        <v>0</v>
      </c>
      <c r="O598" s="34" t="s">
        <v>1571</v>
      </c>
      <c r="P598" s="36" t="s">
        <v>34</v>
      </c>
      <c r="Q598" s="37" t="s">
        <v>1572</v>
      </c>
    </row>
    <row r="599" spans="1:17" ht="116.25" x14ac:dyDescent="0.25">
      <c r="A599" s="25" t="s">
        <v>1573</v>
      </c>
      <c r="B599" s="26" t="s">
        <v>1574</v>
      </c>
      <c r="C599" s="27"/>
      <c r="D599" s="27"/>
      <c r="E599" s="31">
        <v>0</v>
      </c>
      <c r="F599" s="31">
        <v>0</v>
      </c>
      <c r="G599" s="31">
        <v>0</v>
      </c>
      <c r="H599" s="31">
        <v>0</v>
      </c>
      <c r="I599" s="31">
        <v>0</v>
      </c>
      <c r="J599" s="31">
        <v>0</v>
      </c>
      <c r="K599" s="31">
        <v>0</v>
      </c>
      <c r="L599" s="31">
        <v>0</v>
      </c>
      <c r="M599" s="31">
        <v>0</v>
      </c>
      <c r="N599" s="31">
        <v>0</v>
      </c>
      <c r="O599" s="27"/>
      <c r="P599" s="29"/>
      <c r="Q599" s="30"/>
    </row>
    <row r="600" spans="1:17" ht="69.75" x14ac:dyDescent="0.25">
      <c r="A600" s="25" t="s">
        <v>1575</v>
      </c>
      <c r="B600" s="26" t="s">
        <v>1576</v>
      </c>
      <c r="C600" s="27" t="s">
        <v>1356</v>
      </c>
      <c r="D600" s="27" t="s">
        <v>1568</v>
      </c>
      <c r="E600" s="28">
        <f>SUM(E601:E602)+7949</f>
        <v>7949</v>
      </c>
      <c r="F600" s="28">
        <f>SUM(F601:F602)</f>
        <v>0</v>
      </c>
      <c r="G600" s="28">
        <f>SUM(G601:G602)</f>
        <v>0</v>
      </c>
      <c r="H600" s="28">
        <f>SUM(H601:H602)</f>
        <v>0</v>
      </c>
      <c r="I600" s="28">
        <f>SUM(I601:I602)+7949</f>
        <v>7949</v>
      </c>
      <c r="J600" s="28">
        <f>SUM(J601:J602)</f>
        <v>0</v>
      </c>
      <c r="K600" s="28">
        <f>SUM(K601:K602)</f>
        <v>0</v>
      </c>
      <c r="L600" s="28">
        <f>SUM(L601:L602)</f>
        <v>0</v>
      </c>
      <c r="M600" s="28">
        <f>SUM(M601:M602)</f>
        <v>0</v>
      </c>
      <c r="N600" s="28">
        <f>SUM(N601:N602)</f>
        <v>0</v>
      </c>
      <c r="O600" s="27" t="s">
        <v>1577</v>
      </c>
      <c r="P600" s="29" t="s">
        <v>34</v>
      </c>
      <c r="Q600" s="30" t="s">
        <v>87</v>
      </c>
    </row>
    <row r="601" spans="1:17" ht="69.75" x14ac:dyDescent="0.25">
      <c r="A601" s="32"/>
      <c r="B601" s="33"/>
      <c r="C601" s="34"/>
      <c r="D601" s="34"/>
      <c r="E601" s="35">
        <v>0</v>
      </c>
      <c r="F601" s="35">
        <v>0</v>
      </c>
      <c r="G601" s="35">
        <v>0</v>
      </c>
      <c r="H601" s="35">
        <v>0</v>
      </c>
      <c r="I601" s="35">
        <v>0</v>
      </c>
      <c r="J601" s="35">
        <v>0</v>
      </c>
      <c r="K601" s="35">
        <v>0</v>
      </c>
      <c r="L601" s="35">
        <v>0</v>
      </c>
      <c r="M601" s="35">
        <v>0</v>
      </c>
      <c r="N601" s="35">
        <v>0</v>
      </c>
      <c r="O601" s="34" t="s">
        <v>1578</v>
      </c>
      <c r="P601" s="36" t="s">
        <v>34</v>
      </c>
      <c r="Q601" s="37" t="s">
        <v>45</v>
      </c>
    </row>
    <row r="602" spans="1:17" ht="116.25" x14ac:dyDescent="0.25">
      <c r="A602" s="25" t="s">
        <v>1579</v>
      </c>
      <c r="B602" s="26" t="s">
        <v>1580</v>
      </c>
      <c r="C602" s="27"/>
      <c r="D602" s="27"/>
      <c r="E602" s="31">
        <v>0</v>
      </c>
      <c r="F602" s="31">
        <v>0</v>
      </c>
      <c r="G602" s="31">
        <v>0</v>
      </c>
      <c r="H602" s="31">
        <v>0</v>
      </c>
      <c r="I602" s="31">
        <v>0</v>
      </c>
      <c r="J602" s="31">
        <v>0</v>
      </c>
      <c r="K602" s="31">
        <v>0</v>
      </c>
      <c r="L602" s="31">
        <v>0</v>
      </c>
      <c r="M602" s="31">
        <v>0</v>
      </c>
      <c r="N602" s="31">
        <v>0</v>
      </c>
      <c r="O602" s="27"/>
      <c r="P602" s="29"/>
      <c r="Q602" s="30"/>
    </row>
    <row r="603" spans="1:17" ht="69.75" x14ac:dyDescent="0.25">
      <c r="A603" s="25" t="s">
        <v>1581</v>
      </c>
      <c r="B603" s="26" t="s">
        <v>1582</v>
      </c>
      <c r="C603" s="27" t="s">
        <v>1356</v>
      </c>
      <c r="D603" s="27" t="s">
        <v>1488</v>
      </c>
      <c r="E603" s="28">
        <f>SUM(E604:E604)+249430</f>
        <v>249430</v>
      </c>
      <c r="F603" s="28">
        <f>SUM(F604:F604)</f>
        <v>0</v>
      </c>
      <c r="G603" s="28">
        <f>SUM(G604:G604)</f>
        <v>0</v>
      </c>
      <c r="H603" s="28">
        <f>SUM(H604:H604)</f>
        <v>0</v>
      </c>
      <c r="I603" s="28">
        <f>SUM(I604:I604)+249430</f>
        <v>249430</v>
      </c>
      <c r="J603" s="28">
        <f>SUM(J604:J604)</f>
        <v>0</v>
      </c>
      <c r="K603" s="28">
        <f>SUM(K604:K604)</f>
        <v>0</v>
      </c>
      <c r="L603" s="28">
        <f>SUM(L604:L604)</f>
        <v>0</v>
      </c>
      <c r="M603" s="28">
        <f>SUM(M604:M604)</f>
        <v>0</v>
      </c>
      <c r="N603" s="28">
        <f>SUM(N604:N604)</f>
        <v>0</v>
      </c>
      <c r="O603" s="27" t="s">
        <v>1583</v>
      </c>
      <c r="P603" s="29" t="s">
        <v>34</v>
      </c>
      <c r="Q603" s="30" t="s">
        <v>1584</v>
      </c>
    </row>
    <row r="604" spans="1:17" ht="46.5" x14ac:dyDescent="0.25">
      <c r="A604" s="25" t="s">
        <v>1585</v>
      </c>
      <c r="B604" s="26" t="s">
        <v>1586</v>
      </c>
      <c r="C604" s="27"/>
      <c r="D604" s="27"/>
      <c r="E604" s="31">
        <v>0</v>
      </c>
      <c r="F604" s="31">
        <v>0</v>
      </c>
      <c r="G604" s="31">
        <v>0</v>
      </c>
      <c r="H604" s="31">
        <v>0</v>
      </c>
      <c r="I604" s="31">
        <v>0</v>
      </c>
      <c r="J604" s="31">
        <v>0</v>
      </c>
      <c r="K604" s="31">
        <v>0</v>
      </c>
      <c r="L604" s="31">
        <v>0</v>
      </c>
      <c r="M604" s="31">
        <v>0</v>
      </c>
      <c r="N604" s="31">
        <v>0</v>
      </c>
      <c r="O604" s="27"/>
      <c r="P604" s="29"/>
      <c r="Q604" s="30"/>
    </row>
    <row r="605" spans="1:17" ht="93" x14ac:dyDescent="0.25">
      <c r="A605" s="25" t="s">
        <v>1587</v>
      </c>
      <c r="B605" s="26" t="s">
        <v>1588</v>
      </c>
      <c r="C605" s="27" t="s">
        <v>1356</v>
      </c>
      <c r="D605" s="27" t="s">
        <v>1530</v>
      </c>
      <c r="E605" s="28">
        <f>SUM(E606:E606)+320000</f>
        <v>320000</v>
      </c>
      <c r="F605" s="28">
        <f>SUM(F606:F606)+320000</f>
        <v>320000</v>
      </c>
      <c r="G605" s="28">
        <f t="shared" ref="G605:N605" si="288">SUM(G606:G606)</f>
        <v>0</v>
      </c>
      <c r="H605" s="28">
        <f t="shared" si="288"/>
        <v>0</v>
      </c>
      <c r="I605" s="28">
        <f t="shared" si="288"/>
        <v>0</v>
      </c>
      <c r="J605" s="28">
        <f t="shared" si="288"/>
        <v>0</v>
      </c>
      <c r="K605" s="28">
        <f t="shared" si="288"/>
        <v>0</v>
      </c>
      <c r="L605" s="28">
        <f t="shared" si="288"/>
        <v>0</v>
      </c>
      <c r="M605" s="28">
        <f t="shared" si="288"/>
        <v>0</v>
      </c>
      <c r="N605" s="28">
        <f t="shared" si="288"/>
        <v>0</v>
      </c>
      <c r="O605" s="27" t="s">
        <v>1589</v>
      </c>
      <c r="P605" s="29" t="s">
        <v>34</v>
      </c>
      <c r="Q605" s="30" t="s">
        <v>1590</v>
      </c>
    </row>
    <row r="606" spans="1:17" ht="69.75" x14ac:dyDescent="0.25">
      <c r="A606" s="25" t="s">
        <v>1591</v>
      </c>
      <c r="B606" s="26" t="s">
        <v>1592</v>
      </c>
      <c r="C606" s="27"/>
      <c r="D606" s="27"/>
      <c r="E606" s="31">
        <v>0</v>
      </c>
      <c r="F606" s="31">
        <v>0</v>
      </c>
      <c r="G606" s="31">
        <v>0</v>
      </c>
      <c r="H606" s="31">
        <v>0</v>
      </c>
      <c r="I606" s="31">
        <v>0</v>
      </c>
      <c r="J606" s="31">
        <v>0</v>
      </c>
      <c r="K606" s="31">
        <v>0</v>
      </c>
      <c r="L606" s="31">
        <v>0</v>
      </c>
      <c r="M606" s="31">
        <v>0</v>
      </c>
      <c r="N606" s="31">
        <v>0</v>
      </c>
      <c r="O606" s="27"/>
      <c r="P606" s="29"/>
      <c r="Q606" s="30"/>
    </row>
    <row r="607" spans="1:17" ht="93" x14ac:dyDescent="0.25">
      <c r="A607" s="25" t="s">
        <v>1593</v>
      </c>
      <c r="B607" s="26" t="s">
        <v>1594</v>
      </c>
      <c r="C607" s="27" t="s">
        <v>1356</v>
      </c>
      <c r="D607" s="27" t="s">
        <v>1530</v>
      </c>
      <c r="E607" s="28">
        <f>SUM(E608:E608)+23000</f>
        <v>23000</v>
      </c>
      <c r="F607" s="28">
        <f>SUM(F608:F608)+23000</f>
        <v>23000</v>
      </c>
      <c r="G607" s="28">
        <f t="shared" ref="G607:N607" si="289">SUM(G608:G608)</f>
        <v>0</v>
      </c>
      <c r="H607" s="28">
        <f t="shared" si="289"/>
        <v>0</v>
      </c>
      <c r="I607" s="28">
        <f t="shared" si="289"/>
        <v>0</v>
      </c>
      <c r="J607" s="28">
        <f t="shared" si="289"/>
        <v>0</v>
      </c>
      <c r="K607" s="28">
        <f t="shared" si="289"/>
        <v>0</v>
      </c>
      <c r="L607" s="28">
        <f t="shared" si="289"/>
        <v>0</v>
      </c>
      <c r="M607" s="28">
        <f t="shared" si="289"/>
        <v>0</v>
      </c>
      <c r="N607" s="28">
        <f t="shared" si="289"/>
        <v>0</v>
      </c>
      <c r="O607" s="27" t="s">
        <v>1595</v>
      </c>
      <c r="P607" s="29" t="s">
        <v>34</v>
      </c>
      <c r="Q607" s="30" t="s">
        <v>1596</v>
      </c>
    </row>
    <row r="608" spans="1:17" ht="69.75" x14ac:dyDescent="0.25">
      <c r="A608" s="25" t="s">
        <v>1597</v>
      </c>
      <c r="B608" s="26" t="s">
        <v>1598</v>
      </c>
      <c r="C608" s="27"/>
      <c r="D608" s="27"/>
      <c r="E608" s="31">
        <v>0</v>
      </c>
      <c r="F608" s="31">
        <v>0</v>
      </c>
      <c r="G608" s="31">
        <v>0</v>
      </c>
      <c r="H608" s="31">
        <v>0</v>
      </c>
      <c r="I608" s="31">
        <v>0</v>
      </c>
      <c r="J608" s="31">
        <v>0</v>
      </c>
      <c r="K608" s="31">
        <v>0</v>
      </c>
      <c r="L608" s="31">
        <v>0</v>
      </c>
      <c r="M608" s="31">
        <v>0</v>
      </c>
      <c r="N608" s="31">
        <v>0</v>
      </c>
      <c r="O608" s="27"/>
      <c r="P608" s="29"/>
      <c r="Q608" s="30"/>
    </row>
    <row r="609" spans="1:17" ht="93" x14ac:dyDescent="0.25">
      <c r="A609" s="25" t="s">
        <v>1599</v>
      </c>
      <c r="B609" s="26" t="s">
        <v>1600</v>
      </c>
      <c r="C609" s="27" t="s">
        <v>1356</v>
      </c>
      <c r="D609" s="27" t="s">
        <v>1530</v>
      </c>
      <c r="E609" s="28">
        <f>SUM(E610:E610)+16000</f>
        <v>16000</v>
      </c>
      <c r="F609" s="28">
        <f>SUM(F610:F610)+16000</f>
        <v>16000</v>
      </c>
      <c r="G609" s="28">
        <f t="shared" ref="G609:N609" si="290">SUM(G610:G610)</f>
        <v>0</v>
      </c>
      <c r="H609" s="28">
        <f t="shared" si="290"/>
        <v>0</v>
      </c>
      <c r="I609" s="28">
        <f t="shared" si="290"/>
        <v>0</v>
      </c>
      <c r="J609" s="28">
        <f t="shared" si="290"/>
        <v>0</v>
      </c>
      <c r="K609" s="28">
        <f t="shared" si="290"/>
        <v>0</v>
      </c>
      <c r="L609" s="28">
        <f t="shared" si="290"/>
        <v>0</v>
      </c>
      <c r="M609" s="28">
        <f t="shared" si="290"/>
        <v>0</v>
      </c>
      <c r="N609" s="28">
        <f t="shared" si="290"/>
        <v>0</v>
      </c>
      <c r="O609" s="27" t="s">
        <v>1601</v>
      </c>
      <c r="P609" s="29" t="s">
        <v>34</v>
      </c>
      <c r="Q609" s="30" t="s">
        <v>1602</v>
      </c>
    </row>
    <row r="610" spans="1:17" ht="69.75" x14ac:dyDescent="0.25">
      <c r="A610" s="25" t="s">
        <v>1603</v>
      </c>
      <c r="B610" s="26" t="s">
        <v>1604</v>
      </c>
      <c r="C610" s="27"/>
      <c r="D610" s="27"/>
      <c r="E610" s="31">
        <v>0</v>
      </c>
      <c r="F610" s="31">
        <v>0</v>
      </c>
      <c r="G610" s="31">
        <v>0</v>
      </c>
      <c r="H610" s="31">
        <v>0</v>
      </c>
      <c r="I610" s="31">
        <v>0</v>
      </c>
      <c r="J610" s="31">
        <v>0</v>
      </c>
      <c r="K610" s="31">
        <v>0</v>
      </c>
      <c r="L610" s="31">
        <v>0</v>
      </c>
      <c r="M610" s="31">
        <v>0</v>
      </c>
      <c r="N610" s="31">
        <v>0</v>
      </c>
      <c r="O610" s="27"/>
      <c r="P610" s="29"/>
      <c r="Q610" s="30"/>
    </row>
    <row r="611" spans="1:17" ht="116.25" x14ac:dyDescent="0.25">
      <c r="A611" s="25" t="s">
        <v>1605</v>
      </c>
      <c r="B611" s="26" t="s">
        <v>1606</v>
      </c>
      <c r="C611" s="27" t="s">
        <v>1356</v>
      </c>
      <c r="D611" s="27" t="s">
        <v>1607</v>
      </c>
      <c r="E611" s="28">
        <f>SUM(E612:E612)+185000</f>
        <v>185000</v>
      </c>
      <c r="F611" s="28">
        <f>SUM(F612:F612)+185000</f>
        <v>185000</v>
      </c>
      <c r="G611" s="28">
        <f t="shared" ref="G611:N611" si="291">SUM(G612:G612)</f>
        <v>0</v>
      </c>
      <c r="H611" s="28">
        <f t="shared" si="291"/>
        <v>0</v>
      </c>
      <c r="I611" s="28">
        <f t="shared" si="291"/>
        <v>0</v>
      </c>
      <c r="J611" s="28">
        <f t="shared" si="291"/>
        <v>0</v>
      </c>
      <c r="K611" s="28">
        <f t="shared" si="291"/>
        <v>0</v>
      </c>
      <c r="L611" s="28">
        <f t="shared" si="291"/>
        <v>0</v>
      </c>
      <c r="M611" s="28">
        <f t="shared" si="291"/>
        <v>0</v>
      </c>
      <c r="N611" s="28">
        <f t="shared" si="291"/>
        <v>0</v>
      </c>
      <c r="O611" s="27" t="s">
        <v>1608</v>
      </c>
      <c r="P611" s="29" t="s">
        <v>34</v>
      </c>
      <c r="Q611" s="30" t="s">
        <v>1609</v>
      </c>
    </row>
    <row r="612" spans="1:17" ht="116.25" x14ac:dyDescent="0.25">
      <c r="A612" s="25" t="s">
        <v>1610</v>
      </c>
      <c r="B612" s="26" t="s">
        <v>1611</v>
      </c>
      <c r="C612" s="27"/>
      <c r="D612" s="27"/>
      <c r="E612" s="31">
        <v>0</v>
      </c>
      <c r="F612" s="31">
        <v>0</v>
      </c>
      <c r="G612" s="31">
        <v>0</v>
      </c>
      <c r="H612" s="31">
        <v>0</v>
      </c>
      <c r="I612" s="31">
        <v>0</v>
      </c>
      <c r="J612" s="31">
        <v>0</v>
      </c>
      <c r="K612" s="31">
        <v>0</v>
      </c>
      <c r="L612" s="31">
        <v>0</v>
      </c>
      <c r="M612" s="31">
        <v>0</v>
      </c>
      <c r="N612" s="31">
        <v>0</v>
      </c>
      <c r="O612" s="27"/>
      <c r="P612" s="29"/>
      <c r="Q612" s="30"/>
    </row>
    <row r="613" spans="1:17" ht="93" x14ac:dyDescent="0.25">
      <c r="A613" s="25" t="s">
        <v>1612</v>
      </c>
      <c r="B613" s="26" t="s">
        <v>1613</v>
      </c>
      <c r="C613" s="27" t="s">
        <v>1356</v>
      </c>
      <c r="D613" s="27" t="s">
        <v>1530</v>
      </c>
      <c r="E613" s="28">
        <f>SUM(E614:E614)+1098000</f>
        <v>1098000</v>
      </c>
      <c r="F613" s="28">
        <f>SUM(F614:F614)+1098000</f>
        <v>1098000</v>
      </c>
      <c r="G613" s="28">
        <f t="shared" ref="G613:N613" si="292">SUM(G614:G614)</f>
        <v>0</v>
      </c>
      <c r="H613" s="28">
        <f t="shared" si="292"/>
        <v>0</v>
      </c>
      <c r="I613" s="28">
        <f t="shared" si="292"/>
        <v>0</v>
      </c>
      <c r="J613" s="28">
        <f t="shared" si="292"/>
        <v>0</v>
      </c>
      <c r="K613" s="28">
        <f t="shared" si="292"/>
        <v>0</v>
      </c>
      <c r="L613" s="28">
        <f t="shared" si="292"/>
        <v>0</v>
      </c>
      <c r="M613" s="28">
        <f t="shared" si="292"/>
        <v>0</v>
      </c>
      <c r="N613" s="28">
        <f t="shared" si="292"/>
        <v>0</v>
      </c>
      <c r="O613" s="27" t="s">
        <v>1614</v>
      </c>
      <c r="P613" s="29" t="s">
        <v>34</v>
      </c>
      <c r="Q613" s="30" t="s">
        <v>1615</v>
      </c>
    </row>
    <row r="614" spans="1:17" ht="69.75" x14ac:dyDescent="0.25">
      <c r="A614" s="25" t="s">
        <v>1616</v>
      </c>
      <c r="B614" s="26" t="s">
        <v>1617</v>
      </c>
      <c r="C614" s="27"/>
      <c r="D614" s="27"/>
      <c r="E614" s="31">
        <v>0</v>
      </c>
      <c r="F614" s="31">
        <v>0</v>
      </c>
      <c r="G614" s="31">
        <v>0</v>
      </c>
      <c r="H614" s="31">
        <v>0</v>
      </c>
      <c r="I614" s="31">
        <v>0</v>
      </c>
      <c r="J614" s="31">
        <v>0</v>
      </c>
      <c r="K614" s="31">
        <v>0</v>
      </c>
      <c r="L614" s="31">
        <v>0</v>
      </c>
      <c r="M614" s="31">
        <v>0</v>
      </c>
      <c r="N614" s="31">
        <v>0</v>
      </c>
      <c r="O614" s="27"/>
      <c r="P614" s="29"/>
      <c r="Q614" s="30"/>
    </row>
    <row r="615" spans="1:17" ht="93" x14ac:dyDescent="0.25">
      <c r="A615" s="25" t="s">
        <v>1618</v>
      </c>
      <c r="B615" s="26" t="s">
        <v>1619</v>
      </c>
      <c r="C615" s="27" t="s">
        <v>1356</v>
      </c>
      <c r="D615" s="27" t="s">
        <v>1530</v>
      </c>
      <c r="E615" s="28">
        <f>SUM(E616:E616)+100000</f>
        <v>100000</v>
      </c>
      <c r="F615" s="28">
        <f t="shared" ref="F615:K615" si="293">SUM(F616:F616)</f>
        <v>0</v>
      </c>
      <c r="G615" s="28">
        <f t="shared" si="293"/>
        <v>0</v>
      </c>
      <c r="H615" s="28">
        <f t="shared" si="293"/>
        <v>0</v>
      </c>
      <c r="I615" s="28">
        <f t="shared" si="293"/>
        <v>0</v>
      </c>
      <c r="J615" s="28">
        <f t="shared" si="293"/>
        <v>0</v>
      </c>
      <c r="K615" s="28">
        <f t="shared" si="293"/>
        <v>0</v>
      </c>
      <c r="L615" s="28">
        <f>SUM(L616:L616)+100000</f>
        <v>100000</v>
      </c>
      <c r="M615" s="28">
        <f>SUM(M616:M616)</f>
        <v>0</v>
      </c>
      <c r="N615" s="28">
        <f>SUM(N616:N616)</f>
        <v>0</v>
      </c>
      <c r="O615" s="27" t="s">
        <v>1620</v>
      </c>
      <c r="P615" s="29" t="s">
        <v>34</v>
      </c>
      <c r="Q615" s="30" t="s">
        <v>841</v>
      </c>
    </row>
    <row r="616" spans="1:17" ht="69.75" x14ac:dyDescent="0.25">
      <c r="A616" s="25" t="s">
        <v>1621</v>
      </c>
      <c r="B616" s="26" t="s">
        <v>1622</v>
      </c>
      <c r="C616" s="27"/>
      <c r="D616" s="27"/>
      <c r="E616" s="31">
        <v>0</v>
      </c>
      <c r="F616" s="31">
        <v>0</v>
      </c>
      <c r="G616" s="31">
        <v>0</v>
      </c>
      <c r="H616" s="31">
        <v>0</v>
      </c>
      <c r="I616" s="31">
        <v>0</v>
      </c>
      <c r="J616" s="31">
        <v>0</v>
      </c>
      <c r="K616" s="31">
        <v>0</v>
      </c>
      <c r="L616" s="31">
        <v>0</v>
      </c>
      <c r="M616" s="31">
        <v>0</v>
      </c>
      <c r="N616" s="31">
        <v>0</v>
      </c>
      <c r="O616" s="27"/>
      <c r="P616" s="29"/>
      <c r="Q616" s="30"/>
    </row>
    <row r="617" spans="1:17" ht="93" x14ac:dyDescent="0.25">
      <c r="A617" s="25" t="s">
        <v>1623</v>
      </c>
      <c r="B617" s="26" t="s">
        <v>1624</v>
      </c>
      <c r="C617" s="27" t="s">
        <v>1356</v>
      </c>
      <c r="D617" s="27" t="s">
        <v>1530</v>
      </c>
      <c r="E617" s="28">
        <f>SUM(E618:E618)+7250200</f>
        <v>7250200</v>
      </c>
      <c r="F617" s="28">
        <f t="shared" ref="F617:K617" si="294">SUM(F618:F618)</f>
        <v>0</v>
      </c>
      <c r="G617" s="28">
        <f t="shared" si="294"/>
        <v>0</v>
      </c>
      <c r="H617" s="28">
        <f t="shared" si="294"/>
        <v>0</v>
      </c>
      <c r="I617" s="28">
        <f t="shared" si="294"/>
        <v>0</v>
      </c>
      <c r="J617" s="28">
        <f t="shared" si="294"/>
        <v>0</v>
      </c>
      <c r="K617" s="28">
        <f t="shared" si="294"/>
        <v>0</v>
      </c>
      <c r="L617" s="28">
        <f>SUM(L618:L618)+7250200</f>
        <v>7250200</v>
      </c>
      <c r="M617" s="28">
        <f>SUM(M618:M618)</f>
        <v>0</v>
      </c>
      <c r="N617" s="28">
        <f>SUM(N618:N618)</f>
        <v>0</v>
      </c>
      <c r="O617" s="27" t="s">
        <v>1625</v>
      </c>
      <c r="P617" s="29" t="s">
        <v>34</v>
      </c>
      <c r="Q617" s="30" t="s">
        <v>1626</v>
      </c>
    </row>
    <row r="618" spans="1:17" ht="69.75" x14ac:dyDescent="0.25">
      <c r="A618" s="25" t="s">
        <v>1627</v>
      </c>
      <c r="B618" s="26" t="s">
        <v>1628</v>
      </c>
      <c r="C618" s="27"/>
      <c r="D618" s="27"/>
      <c r="E618" s="31">
        <v>0</v>
      </c>
      <c r="F618" s="31">
        <v>0</v>
      </c>
      <c r="G618" s="31">
        <v>0</v>
      </c>
      <c r="H618" s="31">
        <v>0</v>
      </c>
      <c r="I618" s="31">
        <v>0</v>
      </c>
      <c r="J618" s="31">
        <v>0</v>
      </c>
      <c r="K618" s="31">
        <v>0</v>
      </c>
      <c r="L618" s="31">
        <v>0</v>
      </c>
      <c r="M618" s="31">
        <v>0</v>
      </c>
      <c r="N618" s="31">
        <v>0</v>
      </c>
      <c r="O618" s="27"/>
      <c r="P618" s="29"/>
      <c r="Q618" s="30"/>
    </row>
    <row r="619" spans="1:17" ht="93" x14ac:dyDescent="0.25">
      <c r="A619" s="25" t="s">
        <v>1629</v>
      </c>
      <c r="B619" s="26" t="s">
        <v>1630</v>
      </c>
      <c r="C619" s="27" t="s">
        <v>1356</v>
      </c>
      <c r="D619" s="27" t="s">
        <v>1530</v>
      </c>
      <c r="E619" s="28">
        <f>SUM(E620:E620)+15000</f>
        <v>15000</v>
      </c>
      <c r="F619" s="28">
        <f t="shared" ref="F619:K619" si="295">SUM(F620:F620)</f>
        <v>0</v>
      </c>
      <c r="G619" s="28">
        <f t="shared" si="295"/>
        <v>0</v>
      </c>
      <c r="H619" s="28">
        <f t="shared" si="295"/>
        <v>0</v>
      </c>
      <c r="I619" s="28">
        <f t="shared" si="295"/>
        <v>0</v>
      </c>
      <c r="J619" s="28">
        <f t="shared" si="295"/>
        <v>0</v>
      </c>
      <c r="K619" s="28">
        <f t="shared" si="295"/>
        <v>0</v>
      </c>
      <c r="L619" s="28">
        <f>SUM(L620:L620)+15000</f>
        <v>15000</v>
      </c>
      <c r="M619" s="28">
        <f>SUM(M620:M620)</f>
        <v>0</v>
      </c>
      <c r="N619" s="28">
        <f>SUM(N620:N620)</f>
        <v>0</v>
      </c>
      <c r="O619" s="27" t="s">
        <v>1631</v>
      </c>
      <c r="P619" s="29" t="s">
        <v>34</v>
      </c>
      <c r="Q619" s="30" t="s">
        <v>45</v>
      </c>
    </row>
    <row r="620" spans="1:17" ht="93" x14ac:dyDescent="0.25">
      <c r="A620" s="25" t="s">
        <v>1632</v>
      </c>
      <c r="B620" s="26" t="s">
        <v>1633</v>
      </c>
      <c r="C620" s="27"/>
      <c r="D620" s="27"/>
      <c r="E620" s="31">
        <v>0</v>
      </c>
      <c r="F620" s="31">
        <v>0</v>
      </c>
      <c r="G620" s="31">
        <v>0</v>
      </c>
      <c r="H620" s="31">
        <v>0</v>
      </c>
      <c r="I620" s="31">
        <v>0</v>
      </c>
      <c r="J620" s="31">
        <v>0</v>
      </c>
      <c r="K620" s="31">
        <v>0</v>
      </c>
      <c r="L620" s="31">
        <v>0</v>
      </c>
      <c r="M620" s="31">
        <v>0</v>
      </c>
      <c r="N620" s="31">
        <v>0</v>
      </c>
      <c r="O620" s="27"/>
      <c r="P620" s="29"/>
      <c r="Q620" s="30"/>
    </row>
    <row r="621" spans="1:17" ht="93" x14ac:dyDescent="0.25">
      <c r="A621" s="25" t="s">
        <v>1634</v>
      </c>
      <c r="B621" s="26" t="s">
        <v>1635</v>
      </c>
      <c r="C621" s="27" t="s">
        <v>1356</v>
      </c>
      <c r="D621" s="27" t="s">
        <v>1530</v>
      </c>
      <c r="E621" s="28">
        <f>SUM(E622:E622)+2000</f>
        <v>2000</v>
      </c>
      <c r="F621" s="28">
        <f t="shared" ref="F621:K621" si="296">SUM(F622:F622)</f>
        <v>0</v>
      </c>
      <c r="G621" s="28">
        <f t="shared" si="296"/>
        <v>0</v>
      </c>
      <c r="H621" s="28">
        <f t="shared" si="296"/>
        <v>0</v>
      </c>
      <c r="I621" s="28">
        <f t="shared" si="296"/>
        <v>0</v>
      </c>
      <c r="J621" s="28">
        <f t="shared" si="296"/>
        <v>0</v>
      </c>
      <c r="K621" s="28">
        <f t="shared" si="296"/>
        <v>0</v>
      </c>
      <c r="L621" s="28">
        <f>SUM(L622:L622)+2000</f>
        <v>2000</v>
      </c>
      <c r="M621" s="28">
        <f>SUM(M622:M622)</f>
        <v>0</v>
      </c>
      <c r="N621" s="28">
        <f>SUM(N622:N622)</f>
        <v>0</v>
      </c>
      <c r="O621" s="27" t="s">
        <v>1636</v>
      </c>
      <c r="P621" s="29" t="s">
        <v>34</v>
      </c>
      <c r="Q621" s="30" t="s">
        <v>75</v>
      </c>
    </row>
    <row r="622" spans="1:17" ht="93" x14ac:dyDescent="0.25">
      <c r="A622" s="25" t="s">
        <v>1637</v>
      </c>
      <c r="B622" s="26" t="s">
        <v>1638</v>
      </c>
      <c r="C622" s="27"/>
      <c r="D622" s="27"/>
      <c r="E622" s="31">
        <v>0</v>
      </c>
      <c r="F622" s="31">
        <v>0</v>
      </c>
      <c r="G622" s="31">
        <v>0</v>
      </c>
      <c r="H622" s="31">
        <v>0</v>
      </c>
      <c r="I622" s="31">
        <v>0</v>
      </c>
      <c r="J622" s="31">
        <v>0</v>
      </c>
      <c r="K622" s="31">
        <v>0</v>
      </c>
      <c r="L622" s="31">
        <v>0</v>
      </c>
      <c r="M622" s="31">
        <v>0</v>
      </c>
      <c r="N622" s="31">
        <v>0</v>
      </c>
      <c r="O622" s="27"/>
      <c r="P622" s="29"/>
      <c r="Q622" s="30"/>
    </row>
    <row r="623" spans="1:17" ht="93" x14ac:dyDescent="0.25">
      <c r="A623" s="25" t="s">
        <v>1639</v>
      </c>
      <c r="B623" s="26" t="s">
        <v>1640</v>
      </c>
      <c r="C623" s="27" t="s">
        <v>1356</v>
      </c>
      <c r="D623" s="27" t="s">
        <v>1530</v>
      </c>
      <c r="E623" s="28">
        <f>SUM(E624:E624)+95000</f>
        <v>95000</v>
      </c>
      <c r="F623" s="28">
        <f t="shared" ref="F623:K623" si="297">SUM(F624:F624)</f>
        <v>0</v>
      </c>
      <c r="G623" s="28">
        <f t="shared" si="297"/>
        <v>0</v>
      </c>
      <c r="H623" s="28">
        <f t="shared" si="297"/>
        <v>0</v>
      </c>
      <c r="I623" s="28">
        <f t="shared" si="297"/>
        <v>0</v>
      </c>
      <c r="J623" s="28">
        <f t="shared" si="297"/>
        <v>0</v>
      </c>
      <c r="K623" s="28">
        <f t="shared" si="297"/>
        <v>0</v>
      </c>
      <c r="L623" s="28">
        <f>SUM(L624:L624)+95000</f>
        <v>95000</v>
      </c>
      <c r="M623" s="28">
        <f>SUM(M624:M624)</f>
        <v>0</v>
      </c>
      <c r="N623" s="28">
        <f>SUM(N624:N624)</f>
        <v>0</v>
      </c>
      <c r="O623" s="27" t="s">
        <v>1641</v>
      </c>
      <c r="P623" s="29" t="s">
        <v>34</v>
      </c>
      <c r="Q623" s="30" t="s">
        <v>1642</v>
      </c>
    </row>
    <row r="624" spans="1:17" ht="93" x14ac:dyDescent="0.25">
      <c r="A624" s="25" t="s">
        <v>1643</v>
      </c>
      <c r="B624" s="26" t="s">
        <v>1644</v>
      </c>
      <c r="C624" s="27"/>
      <c r="D624" s="27"/>
      <c r="E624" s="31">
        <v>0</v>
      </c>
      <c r="F624" s="31">
        <v>0</v>
      </c>
      <c r="G624" s="31">
        <v>0</v>
      </c>
      <c r="H624" s="31">
        <v>0</v>
      </c>
      <c r="I624" s="31">
        <v>0</v>
      </c>
      <c r="J624" s="31">
        <v>0</v>
      </c>
      <c r="K624" s="31">
        <v>0</v>
      </c>
      <c r="L624" s="31">
        <v>0</v>
      </c>
      <c r="M624" s="31">
        <v>0</v>
      </c>
      <c r="N624" s="31">
        <v>0</v>
      </c>
      <c r="O624" s="27"/>
      <c r="P624" s="29"/>
      <c r="Q624" s="30"/>
    </row>
    <row r="625" spans="1:17" ht="69.75" x14ac:dyDescent="0.25">
      <c r="A625" s="25" t="s">
        <v>1645</v>
      </c>
      <c r="B625" s="26" t="s">
        <v>1646</v>
      </c>
      <c r="C625" s="27" t="s">
        <v>1356</v>
      </c>
      <c r="D625" s="27" t="s">
        <v>1488</v>
      </c>
      <c r="E625" s="28">
        <f>SUM(E626:E626)+18000</f>
        <v>18000</v>
      </c>
      <c r="F625" s="28">
        <f t="shared" ref="F625:K625" si="298">SUM(F626:F626)</f>
        <v>0</v>
      </c>
      <c r="G625" s="28">
        <f t="shared" si="298"/>
        <v>0</v>
      </c>
      <c r="H625" s="28">
        <f t="shared" si="298"/>
        <v>0</v>
      </c>
      <c r="I625" s="28">
        <f t="shared" si="298"/>
        <v>0</v>
      </c>
      <c r="J625" s="28">
        <f t="shared" si="298"/>
        <v>0</v>
      </c>
      <c r="K625" s="28">
        <f t="shared" si="298"/>
        <v>0</v>
      </c>
      <c r="L625" s="28">
        <f>SUM(L626:L626)+18000</f>
        <v>18000</v>
      </c>
      <c r="M625" s="28">
        <f>SUM(M626:M626)</f>
        <v>0</v>
      </c>
      <c r="N625" s="28">
        <f>SUM(N626:N626)</f>
        <v>0</v>
      </c>
      <c r="O625" s="27" t="s">
        <v>1647</v>
      </c>
      <c r="P625" s="29" t="s">
        <v>34</v>
      </c>
      <c r="Q625" s="30" t="s">
        <v>1648</v>
      </c>
    </row>
    <row r="626" spans="1:17" ht="69.75" x14ac:dyDescent="0.25">
      <c r="A626" s="25" t="s">
        <v>1649</v>
      </c>
      <c r="B626" s="26" t="s">
        <v>1650</v>
      </c>
      <c r="C626" s="27"/>
      <c r="D626" s="27"/>
      <c r="E626" s="31">
        <v>0</v>
      </c>
      <c r="F626" s="31">
        <v>0</v>
      </c>
      <c r="G626" s="31">
        <v>0</v>
      </c>
      <c r="H626" s="31">
        <v>0</v>
      </c>
      <c r="I626" s="31">
        <v>0</v>
      </c>
      <c r="J626" s="31">
        <v>0</v>
      </c>
      <c r="K626" s="31">
        <v>0</v>
      </c>
      <c r="L626" s="31">
        <v>0</v>
      </c>
      <c r="M626" s="31">
        <v>0</v>
      </c>
      <c r="N626" s="31">
        <v>0</v>
      </c>
      <c r="O626" s="27"/>
      <c r="P626" s="29"/>
      <c r="Q626" s="30"/>
    </row>
    <row r="627" spans="1:17" ht="93" x14ac:dyDescent="0.25">
      <c r="A627" s="25" t="s">
        <v>1651</v>
      </c>
      <c r="B627" s="26" t="s">
        <v>1652</v>
      </c>
      <c r="C627" s="27" t="s">
        <v>1356</v>
      </c>
      <c r="D627" s="27" t="s">
        <v>1530</v>
      </c>
      <c r="E627" s="28">
        <f>SUM(E628:E628)+320000</f>
        <v>320000</v>
      </c>
      <c r="F627" s="28">
        <f t="shared" ref="F627:K627" si="299">SUM(F628:F628)</f>
        <v>0</v>
      </c>
      <c r="G627" s="28">
        <f t="shared" si="299"/>
        <v>0</v>
      </c>
      <c r="H627" s="28">
        <f t="shared" si="299"/>
        <v>0</v>
      </c>
      <c r="I627" s="28">
        <f t="shared" si="299"/>
        <v>0</v>
      </c>
      <c r="J627" s="28">
        <f t="shared" si="299"/>
        <v>0</v>
      </c>
      <c r="K627" s="28">
        <f t="shared" si="299"/>
        <v>0</v>
      </c>
      <c r="L627" s="28">
        <f>SUM(L628:L628)+320000</f>
        <v>320000</v>
      </c>
      <c r="M627" s="28">
        <f>SUM(M628:M628)</f>
        <v>0</v>
      </c>
      <c r="N627" s="28">
        <f>SUM(N628:N628)</f>
        <v>0</v>
      </c>
      <c r="O627" s="27" t="s">
        <v>1653</v>
      </c>
      <c r="P627" s="29" t="s">
        <v>34</v>
      </c>
      <c r="Q627" s="30" t="s">
        <v>1654</v>
      </c>
    </row>
    <row r="628" spans="1:17" ht="69.75" x14ac:dyDescent="0.25">
      <c r="A628" s="25" t="s">
        <v>1655</v>
      </c>
      <c r="B628" s="26" t="s">
        <v>1656</v>
      </c>
      <c r="C628" s="27"/>
      <c r="D628" s="27"/>
      <c r="E628" s="31">
        <v>0</v>
      </c>
      <c r="F628" s="31">
        <v>0</v>
      </c>
      <c r="G628" s="31">
        <v>0</v>
      </c>
      <c r="H628" s="31">
        <v>0</v>
      </c>
      <c r="I628" s="31">
        <v>0</v>
      </c>
      <c r="J628" s="31">
        <v>0</v>
      </c>
      <c r="K628" s="31">
        <v>0</v>
      </c>
      <c r="L628" s="31">
        <v>0</v>
      </c>
      <c r="M628" s="31">
        <v>0</v>
      </c>
      <c r="N628" s="31">
        <v>0</v>
      </c>
      <c r="O628" s="27"/>
      <c r="P628" s="29"/>
      <c r="Q628" s="30"/>
    </row>
    <row r="629" spans="1:17" ht="93" x14ac:dyDescent="0.25">
      <c r="A629" s="25" t="s">
        <v>1657</v>
      </c>
      <c r="B629" s="26" t="s">
        <v>1658</v>
      </c>
      <c r="C629" s="27" t="s">
        <v>1356</v>
      </c>
      <c r="D629" s="27" t="s">
        <v>1530</v>
      </c>
      <c r="E629" s="28">
        <f>SUM(E630:E630)+225000</f>
        <v>225000</v>
      </c>
      <c r="F629" s="28">
        <f t="shared" ref="F629:K629" si="300">SUM(F630:F630)</f>
        <v>0</v>
      </c>
      <c r="G629" s="28">
        <f t="shared" si="300"/>
        <v>0</v>
      </c>
      <c r="H629" s="28">
        <f t="shared" si="300"/>
        <v>0</v>
      </c>
      <c r="I629" s="28">
        <f t="shared" si="300"/>
        <v>0</v>
      </c>
      <c r="J629" s="28">
        <f t="shared" si="300"/>
        <v>0</v>
      </c>
      <c r="K629" s="28">
        <f t="shared" si="300"/>
        <v>0</v>
      </c>
      <c r="L629" s="28">
        <f>SUM(L630:L630)+225000</f>
        <v>225000</v>
      </c>
      <c r="M629" s="28">
        <f>SUM(M630:M630)</f>
        <v>0</v>
      </c>
      <c r="N629" s="28">
        <f>SUM(N630:N630)</f>
        <v>0</v>
      </c>
      <c r="O629" s="27" t="s">
        <v>1659</v>
      </c>
      <c r="P629" s="29" t="s">
        <v>34</v>
      </c>
      <c r="Q629" s="30" t="s">
        <v>1660</v>
      </c>
    </row>
    <row r="630" spans="1:17" ht="69.75" x14ac:dyDescent="0.25">
      <c r="A630" s="25" t="s">
        <v>1661</v>
      </c>
      <c r="B630" s="26" t="s">
        <v>1662</v>
      </c>
      <c r="C630" s="27"/>
      <c r="D630" s="27"/>
      <c r="E630" s="31">
        <v>0</v>
      </c>
      <c r="F630" s="31">
        <v>0</v>
      </c>
      <c r="G630" s="31">
        <v>0</v>
      </c>
      <c r="H630" s="31">
        <v>0</v>
      </c>
      <c r="I630" s="31">
        <v>0</v>
      </c>
      <c r="J630" s="31">
        <v>0</v>
      </c>
      <c r="K630" s="31">
        <v>0</v>
      </c>
      <c r="L630" s="31">
        <v>0</v>
      </c>
      <c r="M630" s="31">
        <v>0</v>
      </c>
      <c r="N630" s="31">
        <v>0</v>
      </c>
      <c r="O630" s="27"/>
      <c r="P630" s="29"/>
      <c r="Q630" s="30"/>
    </row>
    <row r="631" spans="1:17" ht="93" x14ac:dyDescent="0.25">
      <c r="A631" s="25" t="s">
        <v>1663</v>
      </c>
      <c r="B631" s="26" t="s">
        <v>1664</v>
      </c>
      <c r="C631" s="27" t="s">
        <v>1356</v>
      </c>
      <c r="D631" s="27" t="s">
        <v>1530</v>
      </c>
      <c r="E631" s="28">
        <f>SUM(E632:E632)+20000</f>
        <v>20000</v>
      </c>
      <c r="F631" s="28">
        <f t="shared" ref="F631:K631" si="301">SUM(F632:F632)</f>
        <v>0</v>
      </c>
      <c r="G631" s="28">
        <f t="shared" si="301"/>
        <v>0</v>
      </c>
      <c r="H631" s="28">
        <f t="shared" si="301"/>
        <v>0</v>
      </c>
      <c r="I631" s="28">
        <f t="shared" si="301"/>
        <v>0</v>
      </c>
      <c r="J631" s="28">
        <f t="shared" si="301"/>
        <v>0</v>
      </c>
      <c r="K631" s="28">
        <f t="shared" si="301"/>
        <v>0</v>
      </c>
      <c r="L631" s="28">
        <f>SUM(L632:L632)+20000</f>
        <v>20000</v>
      </c>
      <c r="M631" s="28">
        <f>SUM(M632:M632)</f>
        <v>0</v>
      </c>
      <c r="N631" s="28">
        <f>SUM(N632:N632)</f>
        <v>0</v>
      </c>
      <c r="O631" s="27" t="s">
        <v>1665</v>
      </c>
      <c r="P631" s="29" t="s">
        <v>34</v>
      </c>
      <c r="Q631" s="30" t="s">
        <v>242</v>
      </c>
    </row>
    <row r="632" spans="1:17" ht="69.75" x14ac:dyDescent="0.25">
      <c r="A632" s="25" t="s">
        <v>1666</v>
      </c>
      <c r="B632" s="26" t="s">
        <v>1667</v>
      </c>
      <c r="C632" s="27"/>
      <c r="D632" s="27"/>
      <c r="E632" s="31">
        <v>0</v>
      </c>
      <c r="F632" s="31">
        <v>0</v>
      </c>
      <c r="G632" s="31">
        <v>0</v>
      </c>
      <c r="H632" s="31">
        <v>0</v>
      </c>
      <c r="I632" s="31">
        <v>0</v>
      </c>
      <c r="J632" s="31">
        <v>0</v>
      </c>
      <c r="K632" s="31">
        <v>0</v>
      </c>
      <c r="L632" s="31">
        <v>0</v>
      </c>
      <c r="M632" s="31">
        <v>0</v>
      </c>
      <c r="N632" s="31">
        <v>0</v>
      </c>
      <c r="O632" s="27"/>
      <c r="P632" s="29"/>
      <c r="Q632" s="30"/>
    </row>
    <row r="633" spans="1:17" ht="69.75" x14ac:dyDescent="0.25">
      <c r="A633" s="25" t="s">
        <v>1668</v>
      </c>
      <c r="B633" s="26" t="s">
        <v>1669</v>
      </c>
      <c r="C633" s="27" t="s">
        <v>1356</v>
      </c>
      <c r="D633" s="27" t="s">
        <v>1488</v>
      </c>
      <c r="E633" s="28">
        <f>SUM(E634:E634)+53000</f>
        <v>53000</v>
      </c>
      <c r="F633" s="28">
        <f t="shared" ref="F633:K633" si="302">SUM(F634:F634)</f>
        <v>0</v>
      </c>
      <c r="G633" s="28">
        <f t="shared" si="302"/>
        <v>0</v>
      </c>
      <c r="H633" s="28">
        <f t="shared" si="302"/>
        <v>0</v>
      </c>
      <c r="I633" s="28">
        <f t="shared" si="302"/>
        <v>0</v>
      </c>
      <c r="J633" s="28">
        <f t="shared" si="302"/>
        <v>0</v>
      </c>
      <c r="K633" s="28">
        <f t="shared" si="302"/>
        <v>0</v>
      </c>
      <c r="L633" s="28">
        <f>SUM(L634:L634)+53000</f>
        <v>53000</v>
      </c>
      <c r="M633" s="28">
        <f>SUM(M634:M634)</f>
        <v>0</v>
      </c>
      <c r="N633" s="28">
        <f>SUM(N634:N634)</f>
        <v>0</v>
      </c>
      <c r="O633" s="27" t="s">
        <v>1670</v>
      </c>
      <c r="P633" s="29" t="s">
        <v>34</v>
      </c>
      <c r="Q633" s="30" t="s">
        <v>242</v>
      </c>
    </row>
    <row r="634" spans="1:17" ht="69.75" x14ac:dyDescent="0.25">
      <c r="A634" s="25" t="s">
        <v>1671</v>
      </c>
      <c r="B634" s="26" t="s">
        <v>1672</v>
      </c>
      <c r="C634" s="27"/>
      <c r="D634" s="27"/>
      <c r="E634" s="31">
        <v>0</v>
      </c>
      <c r="F634" s="31">
        <v>0</v>
      </c>
      <c r="G634" s="31">
        <v>0</v>
      </c>
      <c r="H634" s="31">
        <v>0</v>
      </c>
      <c r="I634" s="31">
        <v>0</v>
      </c>
      <c r="J634" s="31">
        <v>0</v>
      </c>
      <c r="K634" s="31">
        <v>0</v>
      </c>
      <c r="L634" s="31">
        <v>0</v>
      </c>
      <c r="M634" s="31">
        <v>0</v>
      </c>
      <c r="N634" s="31">
        <v>0</v>
      </c>
      <c r="O634" s="27"/>
      <c r="P634" s="29"/>
      <c r="Q634" s="30"/>
    </row>
    <row r="635" spans="1:17" ht="93" x14ac:dyDescent="0.25">
      <c r="A635" s="25" t="s">
        <v>1673</v>
      </c>
      <c r="B635" s="26" t="s">
        <v>1674</v>
      </c>
      <c r="C635" s="27" t="s">
        <v>1356</v>
      </c>
      <c r="D635" s="27" t="s">
        <v>1530</v>
      </c>
      <c r="E635" s="28">
        <f>SUM(E636:E636)+9000</f>
        <v>9000</v>
      </c>
      <c r="F635" s="28">
        <f t="shared" ref="F635:K635" si="303">SUM(F636:F636)</f>
        <v>0</v>
      </c>
      <c r="G635" s="28">
        <f t="shared" si="303"/>
        <v>0</v>
      </c>
      <c r="H635" s="28">
        <f t="shared" si="303"/>
        <v>0</v>
      </c>
      <c r="I635" s="28">
        <f t="shared" si="303"/>
        <v>0</v>
      </c>
      <c r="J635" s="28">
        <f t="shared" si="303"/>
        <v>0</v>
      </c>
      <c r="K635" s="28">
        <f t="shared" si="303"/>
        <v>0</v>
      </c>
      <c r="L635" s="28">
        <f>SUM(L636:L636)+9000</f>
        <v>9000</v>
      </c>
      <c r="M635" s="28">
        <f>SUM(M636:M636)</f>
        <v>0</v>
      </c>
      <c r="N635" s="28">
        <f>SUM(N636:N636)</f>
        <v>0</v>
      </c>
      <c r="O635" s="27" t="s">
        <v>1675</v>
      </c>
      <c r="P635" s="29" t="s">
        <v>34</v>
      </c>
      <c r="Q635" s="30" t="s">
        <v>75</v>
      </c>
    </row>
    <row r="636" spans="1:17" ht="69.75" x14ac:dyDescent="0.25">
      <c r="A636" s="25" t="s">
        <v>1676</v>
      </c>
      <c r="B636" s="26" t="s">
        <v>1677</v>
      </c>
      <c r="C636" s="27"/>
      <c r="D636" s="27"/>
      <c r="E636" s="31">
        <v>0</v>
      </c>
      <c r="F636" s="31">
        <v>0</v>
      </c>
      <c r="G636" s="31">
        <v>0</v>
      </c>
      <c r="H636" s="31">
        <v>0</v>
      </c>
      <c r="I636" s="31">
        <v>0</v>
      </c>
      <c r="J636" s="31">
        <v>0</v>
      </c>
      <c r="K636" s="31">
        <v>0</v>
      </c>
      <c r="L636" s="31">
        <v>0</v>
      </c>
      <c r="M636" s="31">
        <v>0</v>
      </c>
      <c r="N636" s="31">
        <v>0</v>
      </c>
      <c r="O636" s="27"/>
      <c r="P636" s="29"/>
      <c r="Q636" s="30"/>
    </row>
    <row r="637" spans="1:17" ht="69.75" x14ac:dyDescent="0.25">
      <c r="A637" s="25" t="s">
        <v>1678</v>
      </c>
      <c r="B637" s="26" t="s">
        <v>1679</v>
      </c>
      <c r="C637" s="27" t="s">
        <v>1356</v>
      </c>
      <c r="D637" s="27" t="s">
        <v>1488</v>
      </c>
      <c r="E637" s="28">
        <f>SUM(E638:E638)+2500000</f>
        <v>2500000</v>
      </c>
      <c r="F637" s="28">
        <f t="shared" ref="F637:K637" si="304">SUM(F638:F638)</f>
        <v>0</v>
      </c>
      <c r="G637" s="28">
        <f t="shared" si="304"/>
        <v>0</v>
      </c>
      <c r="H637" s="28">
        <f t="shared" si="304"/>
        <v>0</v>
      </c>
      <c r="I637" s="28">
        <f t="shared" si="304"/>
        <v>0</v>
      </c>
      <c r="J637" s="28">
        <f t="shared" si="304"/>
        <v>0</v>
      </c>
      <c r="K637" s="28">
        <f t="shared" si="304"/>
        <v>0</v>
      </c>
      <c r="L637" s="28">
        <f>SUM(L638:L638)+2500000</f>
        <v>2500000</v>
      </c>
      <c r="M637" s="28">
        <f>SUM(M638:M638)</f>
        <v>0</v>
      </c>
      <c r="N637" s="28">
        <f>SUM(N638:N638)</f>
        <v>0</v>
      </c>
      <c r="O637" s="27" t="s">
        <v>1680</v>
      </c>
      <c r="P637" s="29" t="s">
        <v>34</v>
      </c>
      <c r="Q637" s="30" t="s">
        <v>1681</v>
      </c>
    </row>
    <row r="638" spans="1:17" ht="69.75" x14ac:dyDescent="0.25">
      <c r="A638" s="25" t="s">
        <v>1682</v>
      </c>
      <c r="B638" s="26" t="s">
        <v>1683</v>
      </c>
      <c r="C638" s="27"/>
      <c r="D638" s="27"/>
      <c r="E638" s="31">
        <v>0</v>
      </c>
      <c r="F638" s="31">
        <v>0</v>
      </c>
      <c r="G638" s="31">
        <v>0</v>
      </c>
      <c r="H638" s="31">
        <v>0</v>
      </c>
      <c r="I638" s="31">
        <v>0</v>
      </c>
      <c r="J638" s="31">
        <v>0</v>
      </c>
      <c r="K638" s="31">
        <v>0</v>
      </c>
      <c r="L638" s="31">
        <v>0</v>
      </c>
      <c r="M638" s="31">
        <v>0</v>
      </c>
      <c r="N638" s="31">
        <v>0</v>
      </c>
      <c r="O638" s="27"/>
      <c r="P638" s="29"/>
      <c r="Q638" s="30"/>
    </row>
    <row r="639" spans="1:17" ht="69.75" x14ac:dyDescent="0.25">
      <c r="A639" s="25" t="s">
        <v>1684</v>
      </c>
      <c r="B639" s="26" t="s">
        <v>1685</v>
      </c>
      <c r="C639" s="27" t="s">
        <v>1356</v>
      </c>
      <c r="D639" s="27" t="s">
        <v>1488</v>
      </c>
      <c r="E639" s="28">
        <f>SUM(E640:E640)+1573400</f>
        <v>1573400</v>
      </c>
      <c r="F639" s="28">
        <f t="shared" ref="F639:K639" si="305">SUM(F640:F640)</f>
        <v>0</v>
      </c>
      <c r="G639" s="28">
        <f t="shared" si="305"/>
        <v>0</v>
      </c>
      <c r="H639" s="28">
        <f t="shared" si="305"/>
        <v>0</v>
      </c>
      <c r="I639" s="28">
        <f t="shared" si="305"/>
        <v>0</v>
      </c>
      <c r="J639" s="28">
        <f t="shared" si="305"/>
        <v>0</v>
      </c>
      <c r="K639" s="28">
        <f t="shared" si="305"/>
        <v>0</v>
      </c>
      <c r="L639" s="28">
        <f>SUM(L640:L640)+1573400</f>
        <v>1573400</v>
      </c>
      <c r="M639" s="28">
        <f>SUM(M640:M640)</f>
        <v>0</v>
      </c>
      <c r="N639" s="28">
        <f>SUM(N640:N640)</f>
        <v>0</v>
      </c>
      <c r="O639" s="27" t="s">
        <v>1686</v>
      </c>
      <c r="P639" s="29" t="s">
        <v>34</v>
      </c>
      <c r="Q639" s="30" t="s">
        <v>1687</v>
      </c>
    </row>
    <row r="640" spans="1:17" ht="69.75" x14ac:dyDescent="0.25">
      <c r="A640" s="25" t="s">
        <v>1688</v>
      </c>
      <c r="B640" s="26" t="s">
        <v>1689</v>
      </c>
      <c r="C640" s="27"/>
      <c r="D640" s="27"/>
      <c r="E640" s="31">
        <v>0</v>
      </c>
      <c r="F640" s="31">
        <v>0</v>
      </c>
      <c r="G640" s="31">
        <v>0</v>
      </c>
      <c r="H640" s="31">
        <v>0</v>
      </c>
      <c r="I640" s="31">
        <v>0</v>
      </c>
      <c r="J640" s="31">
        <v>0</v>
      </c>
      <c r="K640" s="31">
        <v>0</v>
      </c>
      <c r="L640" s="31">
        <v>0</v>
      </c>
      <c r="M640" s="31">
        <v>0</v>
      </c>
      <c r="N640" s="31">
        <v>0</v>
      </c>
      <c r="O640" s="27"/>
      <c r="P640" s="29"/>
      <c r="Q640" s="30"/>
    </row>
    <row r="641" spans="1:17" ht="46.5" x14ac:dyDescent="0.25">
      <c r="A641" s="25" t="s">
        <v>1690</v>
      </c>
      <c r="B641" s="26" t="s">
        <v>1691</v>
      </c>
      <c r="C641" s="27" t="s">
        <v>1356</v>
      </c>
      <c r="D641" s="27" t="s">
        <v>1488</v>
      </c>
      <c r="E641" s="28">
        <f>SUM(E642:E642)+203700</f>
        <v>203700</v>
      </c>
      <c r="F641" s="28">
        <f t="shared" ref="F641:K641" si="306">SUM(F642:F642)</f>
        <v>0</v>
      </c>
      <c r="G641" s="28">
        <f t="shared" si="306"/>
        <v>0</v>
      </c>
      <c r="H641" s="28">
        <f t="shared" si="306"/>
        <v>0</v>
      </c>
      <c r="I641" s="28">
        <f t="shared" si="306"/>
        <v>0</v>
      </c>
      <c r="J641" s="28">
        <f t="shared" si="306"/>
        <v>0</v>
      </c>
      <c r="K641" s="28">
        <f t="shared" si="306"/>
        <v>0</v>
      </c>
      <c r="L641" s="28">
        <f>SUM(L642:L642)+203700</f>
        <v>203700</v>
      </c>
      <c r="M641" s="28">
        <f>SUM(M642:M642)</f>
        <v>0</v>
      </c>
      <c r="N641" s="28">
        <f>SUM(N642:N642)</f>
        <v>0</v>
      </c>
      <c r="O641" s="27" t="s">
        <v>1692</v>
      </c>
      <c r="P641" s="29" t="s">
        <v>34</v>
      </c>
      <c r="Q641" s="30" t="s">
        <v>35</v>
      </c>
    </row>
    <row r="642" spans="1:17" ht="46.5" x14ac:dyDescent="0.25">
      <c r="A642" s="25" t="s">
        <v>1693</v>
      </c>
      <c r="B642" s="26" t="s">
        <v>1694</v>
      </c>
      <c r="C642" s="27"/>
      <c r="D642" s="27"/>
      <c r="E642" s="31">
        <v>0</v>
      </c>
      <c r="F642" s="31">
        <v>0</v>
      </c>
      <c r="G642" s="31">
        <v>0</v>
      </c>
      <c r="H642" s="31">
        <v>0</v>
      </c>
      <c r="I642" s="31">
        <v>0</v>
      </c>
      <c r="J642" s="31">
        <v>0</v>
      </c>
      <c r="K642" s="31">
        <v>0</v>
      </c>
      <c r="L642" s="31">
        <v>0</v>
      </c>
      <c r="M642" s="31">
        <v>0</v>
      </c>
      <c r="N642" s="31">
        <v>0</v>
      </c>
      <c r="O642" s="27"/>
      <c r="P642" s="29"/>
      <c r="Q642" s="30"/>
    </row>
    <row r="643" spans="1:17" ht="69.75" x14ac:dyDescent="0.25">
      <c r="A643" s="25" t="s">
        <v>1695</v>
      </c>
      <c r="B643" s="26" t="s">
        <v>1696</v>
      </c>
      <c r="C643" s="27" t="s">
        <v>1356</v>
      </c>
      <c r="D643" s="27" t="s">
        <v>1697</v>
      </c>
      <c r="E643" s="28">
        <f>SUM(E644:E644)+56800</f>
        <v>56800</v>
      </c>
      <c r="F643" s="28">
        <f t="shared" ref="F643:K643" si="307">SUM(F644:F644)</f>
        <v>0</v>
      </c>
      <c r="G643" s="28">
        <f t="shared" si="307"/>
        <v>0</v>
      </c>
      <c r="H643" s="28">
        <f t="shared" si="307"/>
        <v>0</v>
      </c>
      <c r="I643" s="28">
        <f t="shared" si="307"/>
        <v>0</v>
      </c>
      <c r="J643" s="28">
        <f t="shared" si="307"/>
        <v>0</v>
      </c>
      <c r="K643" s="28">
        <f t="shared" si="307"/>
        <v>0</v>
      </c>
      <c r="L643" s="28">
        <f>SUM(L644:L644)+56800</f>
        <v>56800</v>
      </c>
      <c r="M643" s="28">
        <f>SUM(M644:M644)</f>
        <v>0</v>
      </c>
      <c r="N643" s="28">
        <f>SUM(N644:N644)</f>
        <v>0</v>
      </c>
      <c r="O643" s="27" t="s">
        <v>1692</v>
      </c>
      <c r="P643" s="29" t="s">
        <v>34</v>
      </c>
      <c r="Q643" s="30" t="s">
        <v>59</v>
      </c>
    </row>
    <row r="644" spans="1:17" ht="46.5" x14ac:dyDescent="0.25">
      <c r="A644" s="25" t="s">
        <v>1698</v>
      </c>
      <c r="B644" s="26" t="s">
        <v>1699</v>
      </c>
      <c r="C644" s="27"/>
      <c r="D644" s="27"/>
      <c r="E644" s="31">
        <v>0</v>
      </c>
      <c r="F644" s="31">
        <v>0</v>
      </c>
      <c r="G644" s="31">
        <v>0</v>
      </c>
      <c r="H644" s="31">
        <v>0</v>
      </c>
      <c r="I644" s="31">
        <v>0</v>
      </c>
      <c r="J644" s="31">
        <v>0</v>
      </c>
      <c r="K644" s="31">
        <v>0</v>
      </c>
      <c r="L644" s="31">
        <v>0</v>
      </c>
      <c r="M644" s="31">
        <v>0</v>
      </c>
      <c r="N644" s="31">
        <v>0</v>
      </c>
      <c r="O644" s="27"/>
      <c r="P644" s="29"/>
      <c r="Q644" s="30"/>
    </row>
    <row r="645" spans="1:17" ht="93" x14ac:dyDescent="0.25">
      <c r="A645" s="25" t="s">
        <v>1700</v>
      </c>
      <c r="B645" s="26" t="s">
        <v>1701</v>
      </c>
      <c r="C645" s="27" t="s">
        <v>745</v>
      </c>
      <c r="D645" s="27" t="s">
        <v>746</v>
      </c>
      <c r="E645" s="28">
        <f>SUM(E646:E646)+2830</f>
        <v>2830</v>
      </c>
      <c r="F645" s="28">
        <f>SUM(F646:F646)+2830</f>
        <v>2830</v>
      </c>
      <c r="G645" s="28">
        <f t="shared" ref="G645:N645" si="308">SUM(G646:G646)</f>
        <v>0</v>
      </c>
      <c r="H645" s="28">
        <f t="shared" si="308"/>
        <v>0</v>
      </c>
      <c r="I645" s="28">
        <f t="shared" si="308"/>
        <v>0</v>
      </c>
      <c r="J645" s="28">
        <f t="shared" si="308"/>
        <v>0</v>
      </c>
      <c r="K645" s="28">
        <f t="shared" si="308"/>
        <v>0</v>
      </c>
      <c r="L645" s="28">
        <f t="shared" si="308"/>
        <v>0</v>
      </c>
      <c r="M645" s="28">
        <f t="shared" si="308"/>
        <v>0</v>
      </c>
      <c r="N645" s="28">
        <f t="shared" si="308"/>
        <v>0</v>
      </c>
      <c r="O645" s="27" t="s">
        <v>1702</v>
      </c>
      <c r="P645" s="29" t="s">
        <v>34</v>
      </c>
      <c r="Q645" s="30" t="s">
        <v>93</v>
      </c>
    </row>
    <row r="646" spans="1:17" ht="69.75" x14ac:dyDescent="0.25">
      <c r="A646" s="25" t="s">
        <v>1703</v>
      </c>
      <c r="B646" s="26" t="s">
        <v>1704</v>
      </c>
      <c r="C646" s="27"/>
      <c r="D646" s="27"/>
      <c r="E646" s="31">
        <v>0</v>
      </c>
      <c r="F646" s="31">
        <v>0</v>
      </c>
      <c r="G646" s="31">
        <v>0</v>
      </c>
      <c r="H646" s="31">
        <v>0</v>
      </c>
      <c r="I646" s="31">
        <v>0</v>
      </c>
      <c r="J646" s="31">
        <v>0</v>
      </c>
      <c r="K646" s="31">
        <v>0</v>
      </c>
      <c r="L646" s="31">
        <v>0</v>
      </c>
      <c r="M646" s="31">
        <v>0</v>
      </c>
      <c r="N646" s="31">
        <v>0</v>
      </c>
      <c r="O646" s="27"/>
      <c r="P646" s="29"/>
      <c r="Q646" s="30"/>
    </row>
    <row r="647" spans="1:17" ht="93" x14ac:dyDescent="0.25">
      <c r="A647" s="25" t="s">
        <v>1705</v>
      </c>
      <c r="B647" s="26" t="s">
        <v>1706</v>
      </c>
      <c r="C647" s="27" t="s">
        <v>754</v>
      </c>
      <c r="D647" s="27" t="s">
        <v>755</v>
      </c>
      <c r="E647" s="28">
        <f>SUM(E648:E648)+3860</f>
        <v>3860</v>
      </c>
      <c r="F647" s="28">
        <f>SUM(F648:F648)+3860</f>
        <v>3860</v>
      </c>
      <c r="G647" s="28">
        <f t="shared" ref="G647:N647" si="309">SUM(G648:G648)</f>
        <v>0</v>
      </c>
      <c r="H647" s="28">
        <f t="shared" si="309"/>
        <v>0</v>
      </c>
      <c r="I647" s="28">
        <f t="shared" si="309"/>
        <v>0</v>
      </c>
      <c r="J647" s="28">
        <f t="shared" si="309"/>
        <v>0</v>
      </c>
      <c r="K647" s="28">
        <f t="shared" si="309"/>
        <v>0</v>
      </c>
      <c r="L647" s="28">
        <f t="shared" si="309"/>
        <v>0</v>
      </c>
      <c r="M647" s="28">
        <f t="shared" si="309"/>
        <v>0</v>
      </c>
      <c r="N647" s="28">
        <f t="shared" si="309"/>
        <v>0</v>
      </c>
      <c r="O647" s="27" t="s">
        <v>1702</v>
      </c>
      <c r="P647" s="29" t="s">
        <v>34</v>
      </c>
      <c r="Q647" s="30" t="s">
        <v>344</v>
      </c>
    </row>
    <row r="648" spans="1:17" ht="69.75" x14ac:dyDescent="0.25">
      <c r="A648" s="25" t="s">
        <v>1707</v>
      </c>
      <c r="B648" s="26" t="s">
        <v>1704</v>
      </c>
      <c r="C648" s="27"/>
      <c r="D648" s="27"/>
      <c r="E648" s="31">
        <v>0</v>
      </c>
      <c r="F648" s="31">
        <v>0</v>
      </c>
      <c r="G648" s="31">
        <v>0</v>
      </c>
      <c r="H648" s="31">
        <v>0</v>
      </c>
      <c r="I648" s="31">
        <v>0</v>
      </c>
      <c r="J648" s="31">
        <v>0</v>
      </c>
      <c r="K648" s="31">
        <v>0</v>
      </c>
      <c r="L648" s="31">
        <v>0</v>
      </c>
      <c r="M648" s="31">
        <v>0</v>
      </c>
      <c r="N648" s="31">
        <v>0</v>
      </c>
      <c r="O648" s="27"/>
      <c r="P648" s="29"/>
      <c r="Q648" s="30"/>
    </row>
    <row r="649" spans="1:17" ht="93" x14ac:dyDescent="0.25">
      <c r="A649" s="25" t="s">
        <v>1708</v>
      </c>
      <c r="B649" s="26" t="s">
        <v>1709</v>
      </c>
      <c r="C649" s="27" t="s">
        <v>85</v>
      </c>
      <c r="D649" s="27" t="s">
        <v>760</v>
      </c>
      <c r="E649" s="28">
        <f>SUM(E650:E650)+3770</f>
        <v>3770</v>
      </c>
      <c r="F649" s="28">
        <f>SUM(F650:F650)+3770</f>
        <v>3770</v>
      </c>
      <c r="G649" s="28">
        <f t="shared" ref="G649:N649" si="310">SUM(G650:G650)</f>
        <v>0</v>
      </c>
      <c r="H649" s="28">
        <f t="shared" si="310"/>
        <v>0</v>
      </c>
      <c r="I649" s="28">
        <f t="shared" si="310"/>
        <v>0</v>
      </c>
      <c r="J649" s="28">
        <f t="shared" si="310"/>
        <v>0</v>
      </c>
      <c r="K649" s="28">
        <f t="shared" si="310"/>
        <v>0</v>
      </c>
      <c r="L649" s="28">
        <f t="shared" si="310"/>
        <v>0</v>
      </c>
      <c r="M649" s="28">
        <f t="shared" si="310"/>
        <v>0</v>
      </c>
      <c r="N649" s="28">
        <f t="shared" si="310"/>
        <v>0</v>
      </c>
      <c r="O649" s="27" t="s">
        <v>1702</v>
      </c>
      <c r="P649" s="29" t="s">
        <v>34</v>
      </c>
      <c r="Q649" s="30" t="s">
        <v>166</v>
      </c>
    </row>
    <row r="650" spans="1:17" ht="69.75" x14ac:dyDescent="0.25">
      <c r="A650" s="25" t="s">
        <v>1710</v>
      </c>
      <c r="B650" s="26" t="s">
        <v>1704</v>
      </c>
      <c r="C650" s="27"/>
      <c r="D650" s="27"/>
      <c r="E650" s="31">
        <v>0</v>
      </c>
      <c r="F650" s="31">
        <v>0</v>
      </c>
      <c r="G650" s="31">
        <v>0</v>
      </c>
      <c r="H650" s="31">
        <v>0</v>
      </c>
      <c r="I650" s="31">
        <v>0</v>
      </c>
      <c r="J650" s="31">
        <v>0</v>
      </c>
      <c r="K650" s="31">
        <v>0</v>
      </c>
      <c r="L650" s="31">
        <v>0</v>
      </c>
      <c r="M650" s="31">
        <v>0</v>
      </c>
      <c r="N650" s="31">
        <v>0</v>
      </c>
      <c r="O650" s="27"/>
      <c r="P650" s="29"/>
      <c r="Q650" s="30"/>
    </row>
    <row r="651" spans="1:17" ht="93" x14ac:dyDescent="0.25">
      <c r="A651" s="25" t="s">
        <v>1711</v>
      </c>
      <c r="B651" s="26" t="s">
        <v>1712</v>
      </c>
      <c r="C651" s="27" t="s">
        <v>765</v>
      </c>
      <c r="D651" s="27" t="s">
        <v>766</v>
      </c>
      <c r="E651" s="28">
        <f>SUM(E652:E652)+2970</f>
        <v>2970</v>
      </c>
      <c r="F651" s="28">
        <f>SUM(F652:F652)+2970</f>
        <v>2970</v>
      </c>
      <c r="G651" s="28">
        <f t="shared" ref="G651:N651" si="311">SUM(G652:G652)</f>
        <v>0</v>
      </c>
      <c r="H651" s="28">
        <f t="shared" si="311"/>
        <v>0</v>
      </c>
      <c r="I651" s="28">
        <f t="shared" si="311"/>
        <v>0</v>
      </c>
      <c r="J651" s="28">
        <f t="shared" si="311"/>
        <v>0</v>
      </c>
      <c r="K651" s="28">
        <f t="shared" si="311"/>
        <v>0</v>
      </c>
      <c r="L651" s="28">
        <f t="shared" si="311"/>
        <v>0</v>
      </c>
      <c r="M651" s="28">
        <f t="shared" si="311"/>
        <v>0</v>
      </c>
      <c r="N651" s="28">
        <f t="shared" si="311"/>
        <v>0</v>
      </c>
      <c r="O651" s="27" t="s">
        <v>1702</v>
      </c>
      <c r="P651" s="29" t="s">
        <v>34</v>
      </c>
      <c r="Q651" s="30" t="s">
        <v>93</v>
      </c>
    </row>
    <row r="652" spans="1:17" ht="69.75" x14ac:dyDescent="0.25">
      <c r="A652" s="25" t="s">
        <v>1713</v>
      </c>
      <c r="B652" s="26" t="s">
        <v>1704</v>
      </c>
      <c r="C652" s="27"/>
      <c r="D652" s="27"/>
      <c r="E652" s="31">
        <v>0</v>
      </c>
      <c r="F652" s="31">
        <v>0</v>
      </c>
      <c r="G652" s="31">
        <v>0</v>
      </c>
      <c r="H652" s="31">
        <v>0</v>
      </c>
      <c r="I652" s="31">
        <v>0</v>
      </c>
      <c r="J652" s="31">
        <v>0</v>
      </c>
      <c r="K652" s="31">
        <v>0</v>
      </c>
      <c r="L652" s="31">
        <v>0</v>
      </c>
      <c r="M652" s="31">
        <v>0</v>
      </c>
      <c r="N652" s="31">
        <v>0</v>
      </c>
      <c r="O652" s="27"/>
      <c r="P652" s="29"/>
      <c r="Q652" s="30"/>
    </row>
    <row r="653" spans="1:17" ht="93" x14ac:dyDescent="0.25">
      <c r="A653" s="25" t="s">
        <v>1714</v>
      </c>
      <c r="B653" s="26" t="s">
        <v>1715</v>
      </c>
      <c r="C653" s="27" t="s">
        <v>92</v>
      </c>
      <c r="D653" s="27" t="s">
        <v>771</v>
      </c>
      <c r="E653" s="28">
        <f>SUM(E654:E654)+990</f>
        <v>990</v>
      </c>
      <c r="F653" s="28">
        <f>SUM(F654:F654)+990</f>
        <v>990</v>
      </c>
      <c r="G653" s="28">
        <f t="shared" ref="G653:N653" si="312">SUM(G654:G654)</f>
        <v>0</v>
      </c>
      <c r="H653" s="28">
        <f t="shared" si="312"/>
        <v>0</v>
      </c>
      <c r="I653" s="28">
        <f t="shared" si="312"/>
        <v>0</v>
      </c>
      <c r="J653" s="28">
        <f t="shared" si="312"/>
        <v>0</v>
      </c>
      <c r="K653" s="28">
        <f t="shared" si="312"/>
        <v>0</v>
      </c>
      <c r="L653" s="28">
        <f t="shared" si="312"/>
        <v>0</v>
      </c>
      <c r="M653" s="28">
        <f t="shared" si="312"/>
        <v>0</v>
      </c>
      <c r="N653" s="28">
        <f t="shared" si="312"/>
        <v>0</v>
      </c>
      <c r="O653" s="27" t="s">
        <v>1702</v>
      </c>
      <c r="P653" s="29" t="s">
        <v>34</v>
      </c>
      <c r="Q653" s="30" t="s">
        <v>59</v>
      </c>
    </row>
    <row r="654" spans="1:17" ht="69.75" x14ac:dyDescent="0.25">
      <c r="A654" s="25" t="s">
        <v>1716</v>
      </c>
      <c r="B654" s="26" t="s">
        <v>1704</v>
      </c>
      <c r="C654" s="27"/>
      <c r="D654" s="27"/>
      <c r="E654" s="31">
        <v>0</v>
      </c>
      <c r="F654" s="31">
        <v>0</v>
      </c>
      <c r="G654" s="31">
        <v>0</v>
      </c>
      <c r="H654" s="31">
        <v>0</v>
      </c>
      <c r="I654" s="31">
        <v>0</v>
      </c>
      <c r="J654" s="31">
        <v>0</v>
      </c>
      <c r="K654" s="31">
        <v>0</v>
      </c>
      <c r="L654" s="31">
        <v>0</v>
      </c>
      <c r="M654" s="31">
        <v>0</v>
      </c>
      <c r="N654" s="31">
        <v>0</v>
      </c>
      <c r="O654" s="27"/>
      <c r="P654" s="29"/>
      <c r="Q654" s="30"/>
    </row>
    <row r="655" spans="1:17" ht="116.25" x14ac:dyDescent="0.25">
      <c r="A655" s="25" t="s">
        <v>1717</v>
      </c>
      <c r="B655" s="26" t="s">
        <v>1718</v>
      </c>
      <c r="C655" s="27" t="s">
        <v>97</v>
      </c>
      <c r="D655" s="27" t="s">
        <v>776</v>
      </c>
      <c r="E655" s="28">
        <f>SUM(E656:E656)+4950</f>
        <v>4950</v>
      </c>
      <c r="F655" s="28">
        <f>SUM(F656:F656)+4950</f>
        <v>4950</v>
      </c>
      <c r="G655" s="28">
        <f t="shared" ref="G655:N655" si="313">SUM(G656:G656)</f>
        <v>0</v>
      </c>
      <c r="H655" s="28">
        <f t="shared" si="313"/>
        <v>0</v>
      </c>
      <c r="I655" s="28">
        <f t="shared" si="313"/>
        <v>0</v>
      </c>
      <c r="J655" s="28">
        <f t="shared" si="313"/>
        <v>0</v>
      </c>
      <c r="K655" s="28">
        <f t="shared" si="313"/>
        <v>0</v>
      </c>
      <c r="L655" s="28">
        <f t="shared" si="313"/>
        <v>0</v>
      </c>
      <c r="M655" s="28">
        <f t="shared" si="313"/>
        <v>0</v>
      </c>
      <c r="N655" s="28">
        <f t="shared" si="313"/>
        <v>0</v>
      </c>
      <c r="O655" s="27" t="s">
        <v>1702</v>
      </c>
      <c r="P655" s="29" t="s">
        <v>34</v>
      </c>
      <c r="Q655" s="30" t="s">
        <v>606</v>
      </c>
    </row>
    <row r="656" spans="1:17" ht="69.75" x14ac:dyDescent="0.25">
      <c r="A656" s="25" t="s">
        <v>1719</v>
      </c>
      <c r="B656" s="26" t="s">
        <v>1704</v>
      </c>
      <c r="C656" s="27"/>
      <c r="D656" s="27"/>
      <c r="E656" s="31">
        <v>0</v>
      </c>
      <c r="F656" s="31">
        <v>0</v>
      </c>
      <c r="G656" s="31">
        <v>0</v>
      </c>
      <c r="H656" s="31">
        <v>0</v>
      </c>
      <c r="I656" s="31">
        <v>0</v>
      </c>
      <c r="J656" s="31">
        <v>0</v>
      </c>
      <c r="K656" s="31">
        <v>0</v>
      </c>
      <c r="L656" s="31">
        <v>0</v>
      </c>
      <c r="M656" s="31">
        <v>0</v>
      </c>
      <c r="N656" s="31">
        <v>0</v>
      </c>
      <c r="O656" s="27"/>
      <c r="P656" s="29"/>
      <c r="Q656" s="30"/>
    </row>
    <row r="657" spans="1:17" ht="93" x14ac:dyDescent="0.25">
      <c r="A657" s="25" t="s">
        <v>1720</v>
      </c>
      <c r="B657" s="26" t="s">
        <v>1721</v>
      </c>
      <c r="C657" s="27" t="s">
        <v>102</v>
      </c>
      <c r="D657" s="27" t="s">
        <v>781</v>
      </c>
      <c r="E657" s="28">
        <f>SUM(E658:E658)+1430</f>
        <v>1430</v>
      </c>
      <c r="F657" s="28">
        <f>SUM(F658:F658)+1430</f>
        <v>1430</v>
      </c>
      <c r="G657" s="28">
        <f t="shared" ref="G657:N657" si="314">SUM(G658:G658)</f>
        <v>0</v>
      </c>
      <c r="H657" s="28">
        <f t="shared" si="314"/>
        <v>0</v>
      </c>
      <c r="I657" s="28">
        <f t="shared" si="314"/>
        <v>0</v>
      </c>
      <c r="J657" s="28">
        <f t="shared" si="314"/>
        <v>0</v>
      </c>
      <c r="K657" s="28">
        <f t="shared" si="314"/>
        <v>0</v>
      </c>
      <c r="L657" s="28">
        <f t="shared" si="314"/>
        <v>0</v>
      </c>
      <c r="M657" s="28">
        <f t="shared" si="314"/>
        <v>0</v>
      </c>
      <c r="N657" s="28">
        <f t="shared" si="314"/>
        <v>0</v>
      </c>
      <c r="O657" s="27" t="s">
        <v>1702</v>
      </c>
      <c r="P657" s="29" t="s">
        <v>34</v>
      </c>
      <c r="Q657" s="30" t="s">
        <v>1450</v>
      </c>
    </row>
    <row r="658" spans="1:17" ht="69.75" x14ac:dyDescent="0.25">
      <c r="A658" s="25" t="s">
        <v>1722</v>
      </c>
      <c r="B658" s="26" t="s">
        <v>1704</v>
      </c>
      <c r="C658" s="27"/>
      <c r="D658" s="27"/>
      <c r="E658" s="31">
        <v>0</v>
      </c>
      <c r="F658" s="31">
        <v>0</v>
      </c>
      <c r="G658" s="31">
        <v>0</v>
      </c>
      <c r="H658" s="31">
        <v>0</v>
      </c>
      <c r="I658" s="31">
        <v>0</v>
      </c>
      <c r="J658" s="31">
        <v>0</v>
      </c>
      <c r="K658" s="31">
        <v>0</v>
      </c>
      <c r="L658" s="31">
        <v>0</v>
      </c>
      <c r="M658" s="31">
        <v>0</v>
      </c>
      <c r="N658" s="31">
        <v>0</v>
      </c>
      <c r="O658" s="27"/>
      <c r="P658" s="29"/>
      <c r="Q658" s="30"/>
    </row>
    <row r="659" spans="1:17" ht="93" x14ac:dyDescent="0.25">
      <c r="A659" s="25" t="s">
        <v>1723</v>
      </c>
      <c r="B659" s="26" t="s">
        <v>1724</v>
      </c>
      <c r="C659" s="27" t="s">
        <v>786</v>
      </c>
      <c r="D659" s="27" t="s">
        <v>787</v>
      </c>
      <c r="E659" s="28">
        <f>SUM(E660:E660)+2160</f>
        <v>2160</v>
      </c>
      <c r="F659" s="28">
        <f>SUM(F660:F660)+2160</f>
        <v>2160</v>
      </c>
      <c r="G659" s="28">
        <f t="shared" ref="G659:N659" si="315">SUM(G660:G660)</f>
        <v>0</v>
      </c>
      <c r="H659" s="28">
        <f t="shared" si="315"/>
        <v>0</v>
      </c>
      <c r="I659" s="28">
        <f t="shared" si="315"/>
        <v>0</v>
      </c>
      <c r="J659" s="28">
        <f t="shared" si="315"/>
        <v>0</v>
      </c>
      <c r="K659" s="28">
        <f t="shared" si="315"/>
        <v>0</v>
      </c>
      <c r="L659" s="28">
        <f t="shared" si="315"/>
        <v>0</v>
      </c>
      <c r="M659" s="28">
        <f t="shared" si="315"/>
        <v>0</v>
      </c>
      <c r="N659" s="28">
        <f t="shared" si="315"/>
        <v>0</v>
      </c>
      <c r="O659" s="27" t="s">
        <v>1702</v>
      </c>
      <c r="P659" s="29" t="s">
        <v>34</v>
      </c>
      <c r="Q659" s="30" t="s">
        <v>160</v>
      </c>
    </row>
    <row r="660" spans="1:17" ht="69.75" x14ac:dyDescent="0.25">
      <c r="A660" s="25" t="s">
        <v>1725</v>
      </c>
      <c r="B660" s="26" t="s">
        <v>1704</v>
      </c>
      <c r="C660" s="27"/>
      <c r="D660" s="27"/>
      <c r="E660" s="31">
        <v>0</v>
      </c>
      <c r="F660" s="31">
        <v>0</v>
      </c>
      <c r="G660" s="31">
        <v>0</v>
      </c>
      <c r="H660" s="31">
        <v>0</v>
      </c>
      <c r="I660" s="31">
        <v>0</v>
      </c>
      <c r="J660" s="31">
        <v>0</v>
      </c>
      <c r="K660" s="31">
        <v>0</v>
      </c>
      <c r="L660" s="31">
        <v>0</v>
      </c>
      <c r="M660" s="31">
        <v>0</v>
      </c>
      <c r="N660" s="31">
        <v>0</v>
      </c>
      <c r="O660" s="27"/>
      <c r="P660" s="29"/>
      <c r="Q660" s="30"/>
    </row>
    <row r="661" spans="1:17" ht="93" x14ac:dyDescent="0.25">
      <c r="A661" s="25" t="s">
        <v>1726</v>
      </c>
      <c r="B661" s="26" t="s">
        <v>1727</v>
      </c>
      <c r="C661" s="27" t="s">
        <v>792</v>
      </c>
      <c r="D661" s="27" t="s">
        <v>793</v>
      </c>
      <c r="E661" s="28">
        <f>SUM(E662:E662)+850</f>
        <v>850</v>
      </c>
      <c r="F661" s="28">
        <f>SUM(F662:F662)+850</f>
        <v>850</v>
      </c>
      <c r="G661" s="28">
        <f t="shared" ref="G661:N661" si="316">SUM(G662:G662)</f>
        <v>0</v>
      </c>
      <c r="H661" s="28">
        <f t="shared" si="316"/>
        <v>0</v>
      </c>
      <c r="I661" s="28">
        <f t="shared" si="316"/>
        <v>0</v>
      </c>
      <c r="J661" s="28">
        <f t="shared" si="316"/>
        <v>0</v>
      </c>
      <c r="K661" s="28">
        <f t="shared" si="316"/>
        <v>0</v>
      </c>
      <c r="L661" s="28">
        <f t="shared" si="316"/>
        <v>0</v>
      </c>
      <c r="M661" s="28">
        <f t="shared" si="316"/>
        <v>0</v>
      </c>
      <c r="N661" s="28">
        <f t="shared" si="316"/>
        <v>0</v>
      </c>
      <c r="O661" s="27" t="s">
        <v>1702</v>
      </c>
      <c r="P661" s="29" t="s">
        <v>34</v>
      </c>
      <c r="Q661" s="30" t="s">
        <v>59</v>
      </c>
    </row>
    <row r="662" spans="1:17" ht="69.75" x14ac:dyDescent="0.25">
      <c r="A662" s="25" t="s">
        <v>1728</v>
      </c>
      <c r="B662" s="26" t="s">
        <v>1704</v>
      </c>
      <c r="C662" s="27"/>
      <c r="D662" s="27"/>
      <c r="E662" s="31">
        <v>0</v>
      </c>
      <c r="F662" s="31">
        <v>0</v>
      </c>
      <c r="G662" s="31">
        <v>0</v>
      </c>
      <c r="H662" s="31">
        <v>0</v>
      </c>
      <c r="I662" s="31">
        <v>0</v>
      </c>
      <c r="J662" s="31">
        <v>0</v>
      </c>
      <c r="K662" s="31">
        <v>0</v>
      </c>
      <c r="L662" s="31">
        <v>0</v>
      </c>
      <c r="M662" s="31">
        <v>0</v>
      </c>
      <c r="N662" s="31">
        <v>0</v>
      </c>
      <c r="O662" s="27"/>
      <c r="P662" s="29"/>
      <c r="Q662" s="30"/>
    </row>
    <row r="663" spans="1:17" ht="93" x14ac:dyDescent="0.25">
      <c r="A663" s="25" t="s">
        <v>1729</v>
      </c>
      <c r="B663" s="26" t="s">
        <v>1730</v>
      </c>
      <c r="C663" s="27" t="s">
        <v>798</v>
      </c>
      <c r="D663" s="27" t="s">
        <v>799</v>
      </c>
      <c r="E663" s="28">
        <f>SUM(E664:E664)+2640</f>
        <v>2640</v>
      </c>
      <c r="F663" s="28">
        <f>SUM(F664:F664)+2640</f>
        <v>2640</v>
      </c>
      <c r="G663" s="28">
        <f t="shared" ref="G663:N663" si="317">SUM(G664:G664)</f>
        <v>0</v>
      </c>
      <c r="H663" s="28">
        <f t="shared" si="317"/>
        <v>0</v>
      </c>
      <c r="I663" s="28">
        <f t="shared" si="317"/>
        <v>0</v>
      </c>
      <c r="J663" s="28">
        <f t="shared" si="317"/>
        <v>0</v>
      </c>
      <c r="K663" s="28">
        <f t="shared" si="317"/>
        <v>0</v>
      </c>
      <c r="L663" s="28">
        <f t="shared" si="317"/>
        <v>0</v>
      </c>
      <c r="M663" s="28">
        <f t="shared" si="317"/>
        <v>0</v>
      </c>
      <c r="N663" s="28">
        <f t="shared" si="317"/>
        <v>0</v>
      </c>
      <c r="O663" s="27" t="s">
        <v>1702</v>
      </c>
      <c r="P663" s="29" t="s">
        <v>34</v>
      </c>
      <c r="Q663" s="30" t="s">
        <v>93</v>
      </c>
    </row>
    <row r="664" spans="1:17" ht="69.75" x14ac:dyDescent="0.25">
      <c r="A664" s="25" t="s">
        <v>1731</v>
      </c>
      <c r="B664" s="26" t="s">
        <v>1704</v>
      </c>
      <c r="C664" s="27"/>
      <c r="D664" s="27"/>
      <c r="E664" s="31">
        <v>0</v>
      </c>
      <c r="F664" s="31">
        <v>0</v>
      </c>
      <c r="G664" s="31">
        <v>0</v>
      </c>
      <c r="H664" s="31">
        <v>0</v>
      </c>
      <c r="I664" s="31">
        <v>0</v>
      </c>
      <c r="J664" s="31">
        <v>0</v>
      </c>
      <c r="K664" s="31">
        <v>0</v>
      </c>
      <c r="L664" s="31">
        <v>0</v>
      </c>
      <c r="M664" s="31">
        <v>0</v>
      </c>
      <c r="N664" s="31">
        <v>0</v>
      </c>
      <c r="O664" s="27"/>
      <c r="P664" s="29"/>
      <c r="Q664" s="30"/>
    </row>
    <row r="665" spans="1:17" ht="93" x14ac:dyDescent="0.25">
      <c r="A665" s="25" t="s">
        <v>1732</v>
      </c>
      <c r="B665" s="26" t="s">
        <v>1733</v>
      </c>
      <c r="C665" s="27" t="s">
        <v>806</v>
      </c>
      <c r="D665" s="27" t="s">
        <v>807</v>
      </c>
      <c r="E665" s="28">
        <f>SUM(E666:E666)+1450</f>
        <v>1450</v>
      </c>
      <c r="F665" s="28">
        <f>SUM(F666:F666)+1450</f>
        <v>1450</v>
      </c>
      <c r="G665" s="28">
        <f t="shared" ref="G665:N665" si="318">SUM(G666:G666)</f>
        <v>0</v>
      </c>
      <c r="H665" s="28">
        <f t="shared" si="318"/>
        <v>0</v>
      </c>
      <c r="I665" s="28">
        <f t="shared" si="318"/>
        <v>0</v>
      </c>
      <c r="J665" s="28">
        <f t="shared" si="318"/>
        <v>0</v>
      </c>
      <c r="K665" s="28">
        <f t="shared" si="318"/>
        <v>0</v>
      </c>
      <c r="L665" s="28">
        <f t="shared" si="318"/>
        <v>0</v>
      </c>
      <c r="M665" s="28">
        <f t="shared" si="318"/>
        <v>0</v>
      </c>
      <c r="N665" s="28">
        <f t="shared" si="318"/>
        <v>0</v>
      </c>
      <c r="O665" s="27" t="s">
        <v>1702</v>
      </c>
      <c r="P665" s="29" t="s">
        <v>34</v>
      </c>
      <c r="Q665" s="30" t="s">
        <v>246</v>
      </c>
    </row>
    <row r="666" spans="1:17" ht="69.75" x14ac:dyDescent="0.25">
      <c r="A666" s="25" t="s">
        <v>1734</v>
      </c>
      <c r="B666" s="26" t="s">
        <v>1704</v>
      </c>
      <c r="C666" s="27"/>
      <c r="D666" s="27"/>
      <c r="E666" s="31">
        <v>0</v>
      </c>
      <c r="F666" s="31">
        <v>0</v>
      </c>
      <c r="G666" s="31">
        <v>0</v>
      </c>
      <c r="H666" s="31">
        <v>0</v>
      </c>
      <c r="I666" s="31">
        <v>0</v>
      </c>
      <c r="J666" s="31">
        <v>0</v>
      </c>
      <c r="K666" s="31">
        <v>0</v>
      </c>
      <c r="L666" s="31">
        <v>0</v>
      </c>
      <c r="M666" s="31">
        <v>0</v>
      </c>
      <c r="N666" s="31">
        <v>0</v>
      </c>
      <c r="O666" s="27"/>
      <c r="P666" s="29"/>
      <c r="Q666" s="30"/>
    </row>
    <row r="667" spans="1:17" ht="93" x14ac:dyDescent="0.25">
      <c r="A667" s="25" t="s">
        <v>1735</v>
      </c>
      <c r="B667" s="26" t="s">
        <v>1736</v>
      </c>
      <c r="C667" s="27" t="s">
        <v>812</v>
      </c>
      <c r="D667" s="27" t="s">
        <v>813</v>
      </c>
      <c r="E667" s="28">
        <f>SUM(E668:E668)+1400</f>
        <v>1400</v>
      </c>
      <c r="F667" s="28">
        <f>SUM(F668:F668)+1400</f>
        <v>1400</v>
      </c>
      <c r="G667" s="28">
        <f t="shared" ref="G667:N667" si="319">SUM(G668:G668)</f>
        <v>0</v>
      </c>
      <c r="H667" s="28">
        <f t="shared" si="319"/>
        <v>0</v>
      </c>
      <c r="I667" s="28">
        <f t="shared" si="319"/>
        <v>0</v>
      </c>
      <c r="J667" s="28">
        <f t="shared" si="319"/>
        <v>0</v>
      </c>
      <c r="K667" s="28">
        <f t="shared" si="319"/>
        <v>0</v>
      </c>
      <c r="L667" s="28">
        <f t="shared" si="319"/>
        <v>0</v>
      </c>
      <c r="M667" s="28">
        <f t="shared" si="319"/>
        <v>0</v>
      </c>
      <c r="N667" s="28">
        <f t="shared" si="319"/>
        <v>0</v>
      </c>
      <c r="O667" s="27" t="s">
        <v>1702</v>
      </c>
      <c r="P667" s="29" t="s">
        <v>34</v>
      </c>
      <c r="Q667" s="30" t="s">
        <v>59</v>
      </c>
    </row>
    <row r="668" spans="1:17" ht="69.75" x14ac:dyDescent="0.25">
      <c r="A668" s="25" t="s">
        <v>1737</v>
      </c>
      <c r="B668" s="26" t="s">
        <v>1704</v>
      </c>
      <c r="C668" s="27"/>
      <c r="D668" s="27"/>
      <c r="E668" s="31">
        <v>0</v>
      </c>
      <c r="F668" s="31">
        <v>0</v>
      </c>
      <c r="G668" s="31">
        <v>0</v>
      </c>
      <c r="H668" s="31">
        <v>0</v>
      </c>
      <c r="I668" s="31">
        <v>0</v>
      </c>
      <c r="J668" s="31">
        <v>0</v>
      </c>
      <c r="K668" s="31">
        <v>0</v>
      </c>
      <c r="L668" s="31">
        <v>0</v>
      </c>
      <c r="M668" s="31">
        <v>0</v>
      </c>
      <c r="N668" s="31">
        <v>0</v>
      </c>
      <c r="O668" s="27"/>
      <c r="P668" s="29"/>
      <c r="Q668" s="30"/>
    </row>
    <row r="669" spans="1:17" ht="93" x14ac:dyDescent="0.25">
      <c r="A669" s="25" t="s">
        <v>1738</v>
      </c>
      <c r="B669" s="26" t="s">
        <v>1739</v>
      </c>
      <c r="C669" s="27" t="s">
        <v>818</v>
      </c>
      <c r="D669" s="27" t="s">
        <v>819</v>
      </c>
      <c r="E669" s="28">
        <f>SUM(E670:E670)+8800</f>
        <v>8800</v>
      </c>
      <c r="F669" s="28">
        <f>SUM(F670:F670)+8800</f>
        <v>8800</v>
      </c>
      <c r="G669" s="28">
        <f t="shared" ref="G669:N669" si="320">SUM(G670:G670)</f>
        <v>0</v>
      </c>
      <c r="H669" s="28">
        <f t="shared" si="320"/>
        <v>0</v>
      </c>
      <c r="I669" s="28">
        <f t="shared" si="320"/>
        <v>0</v>
      </c>
      <c r="J669" s="28">
        <f t="shared" si="320"/>
        <v>0</v>
      </c>
      <c r="K669" s="28">
        <f t="shared" si="320"/>
        <v>0</v>
      </c>
      <c r="L669" s="28">
        <f t="shared" si="320"/>
        <v>0</v>
      </c>
      <c r="M669" s="28">
        <f t="shared" si="320"/>
        <v>0</v>
      </c>
      <c r="N669" s="28">
        <f t="shared" si="320"/>
        <v>0</v>
      </c>
      <c r="O669" s="27" t="s">
        <v>1702</v>
      </c>
      <c r="P669" s="29" t="s">
        <v>34</v>
      </c>
      <c r="Q669" s="30" t="s">
        <v>1740</v>
      </c>
    </row>
    <row r="670" spans="1:17" ht="69.75" x14ac:dyDescent="0.25">
      <c r="A670" s="25" t="s">
        <v>1741</v>
      </c>
      <c r="B670" s="26" t="s">
        <v>1704</v>
      </c>
      <c r="C670" s="27"/>
      <c r="D670" s="27"/>
      <c r="E670" s="31">
        <v>0</v>
      </c>
      <c r="F670" s="31">
        <v>0</v>
      </c>
      <c r="G670" s="31">
        <v>0</v>
      </c>
      <c r="H670" s="31">
        <v>0</v>
      </c>
      <c r="I670" s="31">
        <v>0</v>
      </c>
      <c r="J670" s="31">
        <v>0</v>
      </c>
      <c r="K670" s="31">
        <v>0</v>
      </c>
      <c r="L670" s="31">
        <v>0</v>
      </c>
      <c r="M670" s="31">
        <v>0</v>
      </c>
      <c r="N670" s="31">
        <v>0</v>
      </c>
      <c r="O670" s="27"/>
      <c r="P670" s="29"/>
      <c r="Q670" s="30"/>
    </row>
    <row r="671" spans="1:17" ht="93" x14ac:dyDescent="0.25">
      <c r="A671" s="25" t="s">
        <v>1742</v>
      </c>
      <c r="B671" s="26" t="s">
        <v>1743</v>
      </c>
      <c r="C671" s="27" t="s">
        <v>824</v>
      </c>
      <c r="D671" s="27" t="s">
        <v>825</v>
      </c>
      <c r="E671" s="28">
        <f>SUM(E672:E672)+1930</f>
        <v>1930</v>
      </c>
      <c r="F671" s="28">
        <f>SUM(F672:F672)+1930</f>
        <v>1930</v>
      </c>
      <c r="G671" s="28">
        <f t="shared" ref="G671:N671" si="321">SUM(G672:G672)</f>
        <v>0</v>
      </c>
      <c r="H671" s="28">
        <f t="shared" si="321"/>
        <v>0</v>
      </c>
      <c r="I671" s="28">
        <f t="shared" si="321"/>
        <v>0</v>
      </c>
      <c r="J671" s="28">
        <f t="shared" si="321"/>
        <v>0</v>
      </c>
      <c r="K671" s="28">
        <f t="shared" si="321"/>
        <v>0</v>
      </c>
      <c r="L671" s="28">
        <f t="shared" si="321"/>
        <v>0</v>
      </c>
      <c r="M671" s="28">
        <f t="shared" si="321"/>
        <v>0</v>
      </c>
      <c r="N671" s="28">
        <f t="shared" si="321"/>
        <v>0</v>
      </c>
      <c r="O671" s="27" t="s">
        <v>1702</v>
      </c>
      <c r="P671" s="29" t="s">
        <v>34</v>
      </c>
      <c r="Q671" s="30" t="s">
        <v>168</v>
      </c>
    </row>
    <row r="672" spans="1:17" ht="69.75" x14ac:dyDescent="0.25">
      <c r="A672" s="25" t="s">
        <v>1744</v>
      </c>
      <c r="B672" s="26" t="s">
        <v>1704</v>
      </c>
      <c r="C672" s="27"/>
      <c r="D672" s="27"/>
      <c r="E672" s="31">
        <v>0</v>
      </c>
      <c r="F672" s="31">
        <v>0</v>
      </c>
      <c r="G672" s="31">
        <v>0</v>
      </c>
      <c r="H672" s="31">
        <v>0</v>
      </c>
      <c r="I672" s="31">
        <v>0</v>
      </c>
      <c r="J672" s="31">
        <v>0</v>
      </c>
      <c r="K672" s="31">
        <v>0</v>
      </c>
      <c r="L672" s="31">
        <v>0</v>
      </c>
      <c r="M672" s="31">
        <v>0</v>
      </c>
      <c r="N672" s="31">
        <v>0</v>
      </c>
      <c r="O672" s="27"/>
      <c r="P672" s="29"/>
      <c r="Q672" s="30"/>
    </row>
    <row r="673" spans="1:17" ht="56.25" customHeight="1" x14ac:dyDescent="0.25">
      <c r="A673" s="19" t="s">
        <v>1745</v>
      </c>
      <c r="B673" s="20" t="s">
        <v>1746</v>
      </c>
      <c r="C673" s="21" t="s">
        <v>1356</v>
      </c>
      <c r="D673" s="21" t="s">
        <v>1359</v>
      </c>
      <c r="E673" s="22">
        <f t="shared" ref="E673:N673" si="322">SUM(E674:E674)</f>
        <v>15000</v>
      </c>
      <c r="F673" s="22">
        <f t="shared" si="322"/>
        <v>15000</v>
      </c>
      <c r="G673" s="22">
        <f t="shared" si="322"/>
        <v>0</v>
      </c>
      <c r="H673" s="22">
        <f t="shared" si="322"/>
        <v>0</v>
      </c>
      <c r="I673" s="22">
        <f t="shared" si="322"/>
        <v>0</v>
      </c>
      <c r="J673" s="22">
        <f t="shared" si="322"/>
        <v>0</v>
      </c>
      <c r="K673" s="22">
        <f t="shared" si="322"/>
        <v>0</v>
      </c>
      <c r="L673" s="22">
        <f t="shared" si="322"/>
        <v>0</v>
      </c>
      <c r="M673" s="22">
        <f t="shared" si="322"/>
        <v>0</v>
      </c>
      <c r="N673" s="22">
        <f t="shared" si="322"/>
        <v>0</v>
      </c>
      <c r="O673" s="21" t="s">
        <v>1747</v>
      </c>
      <c r="P673" s="23" t="s">
        <v>34</v>
      </c>
      <c r="Q673" s="24" t="s">
        <v>75</v>
      </c>
    </row>
    <row r="674" spans="1:17" ht="46.5" x14ac:dyDescent="0.25">
      <c r="A674" s="25" t="s">
        <v>1748</v>
      </c>
      <c r="B674" s="26" t="s">
        <v>1749</v>
      </c>
      <c r="C674" s="27" t="s">
        <v>1356</v>
      </c>
      <c r="D674" s="27" t="s">
        <v>1448</v>
      </c>
      <c r="E674" s="28">
        <f>SUM(E675:E675)+15000</f>
        <v>15000</v>
      </c>
      <c r="F674" s="28">
        <f>SUM(F675:F675)+15000</f>
        <v>15000</v>
      </c>
      <c r="G674" s="28">
        <f t="shared" ref="G674:N674" si="323">SUM(G675:G675)</f>
        <v>0</v>
      </c>
      <c r="H674" s="28">
        <f t="shared" si="323"/>
        <v>0</v>
      </c>
      <c r="I674" s="28">
        <f t="shared" si="323"/>
        <v>0</v>
      </c>
      <c r="J674" s="28">
        <f t="shared" si="323"/>
        <v>0</v>
      </c>
      <c r="K674" s="28">
        <f t="shared" si="323"/>
        <v>0</v>
      </c>
      <c r="L674" s="28">
        <f t="shared" si="323"/>
        <v>0</v>
      </c>
      <c r="M674" s="28">
        <f t="shared" si="323"/>
        <v>0</v>
      </c>
      <c r="N674" s="28">
        <f t="shared" si="323"/>
        <v>0</v>
      </c>
      <c r="O674" s="27" t="s">
        <v>1750</v>
      </c>
      <c r="P674" s="29" t="s">
        <v>34</v>
      </c>
      <c r="Q674" s="30" t="s">
        <v>75</v>
      </c>
    </row>
    <row r="675" spans="1:17" ht="69.75" x14ac:dyDescent="0.25">
      <c r="A675" s="25" t="s">
        <v>1751</v>
      </c>
      <c r="B675" s="26" t="s">
        <v>1752</v>
      </c>
      <c r="C675" s="27"/>
      <c r="D675" s="27"/>
      <c r="E675" s="31">
        <v>0</v>
      </c>
      <c r="F675" s="31">
        <v>0</v>
      </c>
      <c r="G675" s="31">
        <v>0</v>
      </c>
      <c r="H675" s="31">
        <v>0</v>
      </c>
      <c r="I675" s="31">
        <v>0</v>
      </c>
      <c r="J675" s="31">
        <v>0</v>
      </c>
      <c r="K675" s="31">
        <v>0</v>
      </c>
      <c r="L675" s="31">
        <v>0</v>
      </c>
      <c r="M675" s="31">
        <v>0</v>
      </c>
      <c r="N675" s="31">
        <v>0</v>
      </c>
      <c r="O675" s="27"/>
      <c r="P675" s="29"/>
      <c r="Q675" s="30"/>
    </row>
    <row r="676" spans="1:17" ht="67.5" x14ac:dyDescent="0.25">
      <c r="A676" s="19" t="s">
        <v>1753</v>
      </c>
      <c r="B676" s="20" t="s">
        <v>1754</v>
      </c>
      <c r="C676" s="21" t="s">
        <v>1356</v>
      </c>
      <c r="D676" s="21" t="s">
        <v>1359</v>
      </c>
      <c r="E676" s="22">
        <f t="shared" ref="E676:N676" si="324">E677+E679+E681+E683+E685+E687+E689+E691+E693+E695+E697+E699</f>
        <v>130253.81</v>
      </c>
      <c r="F676" s="22">
        <f t="shared" si="324"/>
        <v>0</v>
      </c>
      <c r="G676" s="22">
        <f t="shared" si="324"/>
        <v>127368.81</v>
      </c>
      <c r="H676" s="22">
        <f t="shared" si="324"/>
        <v>0</v>
      </c>
      <c r="I676" s="22">
        <f t="shared" si="324"/>
        <v>2885</v>
      </c>
      <c r="J676" s="22">
        <f t="shared" si="324"/>
        <v>0</v>
      </c>
      <c r="K676" s="22">
        <f t="shared" si="324"/>
        <v>0</v>
      </c>
      <c r="L676" s="22">
        <f t="shared" si="324"/>
        <v>0</v>
      </c>
      <c r="M676" s="22">
        <f t="shared" si="324"/>
        <v>0</v>
      </c>
      <c r="N676" s="22">
        <f t="shared" si="324"/>
        <v>0</v>
      </c>
      <c r="O676" s="21" t="s">
        <v>1755</v>
      </c>
      <c r="P676" s="23" t="s">
        <v>34</v>
      </c>
      <c r="Q676" s="24" t="s">
        <v>35</v>
      </c>
    </row>
    <row r="677" spans="1:17" ht="46.5" x14ac:dyDescent="0.25">
      <c r="A677" s="25" t="s">
        <v>1756</v>
      </c>
      <c r="B677" s="26" t="s">
        <v>1757</v>
      </c>
      <c r="C677" s="27" t="s">
        <v>861</v>
      </c>
      <c r="D677" s="27" t="s">
        <v>882</v>
      </c>
      <c r="E677" s="28">
        <f>SUM(E678:E678)+2885</f>
        <v>2885</v>
      </c>
      <c r="F677" s="28">
        <f>SUM(F678:F678)</f>
        <v>0</v>
      </c>
      <c r="G677" s="28">
        <f>SUM(G678:G678)</f>
        <v>0</v>
      </c>
      <c r="H677" s="28">
        <f>SUM(H678:H678)</f>
        <v>0</v>
      </c>
      <c r="I677" s="28">
        <f>SUM(I678:I678)+2885</f>
        <v>2885</v>
      </c>
      <c r="J677" s="28">
        <f>SUM(J678:J678)</f>
        <v>0</v>
      </c>
      <c r="K677" s="28">
        <f>SUM(K678:K678)</f>
        <v>0</v>
      </c>
      <c r="L677" s="28">
        <f>SUM(L678:L678)</f>
        <v>0</v>
      </c>
      <c r="M677" s="28">
        <f>SUM(M678:M678)</f>
        <v>0</v>
      </c>
      <c r="N677" s="28">
        <f>SUM(N678:N678)</f>
        <v>0</v>
      </c>
      <c r="O677" s="27" t="s">
        <v>1758</v>
      </c>
      <c r="P677" s="29" t="s">
        <v>34</v>
      </c>
      <c r="Q677" s="30" t="s">
        <v>93</v>
      </c>
    </row>
    <row r="678" spans="1:17" ht="46.5" x14ac:dyDescent="0.25">
      <c r="A678" s="25" t="s">
        <v>1759</v>
      </c>
      <c r="B678" s="26" t="s">
        <v>1760</v>
      </c>
      <c r="C678" s="27"/>
      <c r="D678" s="27"/>
      <c r="E678" s="31">
        <v>0</v>
      </c>
      <c r="F678" s="31">
        <v>0</v>
      </c>
      <c r="G678" s="31">
        <v>0</v>
      </c>
      <c r="H678" s="31">
        <v>0</v>
      </c>
      <c r="I678" s="31">
        <v>0</v>
      </c>
      <c r="J678" s="31">
        <v>0</v>
      </c>
      <c r="K678" s="31">
        <v>0</v>
      </c>
      <c r="L678" s="31">
        <v>0</v>
      </c>
      <c r="M678" s="31">
        <v>0</v>
      </c>
      <c r="N678" s="31">
        <v>0</v>
      </c>
      <c r="O678" s="27"/>
      <c r="P678" s="29"/>
      <c r="Q678" s="30"/>
    </row>
    <row r="679" spans="1:17" ht="46.5" x14ac:dyDescent="0.25">
      <c r="A679" s="25" t="s">
        <v>1761</v>
      </c>
      <c r="B679" s="26" t="s">
        <v>1762</v>
      </c>
      <c r="C679" s="27" t="s">
        <v>818</v>
      </c>
      <c r="D679" s="27" t="s">
        <v>819</v>
      </c>
      <c r="E679" s="28">
        <f>SUM(E680:E680)+72653.15</f>
        <v>72653.149999999994</v>
      </c>
      <c r="F679" s="28">
        <f>SUM(F680:F680)</f>
        <v>0</v>
      </c>
      <c r="G679" s="28">
        <f>SUM(G680:G680)+72653.15</f>
        <v>72653.149999999994</v>
      </c>
      <c r="H679" s="28">
        <f t="shared" ref="H679:N679" si="325">SUM(H680:H680)</f>
        <v>0</v>
      </c>
      <c r="I679" s="28">
        <f t="shared" si="325"/>
        <v>0</v>
      </c>
      <c r="J679" s="28">
        <f t="shared" si="325"/>
        <v>0</v>
      </c>
      <c r="K679" s="28">
        <f t="shared" si="325"/>
        <v>0</v>
      </c>
      <c r="L679" s="28">
        <f t="shared" si="325"/>
        <v>0</v>
      </c>
      <c r="M679" s="28">
        <f t="shared" si="325"/>
        <v>0</v>
      </c>
      <c r="N679" s="28">
        <f t="shared" si="325"/>
        <v>0</v>
      </c>
      <c r="O679" s="27" t="s">
        <v>1763</v>
      </c>
      <c r="P679" s="29" t="s">
        <v>34</v>
      </c>
      <c r="Q679" s="30" t="s">
        <v>59</v>
      </c>
    </row>
    <row r="680" spans="1:17" ht="69.75" x14ac:dyDescent="0.25">
      <c r="A680" s="25" t="s">
        <v>1764</v>
      </c>
      <c r="B680" s="26" t="s">
        <v>1765</v>
      </c>
      <c r="C680" s="27"/>
      <c r="D680" s="27"/>
      <c r="E680" s="31">
        <v>0</v>
      </c>
      <c r="F680" s="31">
        <v>0</v>
      </c>
      <c r="G680" s="31">
        <v>0</v>
      </c>
      <c r="H680" s="31">
        <v>0</v>
      </c>
      <c r="I680" s="31">
        <v>0</v>
      </c>
      <c r="J680" s="31">
        <v>0</v>
      </c>
      <c r="K680" s="31">
        <v>0</v>
      </c>
      <c r="L680" s="31">
        <v>0</v>
      </c>
      <c r="M680" s="31">
        <v>0</v>
      </c>
      <c r="N680" s="31">
        <v>0</v>
      </c>
      <c r="O680" s="27"/>
      <c r="P680" s="29"/>
      <c r="Q680" s="30"/>
    </row>
    <row r="681" spans="1:17" ht="46.5" x14ac:dyDescent="0.25">
      <c r="A681" s="25" t="s">
        <v>1766</v>
      </c>
      <c r="B681" s="26" t="s">
        <v>1767</v>
      </c>
      <c r="C681" s="27" t="s">
        <v>754</v>
      </c>
      <c r="D681" s="27" t="s">
        <v>755</v>
      </c>
      <c r="E681" s="28">
        <f>SUM(E682:E682)+6997.47</f>
        <v>6997.47</v>
      </c>
      <c r="F681" s="28">
        <f>SUM(F682:F682)</f>
        <v>0</v>
      </c>
      <c r="G681" s="28">
        <f>SUM(G682:G682)+6997.47</f>
        <v>6997.47</v>
      </c>
      <c r="H681" s="28">
        <f t="shared" ref="H681:N681" si="326">SUM(H682:H682)</f>
        <v>0</v>
      </c>
      <c r="I681" s="28">
        <f t="shared" si="326"/>
        <v>0</v>
      </c>
      <c r="J681" s="28">
        <f t="shared" si="326"/>
        <v>0</v>
      </c>
      <c r="K681" s="28">
        <f t="shared" si="326"/>
        <v>0</v>
      </c>
      <c r="L681" s="28">
        <f t="shared" si="326"/>
        <v>0</v>
      </c>
      <c r="M681" s="28">
        <f t="shared" si="326"/>
        <v>0</v>
      </c>
      <c r="N681" s="28">
        <f t="shared" si="326"/>
        <v>0</v>
      </c>
      <c r="O681" s="27" t="s">
        <v>1763</v>
      </c>
      <c r="P681" s="29" t="s">
        <v>34</v>
      </c>
      <c r="Q681" s="30" t="s">
        <v>75</v>
      </c>
    </row>
    <row r="682" spans="1:17" ht="69.75" x14ac:dyDescent="0.25">
      <c r="A682" s="25" t="s">
        <v>1768</v>
      </c>
      <c r="B682" s="26" t="s">
        <v>1765</v>
      </c>
      <c r="C682" s="27"/>
      <c r="D682" s="27"/>
      <c r="E682" s="31">
        <v>0</v>
      </c>
      <c r="F682" s="31">
        <v>0</v>
      </c>
      <c r="G682" s="31">
        <v>0</v>
      </c>
      <c r="H682" s="31">
        <v>0</v>
      </c>
      <c r="I682" s="31">
        <v>0</v>
      </c>
      <c r="J682" s="31">
        <v>0</v>
      </c>
      <c r="K682" s="31">
        <v>0</v>
      </c>
      <c r="L682" s="31">
        <v>0</v>
      </c>
      <c r="M682" s="31">
        <v>0</v>
      </c>
      <c r="N682" s="31">
        <v>0</v>
      </c>
      <c r="O682" s="27"/>
      <c r="P682" s="29"/>
      <c r="Q682" s="30"/>
    </row>
    <row r="683" spans="1:17" ht="69.75" x14ac:dyDescent="0.25">
      <c r="A683" s="25" t="s">
        <v>1769</v>
      </c>
      <c r="B683" s="26" t="s">
        <v>1770</v>
      </c>
      <c r="C683" s="27" t="s">
        <v>85</v>
      </c>
      <c r="D683" s="27" t="s">
        <v>760</v>
      </c>
      <c r="E683" s="28">
        <f>SUM(E684:E684)+7359.81</f>
        <v>7359.81</v>
      </c>
      <c r="F683" s="28">
        <f>SUM(F684:F684)</f>
        <v>0</v>
      </c>
      <c r="G683" s="28">
        <f>SUM(G684:G684)+7359.81</f>
        <v>7359.81</v>
      </c>
      <c r="H683" s="28">
        <f t="shared" ref="H683:N683" si="327">SUM(H684:H684)</f>
        <v>0</v>
      </c>
      <c r="I683" s="28">
        <f t="shared" si="327"/>
        <v>0</v>
      </c>
      <c r="J683" s="28">
        <f t="shared" si="327"/>
        <v>0</v>
      </c>
      <c r="K683" s="28">
        <f t="shared" si="327"/>
        <v>0</v>
      </c>
      <c r="L683" s="28">
        <f t="shared" si="327"/>
        <v>0</v>
      </c>
      <c r="M683" s="28">
        <f t="shared" si="327"/>
        <v>0</v>
      </c>
      <c r="N683" s="28">
        <f t="shared" si="327"/>
        <v>0</v>
      </c>
      <c r="O683" s="27" t="s">
        <v>1771</v>
      </c>
      <c r="P683" s="29" t="s">
        <v>34</v>
      </c>
      <c r="Q683" s="30" t="s">
        <v>75</v>
      </c>
    </row>
    <row r="684" spans="1:17" ht="69.75" x14ac:dyDescent="0.25">
      <c r="A684" s="25" t="s">
        <v>1772</v>
      </c>
      <c r="B684" s="26" t="s">
        <v>1765</v>
      </c>
      <c r="C684" s="27"/>
      <c r="D684" s="27"/>
      <c r="E684" s="31">
        <v>0</v>
      </c>
      <c r="F684" s="31">
        <v>0</v>
      </c>
      <c r="G684" s="31">
        <v>0</v>
      </c>
      <c r="H684" s="31">
        <v>0</v>
      </c>
      <c r="I684" s="31">
        <v>0</v>
      </c>
      <c r="J684" s="31">
        <v>0</v>
      </c>
      <c r="K684" s="31">
        <v>0</v>
      </c>
      <c r="L684" s="31">
        <v>0</v>
      </c>
      <c r="M684" s="31">
        <v>0</v>
      </c>
      <c r="N684" s="31">
        <v>0</v>
      </c>
      <c r="O684" s="27"/>
      <c r="P684" s="29"/>
      <c r="Q684" s="30"/>
    </row>
    <row r="685" spans="1:17" ht="46.5" x14ac:dyDescent="0.25">
      <c r="A685" s="25" t="s">
        <v>1773</v>
      </c>
      <c r="B685" s="26" t="s">
        <v>1774</v>
      </c>
      <c r="C685" s="27" t="s">
        <v>765</v>
      </c>
      <c r="D685" s="27" t="s">
        <v>766</v>
      </c>
      <c r="E685" s="28">
        <f>SUM(E686:E686)+1566.93</f>
        <v>1566.93</v>
      </c>
      <c r="F685" s="28">
        <f>SUM(F686:F686)</f>
        <v>0</v>
      </c>
      <c r="G685" s="28">
        <f>SUM(G686:G686)+1566.93</f>
        <v>1566.93</v>
      </c>
      <c r="H685" s="28">
        <f t="shared" ref="H685:N685" si="328">SUM(H686:H686)</f>
        <v>0</v>
      </c>
      <c r="I685" s="28">
        <f t="shared" si="328"/>
        <v>0</v>
      </c>
      <c r="J685" s="28">
        <f t="shared" si="328"/>
        <v>0</v>
      </c>
      <c r="K685" s="28">
        <f t="shared" si="328"/>
        <v>0</v>
      </c>
      <c r="L685" s="28">
        <f t="shared" si="328"/>
        <v>0</v>
      </c>
      <c r="M685" s="28">
        <f t="shared" si="328"/>
        <v>0</v>
      </c>
      <c r="N685" s="28">
        <f t="shared" si="328"/>
        <v>0</v>
      </c>
      <c r="O685" s="27" t="s">
        <v>1763</v>
      </c>
      <c r="P685" s="29" t="s">
        <v>34</v>
      </c>
      <c r="Q685" s="30" t="s">
        <v>75</v>
      </c>
    </row>
    <row r="686" spans="1:17" ht="69.75" x14ac:dyDescent="0.25">
      <c r="A686" s="25" t="s">
        <v>1775</v>
      </c>
      <c r="B686" s="26" t="s">
        <v>1765</v>
      </c>
      <c r="C686" s="27"/>
      <c r="D686" s="27"/>
      <c r="E686" s="31">
        <v>0</v>
      </c>
      <c r="F686" s="31">
        <v>0</v>
      </c>
      <c r="G686" s="31">
        <v>0</v>
      </c>
      <c r="H686" s="31">
        <v>0</v>
      </c>
      <c r="I686" s="31">
        <v>0</v>
      </c>
      <c r="J686" s="31">
        <v>0</v>
      </c>
      <c r="K686" s="31">
        <v>0</v>
      </c>
      <c r="L686" s="31">
        <v>0</v>
      </c>
      <c r="M686" s="31">
        <v>0</v>
      </c>
      <c r="N686" s="31">
        <v>0</v>
      </c>
      <c r="O686" s="27"/>
      <c r="P686" s="29"/>
      <c r="Q686" s="30"/>
    </row>
    <row r="687" spans="1:17" ht="46.5" x14ac:dyDescent="0.25">
      <c r="A687" s="25" t="s">
        <v>1776</v>
      </c>
      <c r="B687" s="26" t="s">
        <v>1777</v>
      </c>
      <c r="C687" s="27" t="s">
        <v>92</v>
      </c>
      <c r="D687" s="27" t="s">
        <v>771</v>
      </c>
      <c r="E687" s="28">
        <f>SUM(E688:E688)+1740.96</f>
        <v>1740.96</v>
      </c>
      <c r="F687" s="28">
        <f>SUM(F688:F688)</f>
        <v>0</v>
      </c>
      <c r="G687" s="28">
        <f>SUM(G688:G688)+1740.96</f>
        <v>1740.96</v>
      </c>
      <c r="H687" s="28">
        <f t="shared" ref="H687:N687" si="329">SUM(H688:H688)</f>
        <v>0</v>
      </c>
      <c r="I687" s="28">
        <f t="shared" si="329"/>
        <v>0</v>
      </c>
      <c r="J687" s="28">
        <f t="shared" si="329"/>
        <v>0</v>
      </c>
      <c r="K687" s="28">
        <f t="shared" si="329"/>
        <v>0</v>
      </c>
      <c r="L687" s="28">
        <f t="shared" si="329"/>
        <v>0</v>
      </c>
      <c r="M687" s="28">
        <f t="shared" si="329"/>
        <v>0</v>
      </c>
      <c r="N687" s="28">
        <f t="shared" si="329"/>
        <v>0</v>
      </c>
      <c r="O687" s="27" t="s">
        <v>1763</v>
      </c>
      <c r="P687" s="29" t="s">
        <v>34</v>
      </c>
      <c r="Q687" s="30" t="s">
        <v>75</v>
      </c>
    </row>
    <row r="688" spans="1:17" ht="69.75" x14ac:dyDescent="0.25">
      <c r="A688" s="25" t="s">
        <v>1778</v>
      </c>
      <c r="B688" s="26" t="s">
        <v>1765</v>
      </c>
      <c r="C688" s="27"/>
      <c r="D688" s="27"/>
      <c r="E688" s="31">
        <v>0</v>
      </c>
      <c r="F688" s="31">
        <v>0</v>
      </c>
      <c r="G688" s="31">
        <v>0</v>
      </c>
      <c r="H688" s="31">
        <v>0</v>
      </c>
      <c r="I688" s="31">
        <v>0</v>
      </c>
      <c r="J688" s="31">
        <v>0</v>
      </c>
      <c r="K688" s="31">
        <v>0</v>
      </c>
      <c r="L688" s="31">
        <v>0</v>
      </c>
      <c r="M688" s="31">
        <v>0</v>
      </c>
      <c r="N688" s="31">
        <v>0</v>
      </c>
      <c r="O688" s="27"/>
      <c r="P688" s="29"/>
      <c r="Q688" s="30"/>
    </row>
    <row r="689" spans="1:17" ht="69.75" x14ac:dyDescent="0.25">
      <c r="A689" s="25" t="s">
        <v>1779</v>
      </c>
      <c r="B689" s="26" t="s">
        <v>1780</v>
      </c>
      <c r="C689" s="27" t="s">
        <v>97</v>
      </c>
      <c r="D689" s="27" t="s">
        <v>776</v>
      </c>
      <c r="E689" s="28">
        <f>SUM(E690:E690)+8665.52</f>
        <v>8665.52</v>
      </c>
      <c r="F689" s="28">
        <f>SUM(F690:F690)</f>
        <v>0</v>
      </c>
      <c r="G689" s="28">
        <f>SUM(G690:G690)+8665.52</f>
        <v>8665.52</v>
      </c>
      <c r="H689" s="28">
        <f t="shared" ref="H689:N689" si="330">SUM(H690:H690)</f>
        <v>0</v>
      </c>
      <c r="I689" s="28">
        <f t="shared" si="330"/>
        <v>0</v>
      </c>
      <c r="J689" s="28">
        <f t="shared" si="330"/>
        <v>0</v>
      </c>
      <c r="K689" s="28">
        <f t="shared" si="330"/>
        <v>0</v>
      </c>
      <c r="L689" s="28">
        <f t="shared" si="330"/>
        <v>0</v>
      </c>
      <c r="M689" s="28">
        <f t="shared" si="330"/>
        <v>0</v>
      </c>
      <c r="N689" s="28">
        <f t="shared" si="330"/>
        <v>0</v>
      </c>
      <c r="O689" s="27" t="s">
        <v>1763</v>
      </c>
      <c r="P689" s="29" t="s">
        <v>34</v>
      </c>
      <c r="Q689" s="30" t="s">
        <v>184</v>
      </c>
    </row>
    <row r="690" spans="1:17" ht="69.75" x14ac:dyDescent="0.25">
      <c r="A690" s="25" t="s">
        <v>1781</v>
      </c>
      <c r="B690" s="26" t="s">
        <v>1765</v>
      </c>
      <c r="C690" s="27"/>
      <c r="D690" s="27"/>
      <c r="E690" s="31">
        <v>0</v>
      </c>
      <c r="F690" s="31">
        <v>0</v>
      </c>
      <c r="G690" s="31">
        <v>0</v>
      </c>
      <c r="H690" s="31">
        <v>0</v>
      </c>
      <c r="I690" s="31">
        <v>0</v>
      </c>
      <c r="J690" s="31">
        <v>0</v>
      </c>
      <c r="K690" s="31">
        <v>0</v>
      </c>
      <c r="L690" s="31">
        <v>0</v>
      </c>
      <c r="M690" s="31">
        <v>0</v>
      </c>
      <c r="N690" s="31">
        <v>0</v>
      </c>
      <c r="O690" s="27"/>
      <c r="P690" s="29"/>
      <c r="Q690" s="30"/>
    </row>
    <row r="691" spans="1:17" ht="46.5" x14ac:dyDescent="0.25">
      <c r="A691" s="25" t="s">
        <v>1782</v>
      </c>
      <c r="B691" s="26" t="s">
        <v>1783</v>
      </c>
      <c r="C691" s="27" t="s">
        <v>102</v>
      </c>
      <c r="D691" s="27" t="s">
        <v>781</v>
      </c>
      <c r="E691" s="28">
        <f>SUM(E692:E692)+11318.25</f>
        <v>11318.25</v>
      </c>
      <c r="F691" s="28">
        <f>SUM(F692:F692)</f>
        <v>0</v>
      </c>
      <c r="G691" s="28">
        <f>SUM(G692:G692)+11318.25</f>
        <v>11318.25</v>
      </c>
      <c r="H691" s="28">
        <f t="shared" ref="H691:N691" si="331">SUM(H692:H692)</f>
        <v>0</v>
      </c>
      <c r="I691" s="28">
        <f t="shared" si="331"/>
        <v>0</v>
      </c>
      <c r="J691" s="28">
        <f t="shared" si="331"/>
        <v>0</v>
      </c>
      <c r="K691" s="28">
        <f t="shared" si="331"/>
        <v>0</v>
      </c>
      <c r="L691" s="28">
        <f t="shared" si="331"/>
        <v>0</v>
      </c>
      <c r="M691" s="28">
        <f t="shared" si="331"/>
        <v>0</v>
      </c>
      <c r="N691" s="28">
        <f t="shared" si="331"/>
        <v>0</v>
      </c>
      <c r="O691" s="27" t="s">
        <v>1763</v>
      </c>
      <c r="P691" s="29" t="s">
        <v>34</v>
      </c>
      <c r="Q691" s="30" t="s">
        <v>35</v>
      </c>
    </row>
    <row r="692" spans="1:17" ht="69.75" x14ac:dyDescent="0.25">
      <c r="A692" s="25" t="s">
        <v>1784</v>
      </c>
      <c r="B692" s="26" t="s">
        <v>1765</v>
      </c>
      <c r="C692" s="27"/>
      <c r="D692" s="27"/>
      <c r="E692" s="31">
        <v>0</v>
      </c>
      <c r="F692" s="31">
        <v>0</v>
      </c>
      <c r="G692" s="31">
        <v>0</v>
      </c>
      <c r="H692" s="31">
        <v>0</v>
      </c>
      <c r="I692" s="31">
        <v>0</v>
      </c>
      <c r="J692" s="31">
        <v>0</v>
      </c>
      <c r="K692" s="31">
        <v>0</v>
      </c>
      <c r="L692" s="31">
        <v>0</v>
      </c>
      <c r="M692" s="31">
        <v>0</v>
      </c>
      <c r="N692" s="31">
        <v>0</v>
      </c>
      <c r="O692" s="27"/>
      <c r="P692" s="29"/>
      <c r="Q692" s="30"/>
    </row>
    <row r="693" spans="1:17" ht="46.5" x14ac:dyDescent="0.25">
      <c r="A693" s="25" t="s">
        <v>1785</v>
      </c>
      <c r="B693" s="26" t="s">
        <v>1786</v>
      </c>
      <c r="C693" s="27" t="s">
        <v>786</v>
      </c>
      <c r="D693" s="27" t="s">
        <v>787</v>
      </c>
      <c r="E693" s="28">
        <f>SUM(E694:E694)+8202.64</f>
        <v>8202.64</v>
      </c>
      <c r="F693" s="28">
        <f>SUM(F694:F694)</f>
        <v>0</v>
      </c>
      <c r="G693" s="28">
        <f>SUM(G694:G694)+8202.64</f>
        <v>8202.64</v>
      </c>
      <c r="H693" s="28">
        <f t="shared" ref="H693:N693" si="332">SUM(H694:H694)</f>
        <v>0</v>
      </c>
      <c r="I693" s="28">
        <f t="shared" si="332"/>
        <v>0</v>
      </c>
      <c r="J693" s="28">
        <f t="shared" si="332"/>
        <v>0</v>
      </c>
      <c r="K693" s="28">
        <f t="shared" si="332"/>
        <v>0</v>
      </c>
      <c r="L693" s="28">
        <f t="shared" si="332"/>
        <v>0</v>
      </c>
      <c r="M693" s="28">
        <f t="shared" si="332"/>
        <v>0</v>
      </c>
      <c r="N693" s="28">
        <f t="shared" si="332"/>
        <v>0</v>
      </c>
      <c r="O693" s="27" t="s">
        <v>1763</v>
      </c>
      <c r="P693" s="29" t="s">
        <v>34</v>
      </c>
      <c r="Q693" s="30" t="s">
        <v>75</v>
      </c>
    </row>
    <row r="694" spans="1:17" ht="69.75" x14ac:dyDescent="0.25">
      <c r="A694" s="25" t="s">
        <v>1787</v>
      </c>
      <c r="B694" s="26" t="s">
        <v>1765</v>
      </c>
      <c r="C694" s="27"/>
      <c r="D694" s="27"/>
      <c r="E694" s="31">
        <v>0</v>
      </c>
      <c r="F694" s="31">
        <v>0</v>
      </c>
      <c r="G694" s="31">
        <v>0</v>
      </c>
      <c r="H694" s="31">
        <v>0</v>
      </c>
      <c r="I694" s="31">
        <v>0</v>
      </c>
      <c r="J694" s="31">
        <v>0</v>
      </c>
      <c r="K694" s="31">
        <v>0</v>
      </c>
      <c r="L694" s="31">
        <v>0</v>
      </c>
      <c r="M694" s="31">
        <v>0</v>
      </c>
      <c r="N694" s="31">
        <v>0</v>
      </c>
      <c r="O694" s="27"/>
      <c r="P694" s="29"/>
      <c r="Q694" s="30"/>
    </row>
    <row r="695" spans="1:17" ht="46.5" x14ac:dyDescent="0.25">
      <c r="A695" s="25" t="s">
        <v>1788</v>
      </c>
      <c r="B695" s="26" t="s">
        <v>1789</v>
      </c>
      <c r="C695" s="27" t="s">
        <v>792</v>
      </c>
      <c r="D695" s="27" t="s">
        <v>793</v>
      </c>
      <c r="E695" s="28">
        <f>SUM(E696:E696)+7262.26</f>
        <v>7262.26</v>
      </c>
      <c r="F695" s="28">
        <f>SUM(F696:F696)</f>
        <v>0</v>
      </c>
      <c r="G695" s="28">
        <f>SUM(G696:G696)+7262.26</f>
        <v>7262.26</v>
      </c>
      <c r="H695" s="28">
        <f t="shared" ref="H695:N695" si="333">SUM(H696:H696)</f>
        <v>0</v>
      </c>
      <c r="I695" s="28">
        <f t="shared" si="333"/>
        <v>0</v>
      </c>
      <c r="J695" s="28">
        <f t="shared" si="333"/>
        <v>0</v>
      </c>
      <c r="K695" s="28">
        <f t="shared" si="333"/>
        <v>0</v>
      </c>
      <c r="L695" s="28">
        <f t="shared" si="333"/>
        <v>0</v>
      </c>
      <c r="M695" s="28">
        <f t="shared" si="333"/>
        <v>0</v>
      </c>
      <c r="N695" s="28">
        <f t="shared" si="333"/>
        <v>0</v>
      </c>
      <c r="O695" s="27" t="s">
        <v>1763</v>
      </c>
      <c r="P695" s="29" t="s">
        <v>34</v>
      </c>
      <c r="Q695" s="30" t="s">
        <v>35</v>
      </c>
    </row>
    <row r="696" spans="1:17" ht="69.75" x14ac:dyDescent="0.25">
      <c r="A696" s="25" t="s">
        <v>1790</v>
      </c>
      <c r="B696" s="26" t="s">
        <v>1765</v>
      </c>
      <c r="C696" s="27"/>
      <c r="D696" s="27"/>
      <c r="E696" s="31">
        <v>0</v>
      </c>
      <c r="F696" s="31">
        <v>0</v>
      </c>
      <c r="G696" s="31">
        <v>0</v>
      </c>
      <c r="H696" s="31">
        <v>0</v>
      </c>
      <c r="I696" s="31">
        <v>0</v>
      </c>
      <c r="J696" s="31">
        <v>0</v>
      </c>
      <c r="K696" s="31">
        <v>0</v>
      </c>
      <c r="L696" s="31">
        <v>0</v>
      </c>
      <c r="M696" s="31">
        <v>0</v>
      </c>
      <c r="N696" s="31">
        <v>0</v>
      </c>
      <c r="O696" s="27"/>
      <c r="P696" s="29"/>
      <c r="Q696" s="30"/>
    </row>
    <row r="697" spans="1:17" ht="46.5" x14ac:dyDescent="0.25">
      <c r="A697" s="25" t="s">
        <v>1791</v>
      </c>
      <c r="B697" s="26" t="s">
        <v>1792</v>
      </c>
      <c r="C697" s="27" t="s">
        <v>798</v>
      </c>
      <c r="D697" s="27" t="s">
        <v>799</v>
      </c>
      <c r="E697" s="28">
        <f>SUM(E698:E698)+1601.82</f>
        <v>1601.82</v>
      </c>
      <c r="F697" s="28">
        <f>SUM(F698:F698)</f>
        <v>0</v>
      </c>
      <c r="G697" s="28">
        <f>SUM(G698:G698)+1601.82</f>
        <v>1601.82</v>
      </c>
      <c r="H697" s="28">
        <f t="shared" ref="H697:N697" si="334">SUM(H698:H698)</f>
        <v>0</v>
      </c>
      <c r="I697" s="28">
        <f t="shared" si="334"/>
        <v>0</v>
      </c>
      <c r="J697" s="28">
        <f t="shared" si="334"/>
        <v>0</v>
      </c>
      <c r="K697" s="28">
        <f t="shared" si="334"/>
        <v>0</v>
      </c>
      <c r="L697" s="28">
        <f t="shared" si="334"/>
        <v>0</v>
      </c>
      <c r="M697" s="28">
        <f t="shared" si="334"/>
        <v>0</v>
      </c>
      <c r="N697" s="28">
        <f t="shared" si="334"/>
        <v>0</v>
      </c>
      <c r="O697" s="27" t="s">
        <v>1763</v>
      </c>
      <c r="P697" s="29" t="s">
        <v>34</v>
      </c>
      <c r="Q697" s="30" t="s">
        <v>75</v>
      </c>
    </row>
    <row r="698" spans="1:17" ht="69.75" x14ac:dyDescent="0.25">
      <c r="A698" s="25" t="s">
        <v>1793</v>
      </c>
      <c r="B698" s="26" t="s">
        <v>1765</v>
      </c>
      <c r="C698" s="27"/>
      <c r="D698" s="27"/>
      <c r="E698" s="31">
        <v>0</v>
      </c>
      <c r="F698" s="31">
        <v>0</v>
      </c>
      <c r="G698" s="31">
        <v>0</v>
      </c>
      <c r="H698" s="31">
        <v>0</v>
      </c>
      <c r="I698" s="31">
        <v>0</v>
      </c>
      <c r="J698" s="31">
        <v>0</v>
      </c>
      <c r="K698" s="31">
        <v>0</v>
      </c>
      <c r="L698" s="31">
        <v>0</v>
      </c>
      <c r="M698" s="31">
        <v>0</v>
      </c>
      <c r="N698" s="31">
        <v>0</v>
      </c>
      <c r="O698" s="27"/>
      <c r="P698" s="29"/>
      <c r="Q698" s="30"/>
    </row>
    <row r="699" spans="1:17" ht="69.75" x14ac:dyDescent="0.25">
      <c r="A699" s="25" t="s">
        <v>1794</v>
      </c>
      <c r="B699" s="26" t="s">
        <v>1795</v>
      </c>
      <c r="C699" s="27" t="s">
        <v>861</v>
      </c>
      <c r="D699" s="27" t="s">
        <v>882</v>
      </c>
      <c r="E699" s="28">
        <f t="shared" ref="E699:N699" si="335">SUM(E700:E700)</f>
        <v>0</v>
      </c>
      <c r="F699" s="28">
        <f t="shared" si="335"/>
        <v>0</v>
      </c>
      <c r="G699" s="28">
        <f t="shared" si="335"/>
        <v>0</v>
      </c>
      <c r="H699" s="28">
        <f t="shared" si="335"/>
        <v>0</v>
      </c>
      <c r="I699" s="28">
        <f t="shared" si="335"/>
        <v>0</v>
      </c>
      <c r="J699" s="28">
        <f t="shared" si="335"/>
        <v>0</v>
      </c>
      <c r="K699" s="28">
        <f t="shared" si="335"/>
        <v>0</v>
      </c>
      <c r="L699" s="28">
        <f t="shared" si="335"/>
        <v>0</v>
      </c>
      <c r="M699" s="28">
        <f t="shared" si="335"/>
        <v>0</v>
      </c>
      <c r="N699" s="28">
        <f t="shared" si="335"/>
        <v>0</v>
      </c>
      <c r="O699" s="27" t="s">
        <v>1796</v>
      </c>
      <c r="P699" s="29" t="s">
        <v>34</v>
      </c>
      <c r="Q699" s="30" t="s">
        <v>35</v>
      </c>
    </row>
    <row r="700" spans="1:17" ht="69.75" x14ac:dyDescent="0.25">
      <c r="A700" s="25" t="s">
        <v>1797</v>
      </c>
      <c r="B700" s="26" t="s">
        <v>1798</v>
      </c>
      <c r="C700" s="27"/>
      <c r="D700" s="27"/>
      <c r="E700" s="31">
        <v>0</v>
      </c>
      <c r="F700" s="31">
        <v>0</v>
      </c>
      <c r="G700" s="31">
        <v>0</v>
      </c>
      <c r="H700" s="31">
        <v>0</v>
      </c>
      <c r="I700" s="31">
        <v>0</v>
      </c>
      <c r="J700" s="31">
        <v>0</v>
      </c>
      <c r="K700" s="31">
        <v>0</v>
      </c>
      <c r="L700" s="31">
        <v>0</v>
      </c>
      <c r="M700" s="31">
        <v>0</v>
      </c>
      <c r="N700" s="31">
        <v>0</v>
      </c>
      <c r="O700" s="27"/>
      <c r="P700" s="29"/>
      <c r="Q700" s="30"/>
    </row>
    <row r="701" spans="1:17" ht="45" x14ac:dyDescent="0.25">
      <c r="A701" s="13" t="s">
        <v>1799</v>
      </c>
      <c r="B701" s="14" t="s">
        <v>1800</v>
      </c>
      <c r="C701" s="15" t="s">
        <v>1801</v>
      </c>
      <c r="D701" s="15" t="s">
        <v>1802</v>
      </c>
      <c r="E701" s="16">
        <f t="shared" ref="E701:N701" si="336">SUM(E702:E702)</f>
        <v>2500</v>
      </c>
      <c r="F701" s="16">
        <f t="shared" si="336"/>
        <v>2500</v>
      </c>
      <c r="G701" s="16">
        <f t="shared" si="336"/>
        <v>0</v>
      </c>
      <c r="H701" s="16">
        <f t="shared" si="336"/>
        <v>0</v>
      </c>
      <c r="I701" s="16">
        <f t="shared" si="336"/>
        <v>0</v>
      </c>
      <c r="J701" s="16">
        <f t="shared" si="336"/>
        <v>0</v>
      </c>
      <c r="K701" s="16">
        <f t="shared" si="336"/>
        <v>0</v>
      </c>
      <c r="L701" s="16">
        <f t="shared" si="336"/>
        <v>0</v>
      </c>
      <c r="M701" s="16">
        <f t="shared" si="336"/>
        <v>0</v>
      </c>
      <c r="N701" s="16">
        <f t="shared" si="336"/>
        <v>0</v>
      </c>
      <c r="O701" s="15" t="s">
        <v>1803</v>
      </c>
      <c r="P701" s="17" t="s">
        <v>29</v>
      </c>
      <c r="Q701" s="18" t="s">
        <v>133</v>
      </c>
    </row>
    <row r="702" spans="1:17" ht="67.5" x14ac:dyDescent="0.25">
      <c r="A702" s="19" t="s">
        <v>1804</v>
      </c>
      <c r="B702" s="20" t="s">
        <v>1805</v>
      </c>
      <c r="C702" s="21" t="s">
        <v>974</v>
      </c>
      <c r="D702" s="21" t="s">
        <v>975</v>
      </c>
      <c r="E702" s="22">
        <f t="shared" ref="E702:N702" si="337">E703+E705+E707</f>
        <v>2500</v>
      </c>
      <c r="F702" s="22">
        <f t="shared" si="337"/>
        <v>2500</v>
      </c>
      <c r="G702" s="22">
        <f t="shared" si="337"/>
        <v>0</v>
      </c>
      <c r="H702" s="22">
        <f t="shared" si="337"/>
        <v>0</v>
      </c>
      <c r="I702" s="22">
        <f t="shared" si="337"/>
        <v>0</v>
      </c>
      <c r="J702" s="22">
        <f t="shared" si="337"/>
        <v>0</v>
      </c>
      <c r="K702" s="22">
        <f t="shared" si="337"/>
        <v>0</v>
      </c>
      <c r="L702" s="22">
        <f t="shared" si="337"/>
        <v>0</v>
      </c>
      <c r="M702" s="22">
        <f t="shared" si="337"/>
        <v>0</v>
      </c>
      <c r="N702" s="22">
        <f t="shared" si="337"/>
        <v>0</v>
      </c>
      <c r="O702" s="21" t="s">
        <v>1806</v>
      </c>
      <c r="P702" s="23" t="s">
        <v>34</v>
      </c>
      <c r="Q702" s="24" t="s">
        <v>59</v>
      </c>
    </row>
    <row r="703" spans="1:17" ht="69.75" x14ac:dyDescent="0.25">
      <c r="A703" s="25" t="s">
        <v>1807</v>
      </c>
      <c r="B703" s="26" t="s">
        <v>1808</v>
      </c>
      <c r="C703" s="27" t="s">
        <v>191</v>
      </c>
      <c r="D703" s="27" t="s">
        <v>192</v>
      </c>
      <c r="E703" s="28">
        <f>SUM(E704:E704)+500</f>
        <v>500</v>
      </c>
      <c r="F703" s="28">
        <f>SUM(F704:F704)+500</f>
        <v>500</v>
      </c>
      <c r="G703" s="28">
        <f t="shared" ref="G703:N703" si="338">SUM(G704:G704)</f>
        <v>0</v>
      </c>
      <c r="H703" s="28">
        <f t="shared" si="338"/>
        <v>0</v>
      </c>
      <c r="I703" s="28">
        <f t="shared" si="338"/>
        <v>0</v>
      </c>
      <c r="J703" s="28">
        <f t="shared" si="338"/>
        <v>0</v>
      </c>
      <c r="K703" s="28">
        <f t="shared" si="338"/>
        <v>0</v>
      </c>
      <c r="L703" s="28">
        <f t="shared" si="338"/>
        <v>0</v>
      </c>
      <c r="M703" s="28">
        <f t="shared" si="338"/>
        <v>0</v>
      </c>
      <c r="N703" s="28">
        <f t="shared" si="338"/>
        <v>0</v>
      </c>
      <c r="O703" s="27" t="s">
        <v>1809</v>
      </c>
      <c r="P703" s="29" t="s">
        <v>34</v>
      </c>
      <c r="Q703" s="30" t="s">
        <v>75</v>
      </c>
    </row>
    <row r="704" spans="1:17" ht="46.5" x14ac:dyDescent="0.25">
      <c r="A704" s="25" t="s">
        <v>1810</v>
      </c>
      <c r="B704" s="26" t="s">
        <v>1811</v>
      </c>
      <c r="C704" s="27"/>
      <c r="D704" s="27"/>
      <c r="E704" s="31">
        <v>0</v>
      </c>
      <c r="F704" s="31">
        <v>0</v>
      </c>
      <c r="G704" s="31">
        <v>0</v>
      </c>
      <c r="H704" s="31">
        <v>0</v>
      </c>
      <c r="I704" s="31">
        <v>0</v>
      </c>
      <c r="J704" s="31">
        <v>0</v>
      </c>
      <c r="K704" s="31">
        <v>0</v>
      </c>
      <c r="L704" s="31">
        <v>0</v>
      </c>
      <c r="M704" s="31">
        <v>0</v>
      </c>
      <c r="N704" s="31">
        <v>0</v>
      </c>
      <c r="O704" s="27"/>
      <c r="P704" s="29"/>
      <c r="Q704" s="30"/>
    </row>
    <row r="705" spans="1:17" ht="69.75" x14ac:dyDescent="0.25">
      <c r="A705" s="25" t="s">
        <v>1812</v>
      </c>
      <c r="B705" s="26" t="s">
        <v>1813</v>
      </c>
      <c r="C705" s="27" t="s">
        <v>191</v>
      </c>
      <c r="D705" s="27" t="s">
        <v>192</v>
      </c>
      <c r="E705" s="28">
        <f>SUM(E706:E706)+2000</f>
        <v>2000</v>
      </c>
      <c r="F705" s="28">
        <f>SUM(F706:F706)+2000</f>
        <v>2000</v>
      </c>
      <c r="G705" s="28">
        <f t="shared" ref="G705:N705" si="339">SUM(G706:G706)</f>
        <v>0</v>
      </c>
      <c r="H705" s="28">
        <f t="shared" si="339"/>
        <v>0</v>
      </c>
      <c r="I705" s="28">
        <f t="shared" si="339"/>
        <v>0</v>
      </c>
      <c r="J705" s="28">
        <f t="shared" si="339"/>
        <v>0</v>
      </c>
      <c r="K705" s="28">
        <f t="shared" si="339"/>
        <v>0</v>
      </c>
      <c r="L705" s="28">
        <f t="shared" si="339"/>
        <v>0</v>
      </c>
      <c r="M705" s="28">
        <f t="shared" si="339"/>
        <v>0</v>
      </c>
      <c r="N705" s="28">
        <f t="shared" si="339"/>
        <v>0</v>
      </c>
      <c r="O705" s="27" t="s">
        <v>1814</v>
      </c>
      <c r="P705" s="29" t="s">
        <v>34</v>
      </c>
      <c r="Q705" s="30" t="s">
        <v>75</v>
      </c>
    </row>
    <row r="706" spans="1:17" ht="46.5" x14ac:dyDescent="0.25">
      <c r="A706" s="25" t="s">
        <v>1815</v>
      </c>
      <c r="B706" s="26" t="s">
        <v>1816</v>
      </c>
      <c r="C706" s="27"/>
      <c r="D706" s="27"/>
      <c r="E706" s="31">
        <v>0</v>
      </c>
      <c r="F706" s="31">
        <v>0</v>
      </c>
      <c r="G706" s="31">
        <v>0</v>
      </c>
      <c r="H706" s="31">
        <v>0</v>
      </c>
      <c r="I706" s="31">
        <v>0</v>
      </c>
      <c r="J706" s="31">
        <v>0</v>
      </c>
      <c r="K706" s="31">
        <v>0</v>
      </c>
      <c r="L706" s="31">
        <v>0</v>
      </c>
      <c r="M706" s="31">
        <v>0</v>
      </c>
      <c r="N706" s="31">
        <v>0</v>
      </c>
      <c r="O706" s="27"/>
      <c r="P706" s="29"/>
      <c r="Q706" s="30"/>
    </row>
    <row r="707" spans="1:17" ht="69.75" x14ac:dyDescent="0.25">
      <c r="A707" s="25" t="s">
        <v>1817</v>
      </c>
      <c r="B707" s="26" t="s">
        <v>1818</v>
      </c>
      <c r="C707" s="27" t="s">
        <v>1356</v>
      </c>
      <c r="D707" s="27" t="s">
        <v>1359</v>
      </c>
      <c r="E707" s="28">
        <f t="shared" ref="E707:N707" si="340">SUM(E708:E708)</f>
        <v>0</v>
      </c>
      <c r="F707" s="28">
        <f t="shared" si="340"/>
        <v>0</v>
      </c>
      <c r="G707" s="28">
        <f t="shared" si="340"/>
        <v>0</v>
      </c>
      <c r="H707" s="28">
        <f t="shared" si="340"/>
        <v>0</v>
      </c>
      <c r="I707" s="28">
        <f t="shared" si="340"/>
        <v>0</v>
      </c>
      <c r="J707" s="28">
        <f t="shared" si="340"/>
        <v>0</v>
      </c>
      <c r="K707" s="28">
        <f t="shared" si="340"/>
        <v>0</v>
      </c>
      <c r="L707" s="28">
        <f t="shared" si="340"/>
        <v>0</v>
      </c>
      <c r="M707" s="28">
        <f t="shared" si="340"/>
        <v>0</v>
      </c>
      <c r="N707" s="28">
        <f t="shared" si="340"/>
        <v>0</v>
      </c>
      <c r="O707" s="27" t="s">
        <v>1819</v>
      </c>
      <c r="P707" s="29" t="s">
        <v>34</v>
      </c>
      <c r="Q707" s="30" t="s">
        <v>75</v>
      </c>
    </row>
    <row r="708" spans="1:17" ht="46.5" x14ac:dyDescent="0.25">
      <c r="A708" s="25" t="s">
        <v>1820</v>
      </c>
      <c r="B708" s="26" t="s">
        <v>1821</v>
      </c>
      <c r="C708" s="27"/>
      <c r="D708" s="27"/>
      <c r="E708" s="31">
        <v>0</v>
      </c>
      <c r="F708" s="31">
        <v>0</v>
      </c>
      <c r="G708" s="31">
        <v>0</v>
      </c>
      <c r="H708" s="31">
        <v>0</v>
      </c>
      <c r="I708" s="31">
        <v>0</v>
      </c>
      <c r="J708" s="31">
        <v>0</v>
      </c>
      <c r="K708" s="31">
        <v>0</v>
      </c>
      <c r="L708" s="31">
        <v>0</v>
      </c>
      <c r="M708" s="31">
        <v>0</v>
      </c>
      <c r="N708" s="31">
        <v>0</v>
      </c>
      <c r="O708" s="27"/>
      <c r="P708" s="29"/>
      <c r="Q708" s="30"/>
    </row>
    <row r="709" spans="1:17" ht="45" x14ac:dyDescent="0.25">
      <c r="A709" s="13" t="s">
        <v>1822</v>
      </c>
      <c r="B709" s="14" t="s">
        <v>1823</v>
      </c>
      <c r="C709" s="15" t="s">
        <v>1356</v>
      </c>
      <c r="D709" s="15" t="s">
        <v>1359</v>
      </c>
      <c r="E709" s="16">
        <f t="shared" ref="E709:N709" si="341">SUM(E710:E710)</f>
        <v>117460</v>
      </c>
      <c r="F709" s="16">
        <f t="shared" si="341"/>
        <v>58730</v>
      </c>
      <c r="G709" s="16">
        <f t="shared" si="341"/>
        <v>0</v>
      </c>
      <c r="H709" s="16">
        <f t="shared" si="341"/>
        <v>0</v>
      </c>
      <c r="I709" s="16">
        <f t="shared" si="341"/>
        <v>58730</v>
      </c>
      <c r="J709" s="16">
        <f t="shared" si="341"/>
        <v>0</v>
      </c>
      <c r="K709" s="16">
        <f t="shared" si="341"/>
        <v>0</v>
      </c>
      <c r="L709" s="16">
        <f t="shared" si="341"/>
        <v>0</v>
      </c>
      <c r="M709" s="16">
        <f t="shared" si="341"/>
        <v>0</v>
      </c>
      <c r="N709" s="16">
        <f t="shared" si="341"/>
        <v>0</v>
      </c>
      <c r="O709" s="15" t="s">
        <v>1824</v>
      </c>
      <c r="P709" s="17" t="s">
        <v>34</v>
      </c>
      <c r="Q709" s="18" t="s">
        <v>1825</v>
      </c>
    </row>
    <row r="710" spans="1:17" ht="45" x14ac:dyDescent="0.25">
      <c r="A710" s="19" t="s">
        <v>1826</v>
      </c>
      <c r="B710" s="20" t="s">
        <v>1827</v>
      </c>
      <c r="C710" s="21" t="s">
        <v>1356</v>
      </c>
      <c r="D710" s="21" t="s">
        <v>1359</v>
      </c>
      <c r="E710" s="22">
        <f t="shared" ref="E710:N710" si="342">E711+E713+E715+E717+E719+E721+E723+E725+E727+E729+E731+E733+E735+E737</f>
        <v>117460</v>
      </c>
      <c r="F710" s="22">
        <f t="shared" si="342"/>
        <v>58730</v>
      </c>
      <c r="G710" s="22">
        <f t="shared" si="342"/>
        <v>0</v>
      </c>
      <c r="H710" s="22">
        <f t="shared" si="342"/>
        <v>0</v>
      </c>
      <c r="I710" s="22">
        <f t="shared" si="342"/>
        <v>58730</v>
      </c>
      <c r="J710" s="22">
        <f t="shared" si="342"/>
        <v>0</v>
      </c>
      <c r="K710" s="22">
        <f t="shared" si="342"/>
        <v>0</v>
      </c>
      <c r="L710" s="22">
        <f t="shared" si="342"/>
        <v>0</v>
      </c>
      <c r="M710" s="22">
        <f t="shared" si="342"/>
        <v>0</v>
      </c>
      <c r="N710" s="22">
        <f t="shared" si="342"/>
        <v>0</v>
      </c>
      <c r="O710" s="21" t="s">
        <v>1828</v>
      </c>
      <c r="P710" s="23" t="s">
        <v>34</v>
      </c>
      <c r="Q710" s="24" t="s">
        <v>1825</v>
      </c>
    </row>
    <row r="711" spans="1:17" ht="69.75" x14ac:dyDescent="0.25">
      <c r="A711" s="25" t="s">
        <v>1829</v>
      </c>
      <c r="B711" s="26" t="s">
        <v>1830</v>
      </c>
      <c r="C711" s="27" t="s">
        <v>1356</v>
      </c>
      <c r="D711" s="27" t="s">
        <v>1448</v>
      </c>
      <c r="E711" s="28">
        <f>SUM(E712:E712)+8100</f>
        <v>8100</v>
      </c>
      <c r="F711" s="28">
        <f>SUM(F712:F712)+4050</f>
        <v>4050</v>
      </c>
      <c r="G711" s="28">
        <f>SUM(G712:G712)</f>
        <v>0</v>
      </c>
      <c r="H711" s="28">
        <f>SUM(H712:H712)</f>
        <v>0</v>
      </c>
      <c r="I711" s="28">
        <f>SUM(I712:I712)+4050</f>
        <v>4050</v>
      </c>
      <c r="J711" s="28">
        <f>SUM(J712:J712)</f>
        <v>0</v>
      </c>
      <c r="K711" s="28">
        <f>SUM(K712:K712)</f>
        <v>0</v>
      </c>
      <c r="L711" s="28">
        <f>SUM(L712:L712)</f>
        <v>0</v>
      </c>
      <c r="M711" s="28">
        <f>SUM(M712:M712)</f>
        <v>0</v>
      </c>
      <c r="N711" s="28">
        <f>SUM(N712:N712)</f>
        <v>0</v>
      </c>
      <c r="O711" s="27" t="s">
        <v>1828</v>
      </c>
      <c r="P711" s="29" t="s">
        <v>34</v>
      </c>
      <c r="Q711" s="30" t="s">
        <v>35</v>
      </c>
    </row>
    <row r="712" spans="1:17" ht="69.75" x14ac:dyDescent="0.25">
      <c r="A712" s="25" t="s">
        <v>1831</v>
      </c>
      <c r="B712" s="26" t="s">
        <v>1832</v>
      </c>
      <c r="C712" s="27"/>
      <c r="D712" s="27"/>
      <c r="E712" s="31">
        <v>0</v>
      </c>
      <c r="F712" s="31">
        <v>0</v>
      </c>
      <c r="G712" s="31">
        <v>0</v>
      </c>
      <c r="H712" s="31">
        <v>0</v>
      </c>
      <c r="I712" s="31">
        <v>0</v>
      </c>
      <c r="J712" s="31">
        <v>0</v>
      </c>
      <c r="K712" s="31">
        <v>0</v>
      </c>
      <c r="L712" s="31">
        <v>0</v>
      </c>
      <c r="M712" s="31">
        <v>0</v>
      </c>
      <c r="N712" s="31">
        <v>0</v>
      </c>
      <c r="O712" s="27"/>
      <c r="P712" s="29"/>
      <c r="Q712" s="30"/>
    </row>
    <row r="713" spans="1:17" ht="69.75" x14ac:dyDescent="0.25">
      <c r="A713" s="25" t="s">
        <v>1833</v>
      </c>
      <c r="B713" s="26" t="s">
        <v>1834</v>
      </c>
      <c r="C713" s="27" t="s">
        <v>1356</v>
      </c>
      <c r="D713" s="27" t="s">
        <v>1448</v>
      </c>
      <c r="E713" s="28">
        <f>SUM(E714:E714)+16200</f>
        <v>16200</v>
      </c>
      <c r="F713" s="28">
        <f>SUM(F714:F714)+8100</f>
        <v>8100</v>
      </c>
      <c r="G713" s="28">
        <f>SUM(G714:G714)</f>
        <v>0</v>
      </c>
      <c r="H713" s="28">
        <f>SUM(H714:H714)</f>
        <v>0</v>
      </c>
      <c r="I713" s="28">
        <f>SUM(I714:I714)+8100</f>
        <v>8100</v>
      </c>
      <c r="J713" s="28">
        <f>SUM(J714:J714)</f>
        <v>0</v>
      </c>
      <c r="K713" s="28">
        <f>SUM(K714:K714)</f>
        <v>0</v>
      </c>
      <c r="L713" s="28">
        <f>SUM(L714:L714)</f>
        <v>0</v>
      </c>
      <c r="M713" s="28">
        <f>SUM(M714:M714)</f>
        <v>0</v>
      </c>
      <c r="N713" s="28">
        <f>SUM(N714:N714)</f>
        <v>0</v>
      </c>
      <c r="O713" s="27" t="s">
        <v>1828</v>
      </c>
      <c r="P713" s="29" t="s">
        <v>34</v>
      </c>
      <c r="Q713" s="30" t="s">
        <v>59</v>
      </c>
    </row>
    <row r="714" spans="1:17" ht="69.75" x14ac:dyDescent="0.25">
      <c r="A714" s="25" t="s">
        <v>1835</v>
      </c>
      <c r="B714" s="26" t="s">
        <v>1832</v>
      </c>
      <c r="C714" s="27"/>
      <c r="D714" s="27"/>
      <c r="E714" s="31">
        <v>0</v>
      </c>
      <c r="F714" s="31">
        <v>0</v>
      </c>
      <c r="G714" s="31">
        <v>0</v>
      </c>
      <c r="H714" s="31">
        <v>0</v>
      </c>
      <c r="I714" s="31">
        <v>0</v>
      </c>
      <c r="J714" s="31">
        <v>0</v>
      </c>
      <c r="K714" s="31">
        <v>0</v>
      </c>
      <c r="L714" s="31">
        <v>0</v>
      </c>
      <c r="M714" s="31">
        <v>0</v>
      </c>
      <c r="N714" s="31">
        <v>0</v>
      </c>
      <c r="O714" s="27"/>
      <c r="P714" s="29"/>
      <c r="Q714" s="30"/>
    </row>
    <row r="715" spans="1:17" ht="69.75" x14ac:dyDescent="0.25">
      <c r="A715" s="25" t="s">
        <v>1836</v>
      </c>
      <c r="B715" s="26" t="s">
        <v>1837</v>
      </c>
      <c r="C715" s="27" t="s">
        <v>1356</v>
      </c>
      <c r="D715" s="27" t="s">
        <v>1448</v>
      </c>
      <c r="E715" s="28">
        <f>SUM(E716:E716)+8100</f>
        <v>8100</v>
      </c>
      <c r="F715" s="28">
        <f>SUM(F716:F716)+4050</f>
        <v>4050</v>
      </c>
      <c r="G715" s="28">
        <f>SUM(G716:G716)</f>
        <v>0</v>
      </c>
      <c r="H715" s="28">
        <f>SUM(H716:H716)</f>
        <v>0</v>
      </c>
      <c r="I715" s="28">
        <f>SUM(I716:I716)+4050</f>
        <v>4050</v>
      </c>
      <c r="J715" s="28">
        <f>SUM(J716:J716)</f>
        <v>0</v>
      </c>
      <c r="K715" s="28">
        <f>SUM(K716:K716)</f>
        <v>0</v>
      </c>
      <c r="L715" s="28">
        <f>SUM(L716:L716)</f>
        <v>0</v>
      </c>
      <c r="M715" s="28">
        <f>SUM(M716:M716)</f>
        <v>0</v>
      </c>
      <c r="N715" s="28">
        <f>SUM(N716:N716)</f>
        <v>0</v>
      </c>
      <c r="O715" s="27" t="s">
        <v>1828</v>
      </c>
      <c r="P715" s="29" t="s">
        <v>34</v>
      </c>
      <c r="Q715" s="30" t="s">
        <v>35</v>
      </c>
    </row>
    <row r="716" spans="1:17" ht="69.75" x14ac:dyDescent="0.25">
      <c r="A716" s="25" t="s">
        <v>1838</v>
      </c>
      <c r="B716" s="26" t="s">
        <v>1832</v>
      </c>
      <c r="C716" s="27"/>
      <c r="D716" s="27"/>
      <c r="E716" s="31">
        <v>0</v>
      </c>
      <c r="F716" s="31">
        <v>0</v>
      </c>
      <c r="G716" s="31">
        <v>0</v>
      </c>
      <c r="H716" s="31">
        <v>0</v>
      </c>
      <c r="I716" s="31">
        <v>0</v>
      </c>
      <c r="J716" s="31">
        <v>0</v>
      </c>
      <c r="K716" s="31">
        <v>0</v>
      </c>
      <c r="L716" s="31">
        <v>0</v>
      </c>
      <c r="M716" s="31">
        <v>0</v>
      </c>
      <c r="N716" s="31">
        <v>0</v>
      </c>
      <c r="O716" s="27"/>
      <c r="P716" s="29"/>
      <c r="Q716" s="30"/>
    </row>
    <row r="717" spans="1:17" ht="69.75" x14ac:dyDescent="0.25">
      <c r="A717" s="25" t="s">
        <v>1839</v>
      </c>
      <c r="B717" s="26" t="s">
        <v>1840</v>
      </c>
      <c r="C717" s="27" t="s">
        <v>1356</v>
      </c>
      <c r="D717" s="27" t="s">
        <v>1448</v>
      </c>
      <c r="E717" s="28">
        <f>SUM(E718:E718)+8100</f>
        <v>8100</v>
      </c>
      <c r="F717" s="28">
        <f>SUM(F718:F718)+4050</f>
        <v>4050</v>
      </c>
      <c r="G717" s="28">
        <f>SUM(G718:G718)</f>
        <v>0</v>
      </c>
      <c r="H717" s="28">
        <f>SUM(H718:H718)</f>
        <v>0</v>
      </c>
      <c r="I717" s="28">
        <f>SUM(I718:I718)+4050</f>
        <v>4050</v>
      </c>
      <c r="J717" s="28">
        <f>SUM(J718:J718)</f>
        <v>0</v>
      </c>
      <c r="K717" s="28">
        <f>SUM(K718:K718)</f>
        <v>0</v>
      </c>
      <c r="L717" s="28">
        <f>SUM(L718:L718)</f>
        <v>0</v>
      </c>
      <c r="M717" s="28">
        <f>SUM(M718:M718)</f>
        <v>0</v>
      </c>
      <c r="N717" s="28">
        <f>SUM(N718:N718)</f>
        <v>0</v>
      </c>
      <c r="O717" s="27" t="s">
        <v>1828</v>
      </c>
      <c r="P717" s="29" t="s">
        <v>34</v>
      </c>
      <c r="Q717" s="30" t="s">
        <v>35</v>
      </c>
    </row>
    <row r="718" spans="1:17" ht="69.75" x14ac:dyDescent="0.25">
      <c r="A718" s="25" t="s">
        <v>1841</v>
      </c>
      <c r="B718" s="26" t="s">
        <v>1832</v>
      </c>
      <c r="C718" s="27"/>
      <c r="D718" s="27"/>
      <c r="E718" s="31">
        <v>0</v>
      </c>
      <c r="F718" s="31">
        <v>0</v>
      </c>
      <c r="G718" s="31">
        <v>0</v>
      </c>
      <c r="H718" s="31">
        <v>0</v>
      </c>
      <c r="I718" s="31">
        <v>0</v>
      </c>
      <c r="J718" s="31">
        <v>0</v>
      </c>
      <c r="K718" s="31">
        <v>0</v>
      </c>
      <c r="L718" s="31">
        <v>0</v>
      </c>
      <c r="M718" s="31">
        <v>0</v>
      </c>
      <c r="N718" s="31">
        <v>0</v>
      </c>
      <c r="O718" s="27"/>
      <c r="P718" s="29"/>
      <c r="Q718" s="30"/>
    </row>
    <row r="719" spans="1:17" ht="69.75" x14ac:dyDescent="0.25">
      <c r="A719" s="25" t="s">
        <v>1842</v>
      </c>
      <c r="B719" s="26" t="s">
        <v>1843</v>
      </c>
      <c r="C719" s="27" t="s">
        <v>1356</v>
      </c>
      <c r="D719" s="27" t="s">
        <v>1448</v>
      </c>
      <c r="E719" s="28">
        <f>SUM(E720:E720)+8100</f>
        <v>8100</v>
      </c>
      <c r="F719" s="28">
        <f>SUM(F720:F720)+4050</f>
        <v>4050</v>
      </c>
      <c r="G719" s="28">
        <f>SUM(G720:G720)</f>
        <v>0</v>
      </c>
      <c r="H719" s="28">
        <f>SUM(H720:H720)</f>
        <v>0</v>
      </c>
      <c r="I719" s="28">
        <f>SUM(I720:I720)+4050</f>
        <v>4050</v>
      </c>
      <c r="J719" s="28">
        <f>SUM(J720:J720)</f>
        <v>0</v>
      </c>
      <c r="K719" s="28">
        <f>SUM(K720:K720)</f>
        <v>0</v>
      </c>
      <c r="L719" s="28">
        <f>SUM(L720:L720)</f>
        <v>0</v>
      </c>
      <c r="M719" s="28">
        <f>SUM(M720:M720)</f>
        <v>0</v>
      </c>
      <c r="N719" s="28">
        <f>SUM(N720:N720)</f>
        <v>0</v>
      </c>
      <c r="O719" s="27" t="s">
        <v>1828</v>
      </c>
      <c r="P719" s="29" t="s">
        <v>34</v>
      </c>
      <c r="Q719" s="30" t="s">
        <v>35</v>
      </c>
    </row>
    <row r="720" spans="1:17" ht="69.75" x14ac:dyDescent="0.25">
      <c r="A720" s="25" t="s">
        <v>1844</v>
      </c>
      <c r="B720" s="26" t="s">
        <v>1832</v>
      </c>
      <c r="C720" s="27"/>
      <c r="D720" s="27"/>
      <c r="E720" s="31">
        <v>0</v>
      </c>
      <c r="F720" s="31">
        <v>0</v>
      </c>
      <c r="G720" s="31">
        <v>0</v>
      </c>
      <c r="H720" s="31">
        <v>0</v>
      </c>
      <c r="I720" s="31">
        <v>0</v>
      </c>
      <c r="J720" s="31">
        <v>0</v>
      </c>
      <c r="K720" s="31">
        <v>0</v>
      </c>
      <c r="L720" s="31">
        <v>0</v>
      </c>
      <c r="M720" s="31">
        <v>0</v>
      </c>
      <c r="N720" s="31">
        <v>0</v>
      </c>
      <c r="O720" s="27"/>
      <c r="P720" s="29"/>
      <c r="Q720" s="30"/>
    </row>
    <row r="721" spans="1:17" ht="69.75" x14ac:dyDescent="0.25">
      <c r="A721" s="25" t="s">
        <v>1845</v>
      </c>
      <c r="B721" s="26" t="s">
        <v>1846</v>
      </c>
      <c r="C721" s="27" t="s">
        <v>1356</v>
      </c>
      <c r="D721" s="27" t="s">
        <v>1448</v>
      </c>
      <c r="E721" s="28">
        <f>SUM(E722:E722)+8100</f>
        <v>8100</v>
      </c>
      <c r="F721" s="28">
        <f>SUM(F722:F722)+4050</f>
        <v>4050</v>
      </c>
      <c r="G721" s="28">
        <f>SUM(G722:G722)</f>
        <v>0</v>
      </c>
      <c r="H721" s="28">
        <f>SUM(H722:H722)</f>
        <v>0</v>
      </c>
      <c r="I721" s="28">
        <f>SUM(I722:I722)+4050</f>
        <v>4050</v>
      </c>
      <c r="J721" s="28">
        <f>SUM(J722:J722)</f>
        <v>0</v>
      </c>
      <c r="K721" s="28">
        <f>SUM(K722:K722)</f>
        <v>0</v>
      </c>
      <c r="L721" s="28">
        <f>SUM(L722:L722)</f>
        <v>0</v>
      </c>
      <c r="M721" s="28">
        <f>SUM(M722:M722)</f>
        <v>0</v>
      </c>
      <c r="N721" s="28">
        <f>SUM(N722:N722)</f>
        <v>0</v>
      </c>
      <c r="O721" s="27" t="s">
        <v>1828</v>
      </c>
      <c r="P721" s="29" t="s">
        <v>34</v>
      </c>
      <c r="Q721" s="30" t="s">
        <v>35</v>
      </c>
    </row>
    <row r="722" spans="1:17" ht="69.75" x14ac:dyDescent="0.25">
      <c r="A722" s="25" t="s">
        <v>1847</v>
      </c>
      <c r="B722" s="26" t="s">
        <v>1832</v>
      </c>
      <c r="C722" s="27"/>
      <c r="D722" s="27"/>
      <c r="E722" s="31">
        <v>0</v>
      </c>
      <c r="F722" s="31">
        <v>0</v>
      </c>
      <c r="G722" s="31">
        <v>0</v>
      </c>
      <c r="H722" s="31">
        <v>0</v>
      </c>
      <c r="I722" s="31">
        <v>0</v>
      </c>
      <c r="J722" s="31">
        <v>0</v>
      </c>
      <c r="K722" s="31">
        <v>0</v>
      </c>
      <c r="L722" s="31">
        <v>0</v>
      </c>
      <c r="M722" s="31">
        <v>0</v>
      </c>
      <c r="N722" s="31">
        <v>0</v>
      </c>
      <c r="O722" s="27"/>
      <c r="P722" s="29"/>
      <c r="Q722" s="30"/>
    </row>
    <row r="723" spans="1:17" ht="69.75" x14ac:dyDescent="0.25">
      <c r="A723" s="25" t="s">
        <v>1848</v>
      </c>
      <c r="B723" s="26" t="s">
        <v>1849</v>
      </c>
      <c r="C723" s="27" t="s">
        <v>1356</v>
      </c>
      <c r="D723" s="27" t="s">
        <v>1448</v>
      </c>
      <c r="E723" s="28">
        <f>SUM(E724:E724)+8100</f>
        <v>8100</v>
      </c>
      <c r="F723" s="28">
        <f>SUM(F724:F724)+4050</f>
        <v>4050</v>
      </c>
      <c r="G723" s="28">
        <f>SUM(G724:G724)</f>
        <v>0</v>
      </c>
      <c r="H723" s="28">
        <f>SUM(H724:H724)</f>
        <v>0</v>
      </c>
      <c r="I723" s="28">
        <f>SUM(I724:I724)+4050</f>
        <v>4050</v>
      </c>
      <c r="J723" s="28">
        <f>SUM(J724:J724)</f>
        <v>0</v>
      </c>
      <c r="K723" s="28">
        <f>SUM(K724:K724)</f>
        <v>0</v>
      </c>
      <c r="L723" s="28">
        <f>SUM(L724:L724)</f>
        <v>0</v>
      </c>
      <c r="M723" s="28">
        <f>SUM(M724:M724)</f>
        <v>0</v>
      </c>
      <c r="N723" s="28">
        <f>SUM(N724:N724)</f>
        <v>0</v>
      </c>
      <c r="O723" s="27" t="s">
        <v>1828</v>
      </c>
      <c r="P723" s="29" t="s">
        <v>34</v>
      </c>
      <c r="Q723" s="30" t="s">
        <v>35</v>
      </c>
    </row>
    <row r="724" spans="1:17" ht="69.75" x14ac:dyDescent="0.25">
      <c r="A724" s="25" t="s">
        <v>1850</v>
      </c>
      <c r="B724" s="26" t="s">
        <v>1832</v>
      </c>
      <c r="C724" s="27"/>
      <c r="D724" s="27"/>
      <c r="E724" s="31">
        <v>0</v>
      </c>
      <c r="F724" s="31">
        <v>0</v>
      </c>
      <c r="G724" s="31">
        <v>0</v>
      </c>
      <c r="H724" s="31">
        <v>0</v>
      </c>
      <c r="I724" s="31">
        <v>0</v>
      </c>
      <c r="J724" s="31">
        <v>0</v>
      </c>
      <c r="K724" s="31">
        <v>0</v>
      </c>
      <c r="L724" s="31">
        <v>0</v>
      </c>
      <c r="M724" s="31">
        <v>0</v>
      </c>
      <c r="N724" s="31">
        <v>0</v>
      </c>
      <c r="O724" s="27"/>
      <c r="P724" s="29"/>
      <c r="Q724" s="30"/>
    </row>
    <row r="725" spans="1:17" ht="69.75" x14ac:dyDescent="0.25">
      <c r="A725" s="25" t="s">
        <v>1851</v>
      </c>
      <c r="B725" s="26" t="s">
        <v>1852</v>
      </c>
      <c r="C725" s="27" t="s">
        <v>1356</v>
      </c>
      <c r="D725" s="27" t="s">
        <v>1448</v>
      </c>
      <c r="E725" s="28">
        <f>SUM(E726:E726)+8100</f>
        <v>8100</v>
      </c>
      <c r="F725" s="28">
        <f>SUM(F726:F726)+4050</f>
        <v>4050</v>
      </c>
      <c r="G725" s="28">
        <f>SUM(G726:G726)</f>
        <v>0</v>
      </c>
      <c r="H725" s="28">
        <f>SUM(H726:H726)</f>
        <v>0</v>
      </c>
      <c r="I725" s="28">
        <f>SUM(I726:I726)+4050</f>
        <v>4050</v>
      </c>
      <c r="J725" s="28">
        <f>SUM(J726:J726)</f>
        <v>0</v>
      </c>
      <c r="K725" s="28">
        <f>SUM(K726:K726)</f>
        <v>0</v>
      </c>
      <c r="L725" s="28">
        <f>SUM(L726:L726)</f>
        <v>0</v>
      </c>
      <c r="M725" s="28">
        <f>SUM(M726:M726)</f>
        <v>0</v>
      </c>
      <c r="N725" s="28">
        <f>SUM(N726:N726)</f>
        <v>0</v>
      </c>
      <c r="O725" s="27" t="s">
        <v>1828</v>
      </c>
      <c r="P725" s="29" t="s">
        <v>34</v>
      </c>
      <c r="Q725" s="30" t="s">
        <v>35</v>
      </c>
    </row>
    <row r="726" spans="1:17" ht="69.75" x14ac:dyDescent="0.25">
      <c r="A726" s="25" t="s">
        <v>1853</v>
      </c>
      <c r="B726" s="26" t="s">
        <v>1832</v>
      </c>
      <c r="C726" s="27"/>
      <c r="D726" s="27"/>
      <c r="E726" s="31">
        <v>0</v>
      </c>
      <c r="F726" s="31">
        <v>0</v>
      </c>
      <c r="G726" s="31">
        <v>0</v>
      </c>
      <c r="H726" s="31">
        <v>0</v>
      </c>
      <c r="I726" s="31">
        <v>0</v>
      </c>
      <c r="J726" s="31">
        <v>0</v>
      </c>
      <c r="K726" s="31">
        <v>0</v>
      </c>
      <c r="L726" s="31">
        <v>0</v>
      </c>
      <c r="M726" s="31">
        <v>0</v>
      </c>
      <c r="N726" s="31">
        <v>0</v>
      </c>
      <c r="O726" s="27"/>
      <c r="P726" s="29"/>
      <c r="Q726" s="30"/>
    </row>
    <row r="727" spans="1:17" ht="69.75" x14ac:dyDescent="0.25">
      <c r="A727" s="25" t="s">
        <v>1854</v>
      </c>
      <c r="B727" s="26" t="s">
        <v>1855</v>
      </c>
      <c r="C727" s="27" t="s">
        <v>1356</v>
      </c>
      <c r="D727" s="27" t="s">
        <v>1448</v>
      </c>
      <c r="E727" s="28">
        <f>SUM(E728:E728)+4050</f>
        <v>4050</v>
      </c>
      <c r="F727" s="28">
        <f>SUM(F728:F728)+2025</f>
        <v>2025</v>
      </c>
      <c r="G727" s="28">
        <f>SUM(G728:G728)</f>
        <v>0</v>
      </c>
      <c r="H727" s="28">
        <f>SUM(H728:H728)</f>
        <v>0</v>
      </c>
      <c r="I727" s="28">
        <f>SUM(I728:I728)+2025</f>
        <v>2025</v>
      </c>
      <c r="J727" s="28">
        <f>SUM(J728:J728)</f>
        <v>0</v>
      </c>
      <c r="K727" s="28">
        <f>SUM(K728:K728)</f>
        <v>0</v>
      </c>
      <c r="L727" s="28">
        <f>SUM(L728:L728)</f>
        <v>0</v>
      </c>
      <c r="M727" s="28">
        <f>SUM(M728:M728)</f>
        <v>0</v>
      </c>
      <c r="N727" s="28">
        <f>SUM(N728:N728)</f>
        <v>0</v>
      </c>
      <c r="O727" s="27" t="s">
        <v>1828</v>
      </c>
      <c r="P727" s="29" t="s">
        <v>34</v>
      </c>
      <c r="Q727" s="30" t="s">
        <v>75</v>
      </c>
    </row>
    <row r="728" spans="1:17" ht="69.75" x14ac:dyDescent="0.25">
      <c r="A728" s="25" t="s">
        <v>1856</v>
      </c>
      <c r="B728" s="26" t="s">
        <v>1832</v>
      </c>
      <c r="C728" s="27"/>
      <c r="D728" s="27"/>
      <c r="E728" s="31">
        <v>0</v>
      </c>
      <c r="F728" s="31">
        <v>0</v>
      </c>
      <c r="G728" s="31">
        <v>0</v>
      </c>
      <c r="H728" s="31">
        <v>0</v>
      </c>
      <c r="I728" s="31">
        <v>0</v>
      </c>
      <c r="J728" s="31">
        <v>0</v>
      </c>
      <c r="K728" s="31">
        <v>0</v>
      </c>
      <c r="L728" s="31">
        <v>0</v>
      </c>
      <c r="M728" s="31">
        <v>0</v>
      </c>
      <c r="N728" s="31">
        <v>0</v>
      </c>
      <c r="O728" s="27"/>
      <c r="P728" s="29"/>
      <c r="Q728" s="30"/>
    </row>
    <row r="729" spans="1:17" ht="69.75" x14ac:dyDescent="0.25">
      <c r="A729" s="25" t="s">
        <v>1857</v>
      </c>
      <c r="B729" s="26" t="s">
        <v>1858</v>
      </c>
      <c r="C729" s="27" t="s">
        <v>1356</v>
      </c>
      <c r="D729" s="27" t="s">
        <v>1448</v>
      </c>
      <c r="E729" s="28">
        <f>SUM(E730:E730)+4050</f>
        <v>4050</v>
      </c>
      <c r="F729" s="28">
        <f>SUM(F730:F730)+2025</f>
        <v>2025</v>
      </c>
      <c r="G729" s="28">
        <f>SUM(G730:G730)</f>
        <v>0</v>
      </c>
      <c r="H729" s="28">
        <f>SUM(H730:H730)</f>
        <v>0</v>
      </c>
      <c r="I729" s="28">
        <f>SUM(I730:I730)+2025</f>
        <v>2025</v>
      </c>
      <c r="J729" s="28">
        <f>SUM(J730:J730)</f>
        <v>0</v>
      </c>
      <c r="K729" s="28">
        <f>SUM(K730:K730)</f>
        <v>0</v>
      </c>
      <c r="L729" s="28">
        <f>SUM(L730:L730)</f>
        <v>0</v>
      </c>
      <c r="M729" s="28">
        <f>SUM(M730:M730)</f>
        <v>0</v>
      </c>
      <c r="N729" s="28">
        <f>SUM(N730:N730)</f>
        <v>0</v>
      </c>
      <c r="O729" s="27" t="s">
        <v>1828</v>
      </c>
      <c r="P729" s="29" t="s">
        <v>34</v>
      </c>
      <c r="Q729" s="30" t="s">
        <v>75</v>
      </c>
    </row>
    <row r="730" spans="1:17" ht="69.75" x14ac:dyDescent="0.25">
      <c r="A730" s="25" t="s">
        <v>1859</v>
      </c>
      <c r="B730" s="26" t="s">
        <v>1832</v>
      </c>
      <c r="C730" s="27"/>
      <c r="D730" s="27"/>
      <c r="E730" s="31">
        <v>0</v>
      </c>
      <c r="F730" s="31">
        <v>0</v>
      </c>
      <c r="G730" s="31">
        <v>0</v>
      </c>
      <c r="H730" s="31">
        <v>0</v>
      </c>
      <c r="I730" s="31">
        <v>0</v>
      </c>
      <c r="J730" s="31">
        <v>0</v>
      </c>
      <c r="K730" s="31">
        <v>0</v>
      </c>
      <c r="L730" s="31">
        <v>0</v>
      </c>
      <c r="M730" s="31">
        <v>0</v>
      </c>
      <c r="N730" s="31">
        <v>0</v>
      </c>
      <c r="O730" s="27"/>
      <c r="P730" s="29"/>
      <c r="Q730" s="30"/>
    </row>
    <row r="731" spans="1:17" ht="69.75" x14ac:dyDescent="0.25">
      <c r="A731" s="25" t="s">
        <v>1860</v>
      </c>
      <c r="B731" s="26" t="s">
        <v>1861</v>
      </c>
      <c r="C731" s="27" t="s">
        <v>1356</v>
      </c>
      <c r="D731" s="27" t="s">
        <v>1448</v>
      </c>
      <c r="E731" s="28">
        <f>SUM(E732:E732)+4050</f>
        <v>4050</v>
      </c>
      <c r="F731" s="28">
        <f>SUM(F732:F732)+2025</f>
        <v>2025</v>
      </c>
      <c r="G731" s="28">
        <f>SUM(G732:G732)</f>
        <v>0</v>
      </c>
      <c r="H731" s="28">
        <f>SUM(H732:H732)</f>
        <v>0</v>
      </c>
      <c r="I731" s="28">
        <f>SUM(I732:I732)+2025</f>
        <v>2025</v>
      </c>
      <c r="J731" s="28">
        <f>SUM(J732:J732)</f>
        <v>0</v>
      </c>
      <c r="K731" s="28">
        <f>SUM(K732:K732)</f>
        <v>0</v>
      </c>
      <c r="L731" s="28">
        <f>SUM(L732:L732)</f>
        <v>0</v>
      </c>
      <c r="M731" s="28">
        <f>SUM(M732:M732)</f>
        <v>0</v>
      </c>
      <c r="N731" s="28">
        <f>SUM(N732:N732)</f>
        <v>0</v>
      </c>
      <c r="O731" s="27" t="s">
        <v>1828</v>
      </c>
      <c r="P731" s="29" t="s">
        <v>34</v>
      </c>
      <c r="Q731" s="30" t="s">
        <v>75</v>
      </c>
    </row>
    <row r="732" spans="1:17" ht="69.75" x14ac:dyDescent="0.25">
      <c r="A732" s="25" t="s">
        <v>1862</v>
      </c>
      <c r="B732" s="26" t="s">
        <v>1832</v>
      </c>
      <c r="C732" s="27"/>
      <c r="D732" s="27"/>
      <c r="E732" s="31">
        <v>0</v>
      </c>
      <c r="F732" s="31">
        <v>0</v>
      </c>
      <c r="G732" s="31">
        <v>0</v>
      </c>
      <c r="H732" s="31">
        <v>0</v>
      </c>
      <c r="I732" s="31">
        <v>0</v>
      </c>
      <c r="J732" s="31">
        <v>0</v>
      </c>
      <c r="K732" s="31">
        <v>0</v>
      </c>
      <c r="L732" s="31">
        <v>0</v>
      </c>
      <c r="M732" s="31">
        <v>0</v>
      </c>
      <c r="N732" s="31">
        <v>0</v>
      </c>
      <c r="O732" s="27"/>
      <c r="P732" s="29"/>
      <c r="Q732" s="30"/>
    </row>
    <row r="733" spans="1:17" ht="69.75" x14ac:dyDescent="0.25">
      <c r="A733" s="25" t="s">
        <v>1863</v>
      </c>
      <c r="B733" s="26" t="s">
        <v>1864</v>
      </c>
      <c r="C733" s="27" t="s">
        <v>1356</v>
      </c>
      <c r="D733" s="27" t="s">
        <v>1448</v>
      </c>
      <c r="E733" s="28">
        <f>SUM(E734:E734)+8100</f>
        <v>8100</v>
      </c>
      <c r="F733" s="28">
        <f>SUM(F734:F734)+4050</f>
        <v>4050</v>
      </c>
      <c r="G733" s="28">
        <f>SUM(G734:G734)</f>
        <v>0</v>
      </c>
      <c r="H733" s="28">
        <f>SUM(H734:H734)</f>
        <v>0</v>
      </c>
      <c r="I733" s="28">
        <f>SUM(I734:I734)+4050</f>
        <v>4050</v>
      </c>
      <c r="J733" s="28">
        <f>SUM(J734:J734)</f>
        <v>0</v>
      </c>
      <c r="K733" s="28">
        <f>SUM(K734:K734)</f>
        <v>0</v>
      </c>
      <c r="L733" s="28">
        <f>SUM(L734:L734)</f>
        <v>0</v>
      </c>
      <c r="M733" s="28">
        <f>SUM(M734:M734)</f>
        <v>0</v>
      </c>
      <c r="N733" s="28">
        <f>SUM(N734:N734)</f>
        <v>0</v>
      </c>
      <c r="O733" s="27" t="s">
        <v>1828</v>
      </c>
      <c r="P733" s="29" t="s">
        <v>34</v>
      </c>
      <c r="Q733" s="30" t="s">
        <v>35</v>
      </c>
    </row>
    <row r="734" spans="1:17" ht="69.75" x14ac:dyDescent="0.25">
      <c r="A734" s="25" t="s">
        <v>1865</v>
      </c>
      <c r="B734" s="26" t="s">
        <v>1832</v>
      </c>
      <c r="C734" s="27"/>
      <c r="D734" s="27"/>
      <c r="E734" s="31">
        <v>0</v>
      </c>
      <c r="F734" s="31">
        <v>0</v>
      </c>
      <c r="G734" s="31">
        <v>0</v>
      </c>
      <c r="H734" s="31">
        <v>0</v>
      </c>
      <c r="I734" s="31">
        <v>0</v>
      </c>
      <c r="J734" s="31">
        <v>0</v>
      </c>
      <c r="K734" s="31">
        <v>0</v>
      </c>
      <c r="L734" s="31">
        <v>0</v>
      </c>
      <c r="M734" s="31">
        <v>0</v>
      </c>
      <c r="N734" s="31">
        <v>0</v>
      </c>
      <c r="O734" s="27"/>
      <c r="P734" s="29"/>
      <c r="Q734" s="30"/>
    </row>
    <row r="735" spans="1:17" ht="69.75" x14ac:dyDescent="0.25">
      <c r="A735" s="25" t="s">
        <v>1866</v>
      </c>
      <c r="B735" s="26" t="s">
        <v>1867</v>
      </c>
      <c r="C735" s="27" t="s">
        <v>1356</v>
      </c>
      <c r="D735" s="27" t="s">
        <v>1448</v>
      </c>
      <c r="E735" s="28">
        <f>SUM(E736:E736)+20260</f>
        <v>20260</v>
      </c>
      <c r="F735" s="28">
        <f>SUM(F736:F736)+10130</f>
        <v>10130</v>
      </c>
      <c r="G735" s="28">
        <f>SUM(G736:G736)</f>
        <v>0</v>
      </c>
      <c r="H735" s="28">
        <f>SUM(H736:H736)</f>
        <v>0</v>
      </c>
      <c r="I735" s="28">
        <f>SUM(I736:I736)+10130</f>
        <v>10130</v>
      </c>
      <c r="J735" s="28">
        <f>SUM(J736:J736)</f>
        <v>0</v>
      </c>
      <c r="K735" s="28">
        <f>SUM(K736:K736)</f>
        <v>0</v>
      </c>
      <c r="L735" s="28">
        <f>SUM(L736:L736)</f>
        <v>0</v>
      </c>
      <c r="M735" s="28">
        <f>SUM(M736:M736)</f>
        <v>0</v>
      </c>
      <c r="N735" s="28">
        <f>SUM(N736:N736)</f>
        <v>0</v>
      </c>
      <c r="O735" s="27" t="s">
        <v>1828</v>
      </c>
      <c r="P735" s="29" t="s">
        <v>34</v>
      </c>
      <c r="Q735" s="30" t="s">
        <v>246</v>
      </c>
    </row>
    <row r="736" spans="1:17" ht="69.75" x14ac:dyDescent="0.25">
      <c r="A736" s="25" t="s">
        <v>1868</v>
      </c>
      <c r="B736" s="26" t="s">
        <v>1832</v>
      </c>
      <c r="C736" s="27"/>
      <c r="D736" s="27"/>
      <c r="E736" s="31">
        <v>0</v>
      </c>
      <c r="F736" s="31">
        <v>0</v>
      </c>
      <c r="G736" s="31">
        <v>0</v>
      </c>
      <c r="H736" s="31">
        <v>0</v>
      </c>
      <c r="I736" s="31">
        <v>0</v>
      </c>
      <c r="J736" s="31">
        <v>0</v>
      </c>
      <c r="K736" s="31">
        <v>0</v>
      </c>
      <c r="L736" s="31">
        <v>0</v>
      </c>
      <c r="M736" s="31">
        <v>0</v>
      </c>
      <c r="N736" s="31">
        <v>0</v>
      </c>
      <c r="O736" s="27"/>
      <c r="P736" s="29"/>
      <c r="Q736" s="30"/>
    </row>
    <row r="737" spans="1:17" ht="69.75" x14ac:dyDescent="0.25">
      <c r="A737" s="25" t="s">
        <v>1869</v>
      </c>
      <c r="B737" s="26" t="s">
        <v>1870</v>
      </c>
      <c r="C737" s="27" t="s">
        <v>1356</v>
      </c>
      <c r="D737" s="27" t="s">
        <v>1448</v>
      </c>
      <c r="E737" s="28">
        <f>SUM(E738:E738)+4050</f>
        <v>4050</v>
      </c>
      <c r="F737" s="28">
        <f>SUM(F738:F738)+2025</f>
        <v>2025</v>
      </c>
      <c r="G737" s="28">
        <f>SUM(G738:G738)</f>
        <v>0</v>
      </c>
      <c r="H737" s="28">
        <f>SUM(H738:H738)</f>
        <v>0</v>
      </c>
      <c r="I737" s="28">
        <f>SUM(I738:I738)+2025</f>
        <v>2025</v>
      </c>
      <c r="J737" s="28">
        <f>SUM(J738:J738)</f>
        <v>0</v>
      </c>
      <c r="K737" s="28">
        <f>SUM(K738:K738)</f>
        <v>0</v>
      </c>
      <c r="L737" s="28">
        <f>SUM(L738:L738)</f>
        <v>0</v>
      </c>
      <c r="M737" s="28">
        <f>SUM(M738:M738)</f>
        <v>0</v>
      </c>
      <c r="N737" s="28">
        <f>SUM(N738:N738)</f>
        <v>0</v>
      </c>
      <c r="O737" s="27" t="s">
        <v>1828</v>
      </c>
      <c r="P737" s="29" t="s">
        <v>34</v>
      </c>
      <c r="Q737" s="30" t="s">
        <v>75</v>
      </c>
    </row>
    <row r="738" spans="1:17" ht="69.75" x14ac:dyDescent="0.25">
      <c r="A738" s="25" t="s">
        <v>1871</v>
      </c>
      <c r="B738" s="26" t="s">
        <v>1832</v>
      </c>
      <c r="C738" s="27"/>
      <c r="D738" s="27"/>
      <c r="E738" s="31">
        <v>0</v>
      </c>
      <c r="F738" s="31">
        <v>0</v>
      </c>
      <c r="G738" s="31">
        <v>0</v>
      </c>
      <c r="H738" s="31">
        <v>0</v>
      </c>
      <c r="I738" s="31">
        <v>0</v>
      </c>
      <c r="J738" s="31">
        <v>0</v>
      </c>
      <c r="K738" s="31">
        <v>0</v>
      </c>
      <c r="L738" s="31">
        <v>0</v>
      </c>
      <c r="M738" s="31">
        <v>0</v>
      </c>
      <c r="N738" s="31">
        <v>0</v>
      </c>
      <c r="O738" s="27"/>
      <c r="P738" s="29"/>
      <c r="Q738" s="30"/>
    </row>
    <row r="739" spans="1:17" ht="90" x14ac:dyDescent="0.25">
      <c r="A739" s="13" t="s">
        <v>1872</v>
      </c>
      <c r="B739" s="14" t="s">
        <v>1873</v>
      </c>
      <c r="C739" s="15" t="s">
        <v>1356</v>
      </c>
      <c r="D739" s="15" t="s">
        <v>1359</v>
      </c>
      <c r="E739" s="16">
        <f t="shared" ref="E739:N739" si="343">SUM(E740:E740)</f>
        <v>103189.69</v>
      </c>
      <c r="F739" s="16">
        <f t="shared" si="343"/>
        <v>97810</v>
      </c>
      <c r="G739" s="16">
        <f t="shared" si="343"/>
        <v>0</v>
      </c>
      <c r="H739" s="16">
        <f t="shared" si="343"/>
        <v>0</v>
      </c>
      <c r="I739" s="16">
        <f t="shared" si="343"/>
        <v>0</v>
      </c>
      <c r="J739" s="16">
        <f t="shared" si="343"/>
        <v>0</v>
      </c>
      <c r="K739" s="16">
        <f t="shared" si="343"/>
        <v>0</v>
      </c>
      <c r="L739" s="16">
        <f t="shared" si="343"/>
        <v>5379.69</v>
      </c>
      <c r="M739" s="16">
        <f t="shared" si="343"/>
        <v>0</v>
      </c>
      <c r="N739" s="16">
        <f t="shared" si="343"/>
        <v>0</v>
      </c>
      <c r="O739" s="15" t="s">
        <v>487</v>
      </c>
      <c r="P739" s="17" t="s">
        <v>29</v>
      </c>
      <c r="Q739" s="18" t="s">
        <v>1874</v>
      </c>
    </row>
    <row r="740" spans="1:17" ht="135" x14ac:dyDescent="0.25">
      <c r="A740" s="19" t="s">
        <v>1875</v>
      </c>
      <c r="B740" s="20" t="s">
        <v>489</v>
      </c>
      <c r="C740" s="21" t="s">
        <v>1356</v>
      </c>
      <c r="D740" s="21" t="s">
        <v>1359</v>
      </c>
      <c r="E740" s="22">
        <f t="shared" ref="E740:N740" si="344">E741+E743</f>
        <v>103189.69</v>
      </c>
      <c r="F740" s="22">
        <f t="shared" si="344"/>
        <v>97810</v>
      </c>
      <c r="G740" s="22">
        <f t="shared" si="344"/>
        <v>0</v>
      </c>
      <c r="H740" s="22">
        <f t="shared" si="344"/>
        <v>0</v>
      </c>
      <c r="I740" s="22">
        <f t="shared" si="344"/>
        <v>0</v>
      </c>
      <c r="J740" s="22">
        <f t="shared" si="344"/>
        <v>0</v>
      </c>
      <c r="K740" s="22">
        <f t="shared" si="344"/>
        <v>0</v>
      </c>
      <c r="L740" s="22">
        <f t="shared" si="344"/>
        <v>5379.69</v>
      </c>
      <c r="M740" s="22">
        <f t="shared" si="344"/>
        <v>0</v>
      </c>
      <c r="N740" s="22">
        <f t="shared" si="344"/>
        <v>0</v>
      </c>
      <c r="O740" s="21" t="s">
        <v>1876</v>
      </c>
      <c r="P740" s="23" t="s">
        <v>1127</v>
      </c>
      <c r="Q740" s="24" t="s">
        <v>1877</v>
      </c>
    </row>
    <row r="741" spans="1:17" ht="209.25" x14ac:dyDescent="0.25">
      <c r="A741" s="25" t="s">
        <v>1878</v>
      </c>
      <c r="B741" s="26" t="s">
        <v>1879</v>
      </c>
      <c r="C741" s="27" t="s">
        <v>1356</v>
      </c>
      <c r="D741" s="27" t="s">
        <v>1426</v>
      </c>
      <c r="E741" s="28">
        <f>SUM(E742:E742)+5379.69</f>
        <v>5379.69</v>
      </c>
      <c r="F741" s="28">
        <f t="shared" ref="F741:K741" si="345">SUM(F742:F742)</f>
        <v>0</v>
      </c>
      <c r="G741" s="28">
        <f t="shared" si="345"/>
        <v>0</v>
      </c>
      <c r="H741" s="28">
        <f t="shared" si="345"/>
        <v>0</v>
      </c>
      <c r="I741" s="28">
        <f t="shared" si="345"/>
        <v>0</v>
      </c>
      <c r="J741" s="28">
        <f t="shared" si="345"/>
        <v>0</v>
      </c>
      <c r="K741" s="28">
        <f t="shared" si="345"/>
        <v>0</v>
      </c>
      <c r="L741" s="28">
        <f>SUM(L742:L742)+5379.69</f>
        <v>5379.69</v>
      </c>
      <c r="M741" s="28">
        <f>SUM(M742:M742)</f>
        <v>0</v>
      </c>
      <c r="N741" s="28">
        <f>SUM(N742:N742)</f>
        <v>0</v>
      </c>
      <c r="O741" s="27" t="s">
        <v>1880</v>
      </c>
      <c r="P741" s="29" t="s">
        <v>34</v>
      </c>
      <c r="Q741" s="30" t="s">
        <v>200</v>
      </c>
    </row>
    <row r="742" spans="1:17" ht="46.5" x14ac:dyDescent="0.25">
      <c r="A742" s="25" t="s">
        <v>1881</v>
      </c>
      <c r="B742" s="26" t="s">
        <v>1882</v>
      </c>
      <c r="C742" s="27"/>
      <c r="D742" s="27"/>
      <c r="E742" s="31">
        <v>0</v>
      </c>
      <c r="F742" s="31">
        <v>0</v>
      </c>
      <c r="G742" s="31">
        <v>0</v>
      </c>
      <c r="H742" s="31">
        <v>0</v>
      </c>
      <c r="I742" s="31">
        <v>0</v>
      </c>
      <c r="J742" s="31">
        <v>0</v>
      </c>
      <c r="K742" s="31">
        <v>0</v>
      </c>
      <c r="L742" s="31">
        <v>0</v>
      </c>
      <c r="M742" s="31">
        <v>0</v>
      </c>
      <c r="N742" s="31">
        <v>0</v>
      </c>
      <c r="O742" s="27"/>
      <c r="P742" s="29"/>
      <c r="Q742" s="30"/>
    </row>
    <row r="743" spans="1:17" ht="116.25" x14ac:dyDescent="0.25">
      <c r="A743" s="25" t="s">
        <v>1883</v>
      </c>
      <c r="B743" s="26" t="s">
        <v>1884</v>
      </c>
      <c r="C743" s="27" t="s">
        <v>1885</v>
      </c>
      <c r="D743" s="27" t="s">
        <v>1378</v>
      </c>
      <c r="E743" s="28">
        <f>SUM(E744:E746)+97810</f>
        <v>97810</v>
      </c>
      <c r="F743" s="28">
        <f>SUM(F744:F746)+97810</f>
        <v>97810</v>
      </c>
      <c r="G743" s="28">
        <f t="shared" ref="G743:N743" si="346">SUM(G744:G746)</f>
        <v>0</v>
      </c>
      <c r="H743" s="28">
        <f t="shared" si="346"/>
        <v>0</v>
      </c>
      <c r="I743" s="28">
        <f t="shared" si="346"/>
        <v>0</v>
      </c>
      <c r="J743" s="28">
        <f t="shared" si="346"/>
        <v>0</v>
      </c>
      <c r="K743" s="28">
        <f t="shared" si="346"/>
        <v>0</v>
      </c>
      <c r="L743" s="28">
        <f t="shared" si="346"/>
        <v>0</v>
      </c>
      <c r="M743" s="28">
        <f t="shared" si="346"/>
        <v>0</v>
      </c>
      <c r="N743" s="28">
        <f t="shared" si="346"/>
        <v>0</v>
      </c>
      <c r="O743" s="27" t="s">
        <v>1886</v>
      </c>
      <c r="P743" s="29" t="s">
        <v>34</v>
      </c>
      <c r="Q743" s="30" t="s">
        <v>160</v>
      </c>
    </row>
    <row r="744" spans="1:17" ht="93" x14ac:dyDescent="0.25">
      <c r="A744" s="32"/>
      <c r="B744" s="33"/>
      <c r="C744" s="34"/>
      <c r="D744" s="34"/>
      <c r="E744" s="35">
        <v>0</v>
      </c>
      <c r="F744" s="35">
        <v>0</v>
      </c>
      <c r="G744" s="35">
        <v>0</v>
      </c>
      <c r="H744" s="35">
        <v>0</v>
      </c>
      <c r="I744" s="35">
        <v>0</v>
      </c>
      <c r="J744" s="35">
        <v>0</v>
      </c>
      <c r="K744" s="35">
        <v>0</v>
      </c>
      <c r="L744" s="35">
        <v>0</v>
      </c>
      <c r="M744" s="35">
        <v>0</v>
      </c>
      <c r="N744" s="35">
        <v>0</v>
      </c>
      <c r="O744" s="34" t="s">
        <v>1887</v>
      </c>
      <c r="P744" s="36" t="s">
        <v>34</v>
      </c>
      <c r="Q744" s="37" t="s">
        <v>160</v>
      </c>
    </row>
    <row r="745" spans="1:17" ht="46.5" x14ac:dyDescent="0.25">
      <c r="A745" s="32"/>
      <c r="B745" s="33"/>
      <c r="C745" s="34"/>
      <c r="D745" s="34"/>
      <c r="E745" s="35">
        <v>0</v>
      </c>
      <c r="F745" s="35">
        <v>0</v>
      </c>
      <c r="G745" s="35">
        <v>0</v>
      </c>
      <c r="H745" s="35">
        <v>0</v>
      </c>
      <c r="I745" s="35">
        <v>0</v>
      </c>
      <c r="J745" s="35">
        <v>0</v>
      </c>
      <c r="K745" s="35">
        <v>0</v>
      </c>
      <c r="L745" s="35">
        <v>0</v>
      </c>
      <c r="M745" s="35">
        <v>0</v>
      </c>
      <c r="N745" s="35">
        <v>0</v>
      </c>
      <c r="O745" s="34" t="s">
        <v>1888</v>
      </c>
      <c r="P745" s="36" t="s">
        <v>34</v>
      </c>
      <c r="Q745" s="37" t="s">
        <v>75</v>
      </c>
    </row>
    <row r="746" spans="1:17" ht="139.5" x14ac:dyDescent="0.25">
      <c r="A746" s="25" t="s">
        <v>1889</v>
      </c>
      <c r="B746" s="26" t="s">
        <v>1890</v>
      </c>
      <c r="C746" s="27"/>
      <c r="D746" s="27"/>
      <c r="E746" s="31">
        <v>0</v>
      </c>
      <c r="F746" s="31">
        <v>0</v>
      </c>
      <c r="G746" s="31">
        <v>0</v>
      </c>
      <c r="H746" s="31">
        <v>0</v>
      </c>
      <c r="I746" s="31">
        <v>0</v>
      </c>
      <c r="J746" s="31">
        <v>0</v>
      </c>
      <c r="K746" s="31">
        <v>0</v>
      </c>
      <c r="L746" s="31">
        <v>0</v>
      </c>
      <c r="M746" s="31">
        <v>0</v>
      </c>
      <c r="N746" s="31">
        <v>0</v>
      </c>
      <c r="O746" s="27"/>
      <c r="P746" s="29"/>
      <c r="Q746" s="30"/>
    </row>
    <row r="747" spans="1:17" ht="112.5" x14ac:dyDescent="0.25">
      <c r="A747" s="13" t="s">
        <v>1891</v>
      </c>
      <c r="B747" s="14" t="s">
        <v>1892</v>
      </c>
      <c r="C747" s="15" t="s">
        <v>1356</v>
      </c>
      <c r="D747" s="15" t="s">
        <v>1359</v>
      </c>
      <c r="E747" s="16">
        <f t="shared" ref="E747:N747" si="347">SUM(E748:E748)</f>
        <v>0</v>
      </c>
      <c r="F747" s="16">
        <f t="shared" si="347"/>
        <v>0</v>
      </c>
      <c r="G747" s="16">
        <f t="shared" si="347"/>
        <v>0</v>
      </c>
      <c r="H747" s="16">
        <f t="shared" si="347"/>
        <v>0</v>
      </c>
      <c r="I747" s="16">
        <f t="shared" si="347"/>
        <v>0</v>
      </c>
      <c r="J747" s="16">
        <f t="shared" si="347"/>
        <v>0</v>
      </c>
      <c r="K747" s="16">
        <f t="shared" si="347"/>
        <v>0</v>
      </c>
      <c r="L747" s="16">
        <f t="shared" si="347"/>
        <v>0</v>
      </c>
      <c r="M747" s="16">
        <f t="shared" si="347"/>
        <v>0</v>
      </c>
      <c r="N747" s="16">
        <f t="shared" si="347"/>
        <v>0</v>
      </c>
      <c r="O747" s="15" t="s">
        <v>238</v>
      </c>
      <c r="P747" s="17" t="s">
        <v>29</v>
      </c>
      <c r="Q747" s="18" t="s">
        <v>98</v>
      </c>
    </row>
    <row r="748" spans="1:17" ht="67.5" x14ac:dyDescent="0.25">
      <c r="A748" s="19" t="s">
        <v>1893</v>
      </c>
      <c r="B748" s="20" t="s">
        <v>240</v>
      </c>
      <c r="C748" s="21" t="s">
        <v>1356</v>
      </c>
      <c r="D748" s="21" t="s">
        <v>1359</v>
      </c>
      <c r="E748" s="22">
        <f t="shared" ref="E748:N748" si="348">E749+E751</f>
        <v>0</v>
      </c>
      <c r="F748" s="22">
        <f t="shared" si="348"/>
        <v>0</v>
      </c>
      <c r="G748" s="22">
        <f t="shared" si="348"/>
        <v>0</v>
      </c>
      <c r="H748" s="22">
        <f t="shared" si="348"/>
        <v>0</v>
      </c>
      <c r="I748" s="22">
        <f t="shared" si="348"/>
        <v>0</v>
      </c>
      <c r="J748" s="22">
        <f t="shared" si="348"/>
        <v>0</v>
      </c>
      <c r="K748" s="22">
        <f t="shared" si="348"/>
        <v>0</v>
      </c>
      <c r="L748" s="22">
        <f t="shared" si="348"/>
        <v>0</v>
      </c>
      <c r="M748" s="22">
        <f t="shared" si="348"/>
        <v>0</v>
      </c>
      <c r="N748" s="22">
        <f t="shared" si="348"/>
        <v>0</v>
      </c>
      <c r="O748" s="21" t="s">
        <v>241</v>
      </c>
      <c r="P748" s="23" t="s">
        <v>29</v>
      </c>
      <c r="Q748" s="24" t="s">
        <v>242</v>
      </c>
    </row>
    <row r="749" spans="1:17" ht="69.75" x14ac:dyDescent="0.25">
      <c r="A749" s="25" t="s">
        <v>1894</v>
      </c>
      <c r="B749" s="26" t="s">
        <v>1895</v>
      </c>
      <c r="C749" s="27" t="s">
        <v>1356</v>
      </c>
      <c r="D749" s="27" t="s">
        <v>1359</v>
      </c>
      <c r="E749" s="28">
        <f t="shared" ref="E749:N749" si="349">SUM(E750:E750)</f>
        <v>0</v>
      </c>
      <c r="F749" s="28">
        <f t="shared" si="349"/>
        <v>0</v>
      </c>
      <c r="G749" s="28">
        <f t="shared" si="349"/>
        <v>0</v>
      </c>
      <c r="H749" s="28">
        <f t="shared" si="349"/>
        <v>0</v>
      </c>
      <c r="I749" s="28">
        <f t="shared" si="349"/>
        <v>0</v>
      </c>
      <c r="J749" s="28">
        <f t="shared" si="349"/>
        <v>0</v>
      </c>
      <c r="K749" s="28">
        <f t="shared" si="349"/>
        <v>0</v>
      </c>
      <c r="L749" s="28">
        <f t="shared" si="349"/>
        <v>0</v>
      </c>
      <c r="M749" s="28">
        <f t="shared" si="349"/>
        <v>0</v>
      </c>
      <c r="N749" s="28">
        <f t="shared" si="349"/>
        <v>0</v>
      </c>
      <c r="O749" s="27" t="s">
        <v>1896</v>
      </c>
      <c r="P749" s="29" t="s">
        <v>34</v>
      </c>
      <c r="Q749" s="30" t="s">
        <v>75</v>
      </c>
    </row>
    <row r="750" spans="1:17" ht="69.75" x14ac:dyDescent="0.25">
      <c r="A750" s="25" t="s">
        <v>1897</v>
      </c>
      <c r="B750" s="26" t="s">
        <v>1898</v>
      </c>
      <c r="C750" s="27"/>
      <c r="D750" s="27"/>
      <c r="E750" s="31">
        <v>0</v>
      </c>
      <c r="F750" s="31">
        <v>0</v>
      </c>
      <c r="G750" s="31">
        <v>0</v>
      </c>
      <c r="H750" s="31">
        <v>0</v>
      </c>
      <c r="I750" s="31">
        <v>0</v>
      </c>
      <c r="J750" s="31">
        <v>0</v>
      </c>
      <c r="K750" s="31">
        <v>0</v>
      </c>
      <c r="L750" s="31">
        <v>0</v>
      </c>
      <c r="M750" s="31">
        <v>0</v>
      </c>
      <c r="N750" s="31">
        <v>0</v>
      </c>
      <c r="O750" s="27"/>
      <c r="P750" s="29"/>
      <c r="Q750" s="30"/>
    </row>
    <row r="751" spans="1:17" ht="93" x14ac:dyDescent="0.25">
      <c r="A751" s="25" t="s">
        <v>1899</v>
      </c>
      <c r="B751" s="26" t="s">
        <v>1900</v>
      </c>
      <c r="C751" s="27" t="s">
        <v>1356</v>
      </c>
      <c r="D751" s="27" t="s">
        <v>1359</v>
      </c>
      <c r="E751" s="28">
        <f t="shared" ref="E751:N751" si="350">SUM(E752:E752)</f>
        <v>0</v>
      </c>
      <c r="F751" s="28">
        <f t="shared" si="350"/>
        <v>0</v>
      </c>
      <c r="G751" s="28">
        <f t="shared" si="350"/>
        <v>0</v>
      </c>
      <c r="H751" s="28">
        <f t="shared" si="350"/>
        <v>0</v>
      </c>
      <c r="I751" s="28">
        <f t="shared" si="350"/>
        <v>0</v>
      </c>
      <c r="J751" s="28">
        <f t="shared" si="350"/>
        <v>0</v>
      </c>
      <c r="K751" s="28">
        <f t="shared" si="350"/>
        <v>0</v>
      </c>
      <c r="L751" s="28">
        <f t="shared" si="350"/>
        <v>0</v>
      </c>
      <c r="M751" s="28">
        <f t="shared" si="350"/>
        <v>0</v>
      </c>
      <c r="N751" s="28">
        <f t="shared" si="350"/>
        <v>0</v>
      </c>
      <c r="O751" s="27" t="s">
        <v>1901</v>
      </c>
      <c r="P751" s="29" t="s">
        <v>34</v>
      </c>
      <c r="Q751" s="30" t="s">
        <v>1902</v>
      </c>
    </row>
    <row r="752" spans="1:17" ht="69.75" x14ac:dyDescent="0.25">
      <c r="A752" s="38" t="s">
        <v>1903</v>
      </c>
      <c r="B752" s="39" t="s">
        <v>1904</v>
      </c>
      <c r="C752" s="40"/>
      <c r="D752" s="40"/>
      <c r="E752" s="41">
        <v>0</v>
      </c>
      <c r="F752" s="41">
        <v>0</v>
      </c>
      <c r="G752" s="41">
        <v>0</v>
      </c>
      <c r="H752" s="41">
        <v>0</v>
      </c>
      <c r="I752" s="41">
        <v>0</v>
      </c>
      <c r="J752" s="41">
        <v>0</v>
      </c>
      <c r="K752" s="41">
        <v>0</v>
      </c>
      <c r="L752" s="41">
        <v>0</v>
      </c>
      <c r="M752" s="41">
        <v>0</v>
      </c>
      <c r="N752" s="41">
        <v>0</v>
      </c>
      <c r="O752" s="40"/>
      <c r="P752" s="42"/>
      <c r="Q752" s="43"/>
    </row>
    <row r="753" spans="1:17" s="49" customFormat="1" x14ac:dyDescent="0.25">
      <c r="A753" s="44"/>
      <c r="B753" s="44"/>
      <c r="C753" s="45"/>
      <c r="D753" s="45"/>
      <c r="E753" s="46"/>
      <c r="F753" s="46"/>
      <c r="G753" s="46"/>
      <c r="H753" s="46"/>
      <c r="I753" s="46"/>
      <c r="J753" s="46"/>
      <c r="K753" s="46"/>
      <c r="L753" s="46"/>
      <c r="M753" s="46"/>
      <c r="N753" s="46"/>
      <c r="O753" s="45"/>
      <c r="P753" s="47"/>
      <c r="Q753" s="48"/>
    </row>
    <row r="754" spans="1:17" s="49" customFormat="1" x14ac:dyDescent="0.25">
      <c r="A754" s="44"/>
      <c r="B754" s="44"/>
      <c r="C754" s="45"/>
      <c r="D754" s="45"/>
      <c r="E754" s="46"/>
      <c r="F754" s="46"/>
      <c r="G754" s="46"/>
      <c r="H754" s="46"/>
      <c r="I754" s="46"/>
      <c r="J754" s="46"/>
      <c r="K754" s="46"/>
      <c r="L754" s="46"/>
      <c r="M754" s="46"/>
      <c r="N754" s="46"/>
      <c r="O754" s="45"/>
      <c r="P754" s="47"/>
      <c r="Q754" s="48"/>
    </row>
    <row r="755" spans="1:17" s="49" customFormat="1" x14ac:dyDescent="0.25">
      <c r="A755" s="44"/>
      <c r="B755" s="44"/>
      <c r="C755" s="45"/>
      <c r="D755" s="45"/>
      <c r="E755" s="46"/>
      <c r="F755" s="46"/>
      <c r="G755" s="46"/>
      <c r="H755" s="46"/>
      <c r="I755" s="46"/>
      <c r="J755" s="46"/>
      <c r="K755" s="46"/>
      <c r="L755" s="46"/>
      <c r="M755" s="46"/>
      <c r="N755" s="46"/>
      <c r="O755" s="45"/>
      <c r="P755" s="47"/>
      <c r="Q755" s="48"/>
    </row>
    <row r="756" spans="1:17" s="49" customFormat="1" x14ac:dyDescent="0.25">
      <c r="A756" s="44"/>
      <c r="B756" s="44"/>
      <c r="C756" s="45"/>
      <c r="D756" s="45"/>
      <c r="E756" s="46"/>
      <c r="F756" s="46"/>
      <c r="G756" s="46"/>
      <c r="H756" s="46"/>
      <c r="I756" s="46"/>
      <c r="J756" s="46"/>
      <c r="K756" s="46"/>
      <c r="L756" s="46"/>
      <c r="M756" s="46"/>
      <c r="N756" s="46"/>
      <c r="O756" s="45"/>
      <c r="P756" s="47"/>
      <c r="Q756" s="48"/>
    </row>
    <row r="757" spans="1:17" s="49" customFormat="1" x14ac:dyDescent="0.25">
      <c r="A757" s="44"/>
      <c r="B757" s="44"/>
      <c r="C757" s="45"/>
      <c r="D757" s="45"/>
      <c r="E757" s="46"/>
      <c r="F757" s="46"/>
      <c r="G757" s="46"/>
      <c r="H757" s="46"/>
      <c r="I757" s="46"/>
      <c r="J757" s="46"/>
      <c r="K757" s="46"/>
      <c r="L757" s="46"/>
      <c r="M757" s="46"/>
      <c r="N757" s="46"/>
      <c r="O757" s="45"/>
      <c r="P757" s="47"/>
      <c r="Q757" s="48"/>
    </row>
    <row r="758" spans="1:17" x14ac:dyDescent="0.25">
      <c r="A758" s="59" t="s">
        <v>1</v>
      </c>
      <c r="B758" s="59" t="s">
        <v>2</v>
      </c>
      <c r="C758" s="59" t="s">
        <v>5</v>
      </c>
      <c r="D758" s="59" t="s">
        <v>6</v>
      </c>
      <c r="E758" s="60"/>
      <c r="F758" s="60"/>
      <c r="G758" s="60"/>
      <c r="H758" s="60"/>
      <c r="I758" s="60"/>
      <c r="J758" s="60"/>
      <c r="K758" s="60"/>
      <c r="L758" s="60"/>
    </row>
    <row r="759" spans="1:17" ht="62.25" customHeight="1" x14ac:dyDescent="0.25">
      <c r="A759" s="59"/>
      <c r="B759" s="59"/>
      <c r="C759" s="59"/>
      <c r="D759" s="4" t="s">
        <v>8</v>
      </c>
      <c r="E759" s="4" t="s">
        <v>9</v>
      </c>
      <c r="F759" s="4" t="s">
        <v>10</v>
      </c>
      <c r="G759" s="4" t="s">
        <v>11</v>
      </c>
      <c r="H759" s="4" t="s">
        <v>12</v>
      </c>
      <c r="I759" s="4" t="s">
        <v>13</v>
      </c>
      <c r="J759" s="4" t="s">
        <v>14</v>
      </c>
      <c r="K759" s="4" t="s">
        <v>15</v>
      </c>
      <c r="L759" s="4" t="s">
        <v>16</v>
      </c>
    </row>
    <row r="760" spans="1:17" ht="46.5" x14ac:dyDescent="0.25">
      <c r="A760" s="33" t="s">
        <v>1905</v>
      </c>
      <c r="B760" s="33" t="s">
        <v>1905</v>
      </c>
      <c r="C760" s="50">
        <f t="shared" ref="C760:L760" si="351">SUM(C761:C769)</f>
        <v>26150502.440000001</v>
      </c>
      <c r="D760" s="50">
        <f t="shared" si="351"/>
        <v>20233567.57</v>
      </c>
      <c r="E760" s="50">
        <f t="shared" si="351"/>
        <v>162862.32</v>
      </c>
      <c r="F760" s="50">
        <f t="shared" si="351"/>
        <v>129634.05</v>
      </c>
      <c r="G760" s="50">
        <f t="shared" si="351"/>
        <v>2912926</v>
      </c>
      <c r="H760" s="50">
        <f t="shared" si="351"/>
        <v>0</v>
      </c>
      <c r="I760" s="50">
        <f t="shared" si="351"/>
        <v>177496.95</v>
      </c>
      <c r="J760" s="50">
        <f t="shared" si="351"/>
        <v>2465700.5499999998</v>
      </c>
      <c r="K760" s="50">
        <f t="shared" si="351"/>
        <v>0</v>
      </c>
      <c r="L760" s="50">
        <f t="shared" si="351"/>
        <v>0</v>
      </c>
    </row>
    <row r="761" spans="1:17" x14ac:dyDescent="0.25">
      <c r="A761" s="33" t="s">
        <v>1906</v>
      </c>
      <c r="B761" s="33" t="s">
        <v>1907</v>
      </c>
      <c r="C761" s="35">
        <v>20235061.77</v>
      </c>
      <c r="D761" s="35">
        <v>20233567.57</v>
      </c>
      <c r="E761" s="35">
        <v>0</v>
      </c>
      <c r="F761" s="35">
        <v>0</v>
      </c>
      <c r="G761" s="35">
        <v>0</v>
      </c>
      <c r="H761" s="35">
        <v>0</v>
      </c>
      <c r="I761" s="35">
        <v>0</v>
      </c>
      <c r="J761" s="35">
        <v>1494.2</v>
      </c>
      <c r="K761" s="35">
        <v>0</v>
      </c>
      <c r="L761" s="35">
        <v>0</v>
      </c>
    </row>
    <row r="762" spans="1:17" ht="139.5" x14ac:dyDescent="0.25">
      <c r="A762" s="33" t="s">
        <v>1908</v>
      </c>
      <c r="B762" s="33" t="s">
        <v>1909</v>
      </c>
      <c r="C762" s="35">
        <v>10869.44</v>
      </c>
      <c r="D762" s="35">
        <v>0</v>
      </c>
      <c r="E762" s="35">
        <v>0</v>
      </c>
      <c r="F762" s="35">
        <v>0</v>
      </c>
      <c r="G762" s="35">
        <v>0</v>
      </c>
      <c r="H762" s="35">
        <v>0</v>
      </c>
      <c r="I762" s="35">
        <v>0</v>
      </c>
      <c r="J762" s="35">
        <v>10869.44</v>
      </c>
      <c r="K762" s="35">
        <v>0</v>
      </c>
      <c r="L762" s="35">
        <v>0</v>
      </c>
    </row>
    <row r="763" spans="1:17" ht="46.5" x14ac:dyDescent="0.25">
      <c r="A763" s="33" t="s">
        <v>1910</v>
      </c>
      <c r="B763" s="33" t="s">
        <v>1911</v>
      </c>
      <c r="C763" s="35">
        <v>162862.32</v>
      </c>
      <c r="D763" s="35">
        <v>0</v>
      </c>
      <c r="E763" s="35">
        <v>162862.32</v>
      </c>
      <c r="F763" s="35">
        <v>0</v>
      </c>
      <c r="G763" s="35">
        <v>0</v>
      </c>
      <c r="H763" s="35">
        <v>0</v>
      </c>
      <c r="I763" s="35">
        <v>0</v>
      </c>
      <c r="J763" s="35">
        <v>0</v>
      </c>
      <c r="K763" s="35">
        <v>0</v>
      </c>
      <c r="L763" s="35">
        <v>0</v>
      </c>
    </row>
    <row r="764" spans="1:17" x14ac:dyDescent="0.25">
      <c r="A764" s="33" t="s">
        <v>1912</v>
      </c>
      <c r="B764" s="33" t="s">
        <v>1913</v>
      </c>
      <c r="C764" s="35">
        <v>2956822</v>
      </c>
      <c r="D764" s="35">
        <v>0</v>
      </c>
      <c r="E764" s="35">
        <v>0</v>
      </c>
      <c r="F764" s="35">
        <v>0</v>
      </c>
      <c r="G764" s="35">
        <v>2912926</v>
      </c>
      <c r="H764" s="35">
        <v>0</v>
      </c>
      <c r="I764" s="35">
        <v>0</v>
      </c>
      <c r="J764" s="35">
        <v>0</v>
      </c>
      <c r="K764" s="35">
        <v>0</v>
      </c>
      <c r="L764" s="35">
        <v>0</v>
      </c>
    </row>
    <row r="765" spans="1:17" x14ac:dyDescent="0.25">
      <c r="A765" s="33" t="s">
        <v>1914</v>
      </c>
      <c r="B765" s="33" t="s">
        <v>1915</v>
      </c>
      <c r="C765" s="35">
        <v>1836100</v>
      </c>
      <c r="D765" s="35">
        <v>0</v>
      </c>
      <c r="E765" s="35">
        <v>0</v>
      </c>
      <c r="F765" s="35">
        <v>0</v>
      </c>
      <c r="G765" s="35">
        <v>0</v>
      </c>
      <c r="H765" s="35">
        <v>0</v>
      </c>
      <c r="I765" s="35">
        <v>0</v>
      </c>
      <c r="J765" s="35">
        <v>1836100</v>
      </c>
      <c r="K765" s="35">
        <v>0</v>
      </c>
      <c r="L765" s="35">
        <v>0</v>
      </c>
    </row>
    <row r="766" spans="1:17" ht="46.5" x14ac:dyDescent="0.25">
      <c r="A766" s="33" t="s">
        <v>1916</v>
      </c>
      <c r="B766" s="33" t="s">
        <v>1917</v>
      </c>
      <c r="C766" s="35">
        <v>129634.05</v>
      </c>
      <c r="D766" s="35">
        <v>0</v>
      </c>
      <c r="E766" s="35">
        <v>0</v>
      </c>
      <c r="F766" s="35">
        <v>129634.05</v>
      </c>
      <c r="G766" s="35">
        <v>0</v>
      </c>
      <c r="H766" s="35">
        <v>0</v>
      </c>
      <c r="I766" s="35">
        <v>0</v>
      </c>
      <c r="J766" s="35">
        <v>0</v>
      </c>
      <c r="K766" s="35">
        <v>0</v>
      </c>
      <c r="L766" s="35">
        <v>0</v>
      </c>
    </row>
    <row r="767" spans="1:17" ht="46.5" x14ac:dyDescent="0.25">
      <c r="A767" s="33" t="s">
        <v>1918</v>
      </c>
      <c r="B767" s="33" t="s">
        <v>1919</v>
      </c>
      <c r="C767" s="35">
        <v>48.66</v>
      </c>
      <c r="D767" s="35">
        <v>0</v>
      </c>
      <c r="E767" s="35">
        <v>0</v>
      </c>
      <c r="F767" s="35">
        <v>0</v>
      </c>
      <c r="G767" s="35">
        <v>0</v>
      </c>
      <c r="H767" s="35">
        <v>0</v>
      </c>
      <c r="I767" s="35">
        <v>48.66</v>
      </c>
      <c r="J767" s="35">
        <v>0</v>
      </c>
      <c r="K767" s="35">
        <v>0</v>
      </c>
      <c r="L767" s="35">
        <v>0</v>
      </c>
    </row>
    <row r="768" spans="1:17" ht="116.25" x14ac:dyDescent="0.25">
      <c r="A768" s="33" t="s">
        <v>1920</v>
      </c>
      <c r="B768" s="33" t="s">
        <v>1921</v>
      </c>
      <c r="C768" s="35">
        <v>641655.91</v>
      </c>
      <c r="D768" s="35">
        <v>0</v>
      </c>
      <c r="E768" s="35">
        <v>0</v>
      </c>
      <c r="F768" s="35">
        <v>0</v>
      </c>
      <c r="G768" s="35">
        <v>0</v>
      </c>
      <c r="H768" s="35">
        <v>0</v>
      </c>
      <c r="I768" s="35">
        <v>0</v>
      </c>
      <c r="J768" s="35">
        <v>617236.91</v>
      </c>
      <c r="K768" s="35">
        <v>0</v>
      </c>
      <c r="L768" s="35">
        <v>0</v>
      </c>
    </row>
    <row r="769" spans="1:12" ht="139.5" x14ac:dyDescent="0.25">
      <c r="A769" s="33" t="s">
        <v>1922</v>
      </c>
      <c r="B769" s="33" t="s">
        <v>1923</v>
      </c>
      <c r="C769" s="35">
        <v>177448.29</v>
      </c>
      <c r="D769" s="35">
        <v>0</v>
      </c>
      <c r="E769" s="35">
        <v>0</v>
      </c>
      <c r="F769" s="35">
        <v>0</v>
      </c>
      <c r="G769" s="35">
        <v>0</v>
      </c>
      <c r="H769" s="35">
        <v>0</v>
      </c>
      <c r="I769" s="35">
        <v>177448.29</v>
      </c>
      <c r="J769" s="35">
        <v>0</v>
      </c>
      <c r="K769" s="35">
        <v>0</v>
      </c>
      <c r="L769" s="35">
        <v>0</v>
      </c>
    </row>
    <row r="770" spans="1:12" ht="46.5" x14ac:dyDescent="0.25">
      <c r="A770" s="33" t="s">
        <v>13</v>
      </c>
      <c r="B770" s="33" t="s">
        <v>1924</v>
      </c>
      <c r="C770" s="35">
        <v>1290136.83</v>
      </c>
      <c r="D770" s="35">
        <v>0</v>
      </c>
      <c r="E770" s="35">
        <v>0</v>
      </c>
      <c r="F770" s="35">
        <v>0</v>
      </c>
      <c r="G770" s="35">
        <v>0</v>
      </c>
      <c r="H770" s="35">
        <v>0</v>
      </c>
      <c r="I770" s="35">
        <v>1290136.83</v>
      </c>
      <c r="J770" s="35">
        <v>0</v>
      </c>
      <c r="K770" s="35">
        <v>0</v>
      </c>
      <c r="L770" s="35">
        <v>0</v>
      </c>
    </row>
    <row r="771" spans="1:12" ht="93" x14ac:dyDescent="0.25">
      <c r="A771" s="33" t="s">
        <v>14</v>
      </c>
      <c r="B771" s="33" t="s">
        <v>1925</v>
      </c>
      <c r="C771" s="35">
        <v>12549409.039999999</v>
      </c>
      <c r="D771" s="35">
        <v>0</v>
      </c>
      <c r="E771" s="35">
        <v>0</v>
      </c>
      <c r="F771" s="35">
        <v>0</v>
      </c>
      <c r="G771" s="35">
        <v>0</v>
      </c>
      <c r="H771" s="35">
        <v>0</v>
      </c>
      <c r="I771" s="35">
        <v>0</v>
      </c>
      <c r="J771" s="35">
        <v>12549409.039999999</v>
      </c>
      <c r="K771" s="35">
        <v>0</v>
      </c>
      <c r="L771" s="35">
        <v>0</v>
      </c>
    </row>
    <row r="772" spans="1:12" ht="45" x14ac:dyDescent="0.25">
      <c r="A772" s="51"/>
      <c r="B772" s="52" t="s">
        <v>1926</v>
      </c>
      <c r="C772" s="53">
        <f t="shared" ref="C772:L772" si="352">C760+C770+C771</f>
        <v>39990048.310000002</v>
      </c>
      <c r="D772" s="53">
        <f t="shared" si="352"/>
        <v>20233567.57</v>
      </c>
      <c r="E772" s="53">
        <f t="shared" si="352"/>
        <v>162862.32</v>
      </c>
      <c r="F772" s="53">
        <f t="shared" si="352"/>
        <v>129634.05</v>
      </c>
      <c r="G772" s="53">
        <f t="shared" si="352"/>
        <v>2912926</v>
      </c>
      <c r="H772" s="53">
        <f t="shared" si="352"/>
        <v>0</v>
      </c>
      <c r="I772" s="53">
        <f t="shared" si="352"/>
        <v>1467633.78</v>
      </c>
      <c r="J772" s="53">
        <f t="shared" si="352"/>
        <v>15015109.59</v>
      </c>
      <c r="K772" s="53">
        <f t="shared" si="352"/>
        <v>0</v>
      </c>
      <c r="L772" s="53">
        <f t="shared" si="352"/>
        <v>0</v>
      </c>
    </row>
    <row r="773" spans="1:12" ht="39.75" customHeight="1" x14ac:dyDescent="0.25">
      <c r="A773" s="54"/>
      <c r="B773" s="55"/>
      <c r="C773" s="56"/>
      <c r="D773" s="56"/>
      <c r="E773" s="56"/>
      <c r="F773" s="56"/>
      <c r="G773" s="56"/>
      <c r="H773" s="56"/>
      <c r="I773" s="56"/>
      <c r="J773" s="56"/>
      <c r="K773" s="56"/>
      <c r="L773" s="56"/>
    </row>
  </sheetData>
  <mergeCells count="24">
    <mergeCell ref="O1:Q5"/>
    <mergeCell ref="P7:P8"/>
    <mergeCell ref="F6:N6"/>
    <mergeCell ref="O6:Q6"/>
    <mergeCell ref="M7:M8"/>
    <mergeCell ref="N7:N8"/>
    <mergeCell ref="O7:O8"/>
    <mergeCell ref="D3:L3"/>
    <mergeCell ref="A758:A759"/>
    <mergeCell ref="B758:B759"/>
    <mergeCell ref="C758:C759"/>
    <mergeCell ref="D758:L758"/>
    <mergeCell ref="A6:A8"/>
    <mergeCell ref="B6:B8"/>
    <mergeCell ref="C6:C8"/>
    <mergeCell ref="D6:D8"/>
    <mergeCell ref="E6:E8"/>
    <mergeCell ref="F7:F8"/>
    <mergeCell ref="G7:G8"/>
    <mergeCell ref="H7:H8"/>
    <mergeCell ref="I7:I8"/>
    <mergeCell ref="J7:J8"/>
    <mergeCell ref="K7:K8"/>
    <mergeCell ref="L7:L8"/>
  </mergeCells>
  <pageMargins left="0.25" right="0.25" top="0.75" bottom="0.75" header="0.3" footer="0.3"/>
  <pageSetup paperSize="9" scale="3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2024-03-15T14:55:37Z</cp:lastPrinted>
  <dcterms:created xsi:type="dcterms:W3CDTF">2024-03-14T12:17:34Z</dcterms:created>
  <dcterms:modified xsi:type="dcterms:W3CDTF">2024-03-15T15:42:29Z</dcterms:modified>
</cp:coreProperties>
</file>