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KAS_D\dokumentai\2024\Sprendimai\0315\"/>
    </mc:Choice>
  </mc:AlternateContent>
  <xr:revisionPtr revIDLastSave="0" documentId="13_ncr:1_{8E132FF3-7EF6-4845-828A-5E415AB96E21}" xr6:coauthVersionLast="47" xr6:coauthVersionMax="47" xr10:uidLastSave="{00000000-0000-0000-0000-000000000000}"/>
  <bookViews>
    <workbookView xWindow="-120" yWindow="-120" windowWidth="29040" windowHeight="15840" xr2:uid="{BA18E4A0-9000-4376-8966-81B91D7D2F03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6" i="1" l="1"/>
  <c r="F75" i="1"/>
  <c r="G89" i="1" l="1"/>
  <c r="F96" i="1" l="1"/>
  <c r="G96" i="1" s="1"/>
  <c r="G97" i="1" s="1"/>
  <c r="F94" i="1"/>
  <c r="F91" i="1"/>
  <c r="G91" i="1" s="1"/>
  <c r="F90" i="1"/>
  <c r="G90" i="1" s="1"/>
  <c r="F88" i="1"/>
  <c r="G88" i="1" s="1"/>
  <c r="F87" i="1"/>
  <c r="G87" i="1" s="1"/>
  <c r="F86" i="1"/>
  <c r="G86" i="1" s="1"/>
  <c r="F85" i="1"/>
  <c r="G85" i="1" s="1"/>
  <c r="F84" i="1"/>
  <c r="F83" i="1"/>
  <c r="G83" i="1" s="1"/>
  <c r="G92" i="1" s="1"/>
  <c r="F82" i="1"/>
  <c r="F81" i="1"/>
  <c r="F80" i="1"/>
  <c r="G80" i="1" s="1"/>
  <c r="F79" i="1"/>
  <c r="F78" i="1"/>
  <c r="F77" i="1"/>
  <c r="G77" i="1" s="1"/>
  <c r="A75" i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F74" i="1"/>
  <c r="F71" i="1"/>
  <c r="G71" i="1" s="1"/>
  <c r="F70" i="1"/>
  <c r="G70" i="1" s="1"/>
  <c r="G72" i="1" s="1"/>
  <c r="G68" i="1"/>
  <c r="F66" i="1"/>
  <c r="F63" i="1"/>
  <c r="F62" i="1"/>
  <c r="G62" i="1" s="1"/>
  <c r="F61" i="1"/>
  <c r="G61" i="1" s="1"/>
  <c r="G64" i="1" s="1"/>
  <c r="F60" i="1"/>
  <c r="F57" i="1"/>
  <c r="G57" i="1" s="1"/>
  <c r="F56" i="1"/>
  <c r="G56" i="1" s="1"/>
  <c r="G58" i="1" s="1"/>
  <c r="F53" i="1"/>
  <c r="G53" i="1" s="1"/>
  <c r="F52" i="1"/>
  <c r="G52" i="1" s="1"/>
  <c r="G54" i="1" s="1"/>
  <c r="G49" i="1"/>
  <c r="F48" i="1"/>
  <c r="F47" i="1"/>
  <c r="F43" i="1"/>
  <c r="G43" i="1" s="1"/>
  <c r="F42" i="1"/>
  <c r="F41" i="1"/>
  <c r="G41" i="1" s="1"/>
  <c r="F40" i="1"/>
  <c r="G40" i="1" s="1"/>
  <c r="G44" i="1" s="1"/>
  <c r="A40" i="1"/>
  <c r="A41" i="1" s="1"/>
  <c r="A42" i="1" s="1"/>
  <c r="A43" i="1" s="1"/>
  <c r="F39" i="1"/>
  <c r="F34" i="1"/>
  <c r="G34" i="1" s="1"/>
  <c r="G37" i="1" s="1"/>
  <c r="A34" i="1"/>
  <c r="A35" i="1" s="1"/>
  <c r="A36" i="1" s="1"/>
  <c r="F33" i="1"/>
  <c r="F30" i="1"/>
  <c r="G30" i="1" s="1"/>
  <c r="F29" i="1"/>
  <c r="G29" i="1" s="1"/>
  <c r="F28" i="1"/>
  <c r="G28" i="1" s="1"/>
  <c r="G31" i="1" s="1"/>
  <c r="F25" i="1"/>
  <c r="G25" i="1" s="1"/>
  <c r="F24" i="1"/>
  <c r="F23" i="1"/>
  <c r="G23" i="1" s="1"/>
  <c r="G26" i="1" s="1"/>
  <c r="A23" i="1"/>
  <c r="A24" i="1" s="1"/>
  <c r="A25" i="1" s="1"/>
  <c r="F22" i="1"/>
  <c r="F19" i="1"/>
  <c r="F18" i="1"/>
  <c r="F17" i="1"/>
  <c r="F16" i="1"/>
  <c r="F15" i="1"/>
  <c r="G15" i="1" s="1"/>
  <c r="F14" i="1"/>
  <c r="G14" i="1" s="1"/>
  <c r="G20" i="1" s="1"/>
  <c r="F9" i="1"/>
  <c r="F8" i="1"/>
  <c r="G8" i="1" s="1"/>
  <c r="G11" i="1" s="1"/>
  <c r="G98" i="1" l="1"/>
  <c r="G104" i="1" s="1"/>
</calcChain>
</file>

<file path=xl/sharedStrings.xml><?xml version="1.0" encoding="utf-8"?>
<sst xmlns="http://schemas.openxmlformats.org/spreadsheetml/2006/main" count="197" uniqueCount="101">
  <si>
    <t>PATVIRTINTA</t>
  </si>
  <si>
    <t>Šakių rajono savivaldybės tarybos</t>
  </si>
  <si>
    <t>ŠAKIŲ RAJONO SAVIVALDYBĖS VIETINĖS REIKŠMĖS KELIŲ (GATVIŲ) TIESIMO, REKONSTRAVIMO, KAPITALINIO AR  PAPRASTOJO REMONTO DARBŲ 2024 – 2026 METŲ PRIORITETINIS OBJEKTŲ SĄRAŠAS</t>
  </si>
  <si>
    <t>Eil. Nr.</t>
  </si>
  <si>
    <t>Objektas 
(gatvės, kelio pavadinimas)</t>
  </si>
  <si>
    <r>
      <t>Preliminarus kiekis, m</t>
    </r>
    <r>
      <rPr>
        <b/>
        <vertAlign val="superscript"/>
        <sz val="11.5"/>
        <color theme="1"/>
        <rFont val="Times New Roman"/>
        <family val="1"/>
        <charset val="186"/>
      </rPr>
      <t>2</t>
    </r>
  </si>
  <si>
    <t>Preliminari kaina, tūkst. Eur</t>
  </si>
  <si>
    <t>Barzdų seniūnija</t>
  </si>
  <si>
    <t>Asfalto dangos įrengimas Baltrušių k. Lauko gatvėje Nr. Bal-2</t>
  </si>
  <si>
    <t>inž. pasl.</t>
  </si>
  <si>
    <t>kap. rem.</t>
  </si>
  <si>
    <t>Asfalto dangos įrengimas Barzdų gyvenvietės kelyje (Bažnyčios g.) Nr. B-III-33</t>
  </si>
  <si>
    <t>Bažnyčios g. Barzdai (B-II-33)</t>
  </si>
  <si>
    <t>Iš viso:</t>
  </si>
  <si>
    <t>Gelgaudiškio seniūnija</t>
  </si>
  <si>
    <t>Asfalto dangos įrengimas Gelgaudiškio m. Nemuno gatvės Nr. Gel-14 atkarpoje ir Skaistakaimio k. Nemuno gatvės Nr. Ska-2 atkarpoje</t>
  </si>
  <si>
    <t>Asfalto dangos įrengimas Gelgaudiškio m. Miško gatvėje Nr. Gel-12</t>
  </si>
  <si>
    <t>Asfalto dangos įrengimas Gelgaudiškio m. Lauko gatvėje Nr. Gel-10</t>
  </si>
  <si>
    <t>Asfalto dangos įrengimas Gelgaudiškio m. Tylos gatvėje Nr. Gel-22</t>
  </si>
  <si>
    <t>Asfalto dangos įrengimas Gelgaudiškio m. Kranto gatvėje Nr. Gel-9</t>
  </si>
  <si>
    <t>Asfalto dangos įrengimas Daukantiškių k. Liepų gatvėje Nr. Dau-3</t>
  </si>
  <si>
    <t>Asfalto dangos įrengimas Gelgaudiškio m. Smėlio gatvėje Nr. Dau-6</t>
  </si>
  <si>
    <t>Griškabūdžio seniūnija</t>
  </si>
  <si>
    <t>Asfalto dangos  įrengimas Griškabūdžio mstl. Mokyklos gatvėje Nr. Gri-9</t>
  </si>
  <si>
    <t>Asfalto dangos atnaujinimas Patašinės k. Lauko gatvės Nr. Pat-3 atkarpoje</t>
  </si>
  <si>
    <t>papr. rem.</t>
  </si>
  <si>
    <t>Asfalto dangos įrengimas Griškabūdžio mstl. Draugystės gatvėje Nr. Gri-5</t>
  </si>
  <si>
    <t>Asfalto dangos atnaujinimas Griškabūdžio mstl. Ryto gatvėje Nr. Gri-15</t>
  </si>
  <si>
    <t>Kidulių seniūnija</t>
  </si>
  <si>
    <t>Asfalto dangos įrengimas Bunikių k. Salos gatvės Nr. Bun-2 atkarpoje</t>
  </si>
  <si>
    <t>Asfalto dangos įrengimas Žygėnų k. Centrinėje gatvėje Nr. Žyg-1</t>
  </si>
  <si>
    <t>Asfalto dangos įrengimas Žygėnų k. Gandrų gatvėje Nr. Žyg-3</t>
  </si>
  <si>
    <t>Kriūkų seniūnija</t>
  </si>
  <si>
    <t>Asfalto dangos įrengimas Kriūkų k. Smėlio gatvėje Nr. Kri-3</t>
  </si>
  <si>
    <t>Asfalto dangos įrengimas Žemosios Panemunės k. Kalno gatvėje Nr. Žpa-4 ir Jazminų gatvės Nr. Žpa-3 atkarpoje</t>
  </si>
  <si>
    <t>Kalno g. Žemoji Panemunė Nr. Ki-III-19</t>
  </si>
  <si>
    <t>Sutkų kaimo kelias Ki-III-44</t>
  </si>
  <si>
    <t>Kudirkos Naumiesčio seniūnija</t>
  </si>
  <si>
    <t>Asfalto dangos įrengimas Kudirkos Naumiesčio m. Vilties gatvėje Nr. Kna-17</t>
  </si>
  <si>
    <t>Asfalto dangos įrengimas Kudirkos Naumiesčio m. P. Mašioto gatvės Nr. Kna-7 atkarpoje (link naujų kapinių)</t>
  </si>
  <si>
    <t>Asfalto dangos įrengimas Kudirkos Naumiesčio m. Kranto gatvėje Nr. Kna-6</t>
  </si>
  <si>
    <t>Asfalto dangos įrengimas Tarpučių k. Liepų gatvėje Nr. Tar-2</t>
  </si>
  <si>
    <t>Asfalto dangos įrengimas Kudirkos Naumiesčio m. Baltkalnio gatvėje Nr. Kna-1</t>
  </si>
  <si>
    <t>Lekėčių seniūnija</t>
  </si>
  <si>
    <t>Asfalto dangos įrengimas Mikytų k. J. Blažio gatvės Nr. Mik-1 atkarpoje</t>
  </si>
  <si>
    <t xml:space="preserve"> kap. rem.</t>
  </si>
  <si>
    <t>Asfalto dangos įrengimas Lekėčių mstl. Pušyno gatvės Nr. Lek-8 atkarpoje</t>
  </si>
  <si>
    <t>Asfalto dangos įrengimas Lekėčių mstl. Šilo gatvės Nr. Lek-11 atkarpoje</t>
  </si>
  <si>
    <t>Lukšių seniūnija</t>
  </si>
  <si>
    <t>Asfalto dangos atnaujinimas Lukšių mstl. Vingio gatvėje Nr. Luk-19</t>
  </si>
  <si>
    <t>Asfalto dangos atnaujinimas Lukšių mstl. Pergalės gatvės Nr. Luk-9 atkarpoje</t>
  </si>
  <si>
    <t>Asfalto dangos atnaujinimas Lukšių mstl. Lygumų gatvės Nr. Luk-6 atkarpoje</t>
  </si>
  <si>
    <t>Plokščių seniūnija</t>
  </si>
  <si>
    <t>Asfalto dangos atnaujinimas Plokščių k. Bažnyčios gatvės Nr. Plo-2 atkarpoje</t>
  </si>
  <si>
    <t>Asfalto dangos atnaujinimas Plokščių k. Žaliakalnio gatvėje Nr. Plo-11</t>
  </si>
  <si>
    <t>Sintautų seniūnija</t>
  </si>
  <si>
    <t>Asfalto dangos įrengimas Sintautų mstl. Ievų gatvėje Nr. Sin-4</t>
  </si>
  <si>
    <t>Asfalto dangos įrengimas Veršių k. Lauko gatvėje Nr. Ver-4 ir Mokyklos gatvės Nr. Ver-5 atkarpoje</t>
  </si>
  <si>
    <t>Asfalto dangos atnaujinimas Veršių k. Mokyklos gatvės Nr. Ver-5 atkarpoje</t>
  </si>
  <si>
    <t>Asfalto dangos atnaujinimas ir įrengimas Užsienių k. P. Orintaitės gatvėje Nr. Užs-3</t>
  </si>
  <si>
    <t>Slavikų seniūnija</t>
  </si>
  <si>
    <t>Asfalto dangos įrengimas Slavikų k. Šešupės gatvėje Nr. Sla-6</t>
  </si>
  <si>
    <t xml:space="preserve">ŠILO gatvė Šilgalių k. Slavikų sen. Nr. Šil-1  </t>
  </si>
  <si>
    <t>Sudargo seniūnija</t>
  </si>
  <si>
    <t>Asfalto dangos atnaujinimas Burgaičių k. Piliakalnių gatvėje Nr. Bur-3</t>
  </si>
  <si>
    <t>Žvyro dangos atnaujinimas Rociškių k. Pajotijo gatvės Nr. Roc-2 atkarpoje</t>
  </si>
  <si>
    <t>Šakių seniūnija</t>
  </si>
  <si>
    <t>Asfalto dangos įrengimas Girėnų k. Ąžuolyno gatvėje Nr. Gir-2</t>
  </si>
  <si>
    <t>Asfalto dangos įrengimas Giedručių k. Gulbinų gatvės Nr. Gie-7 atkarpoje</t>
  </si>
  <si>
    <t>Asfalto dangos įrengimas Girėnų k. Ryto gatvėje Nr. Gir-12</t>
  </si>
  <si>
    <t>Asfalto dangos atnaujinimas Šakių m. J. Basanavičiaus gatvės Nr. Šak-10 atkarpoje nuo Šaulių g. iki J. Basanavičiaus g. 55</t>
  </si>
  <si>
    <t>Asfalto dangos įrengimas Giedručių k. Parko gatvėje Nr. Gie-10 ir Ateities gatvės Nr. Gie-2 atkarpoje</t>
  </si>
  <si>
    <t>Asfalto dangos atnaujinimas Giedručių k. Lauko gatvės Nr. Gie-8 atkarpoje</t>
  </si>
  <si>
    <t>Asfalto dangos atnaujinimas Išdagų k. Tuopų gatvėje Nr. Išd-7</t>
  </si>
  <si>
    <t>Papartynų kelias (Š-III-71) ir Papartynų g. (Par-1) Papartynų k.</t>
  </si>
  <si>
    <t>Asfalto dangos įrengimas Šakių m. J. Staugaičio gatvėje Nr. Šak-11</t>
  </si>
  <si>
    <t>Asfalto dangos atnaujinimas Gotlybiškių k. Mokyklos gatvėje Nr. Got-5</t>
  </si>
  <si>
    <t>Asfalto dangos įrengimas Giedručių k. Miško gatvės Nr. Gie-9 atkarpoje</t>
  </si>
  <si>
    <t>Asfalto dangos atnaujinimas Šakių m. Bažnyčios gatvės Nr. Šak-10 atkarpoje nuo Vasario 16-osios g. iki Vytauto g.</t>
  </si>
  <si>
    <t>Asfalto dangos atnaujinimas Šakių m. Nepriklausomybės gatvėje Nr. Šak-23</t>
  </si>
  <si>
    <t>Asfalto dangos įrengimas Giedručių k. Ūkininkų gatvėje Nr. Gie-13</t>
  </si>
  <si>
    <t>Asfalto dangos atnaujinimas Šakių m. Sodų gatvės Nr. Šak-35 atkarpoje</t>
  </si>
  <si>
    <t>Asfalto dangos atnaujinimas Alyvų g. (Duo-1) Duobiškių k., Šakių seniūnija</t>
  </si>
  <si>
    <t>Asfalto dangos įrengimas Šakių m. Giedručių k., Draugystės trumpoji g. (Gie-5)</t>
  </si>
  <si>
    <t>Asfalto dangos įrengimas kelyje Ritiniai - Prūseliai Nr. Š-II-17</t>
  </si>
  <si>
    <t>Žvirgždaičių seniūnija</t>
  </si>
  <si>
    <t>Asfalto dangos atnaujinimas Žvirgždaičių mstl. Taikos gatvėje Nr. Žvi-5</t>
  </si>
  <si>
    <t>Vyžpiniai-Janukiškiai (Ž-III-10) (Vyžpinių kaimo ribose)</t>
  </si>
  <si>
    <t>Asfalto dangos įrengimas Janukiškių k. Serbentų gatvės Nr. Jan-2 atkarpoje</t>
  </si>
  <si>
    <t>SUMA:</t>
  </si>
  <si>
    <t>Kitos veiklos</t>
  </si>
  <si>
    <t>Kelių inventorizacija</t>
  </si>
  <si>
    <t>-</t>
  </si>
  <si>
    <t>Techninė priežiūra, kokybės kontrolė</t>
  </si>
  <si>
    <t>Kelių priežiūra (duobių remontas, dulkėtumo mažinimas)</t>
  </si>
  <si>
    <t>Eismo saugumo priemonės</t>
  </si>
  <si>
    <t>IŠ VISO LĖŠŲ:</t>
  </si>
  <si>
    <t xml:space="preserve"> </t>
  </si>
  <si>
    <t>inž. pasl.
kap. rem.</t>
  </si>
  <si>
    <t xml:space="preserve">inž. pasl. </t>
  </si>
  <si>
    <t>2024 m. kovo 15 d. sprendimu Nr. T-100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</si>
</sst>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.5"/>
      <color theme="1"/>
      <name val="Times New Roman"/>
      <family val="1"/>
      <charset val="186"/>
    </font>
    <font>
      <b/>
      <vertAlign val="superscript"/>
      <sz val="11.5"/>
      <color theme="1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indexed="8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left" vertical="center" wrapText="1"/>
    </xf>
    <xf numFmtId="2" fontId="3" fillId="0" borderId="0" xfId="0" applyNumberFormat="1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6" fillId="0" borderId="7" xfId="0" applyNumberFormat="1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left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3" fontId="4" fillId="0" borderId="13" xfId="0" applyNumberFormat="1" applyFont="1" applyBorder="1" applyAlignment="1">
      <alignment horizontal="center" vertical="center" wrapText="1"/>
    </xf>
    <xf numFmtId="2" fontId="1" fillId="0" borderId="14" xfId="0" applyNumberFormat="1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4" fontId="4" fillId="0" borderId="17" xfId="0" applyNumberFormat="1" applyFont="1" applyBorder="1" applyAlignment="1">
      <alignment horizontal="center" vertical="center" wrapText="1"/>
    </xf>
    <xf numFmtId="2" fontId="1" fillId="0" borderId="17" xfId="0" applyNumberFormat="1" applyFont="1" applyBorder="1" applyAlignment="1">
      <alignment horizontal="center" vertical="center" wrapText="1"/>
    </xf>
    <xf numFmtId="4" fontId="4" fillId="0" borderId="18" xfId="0" applyNumberFormat="1" applyFont="1" applyBorder="1" applyAlignment="1">
      <alignment horizontal="center" vertical="center" wrapText="1"/>
    </xf>
    <xf numFmtId="4" fontId="5" fillId="3" borderId="22" xfId="0" applyNumberFormat="1" applyFont="1" applyFill="1" applyBorder="1" applyAlignment="1">
      <alignment horizontal="center" vertical="center" wrapText="1"/>
    </xf>
    <xf numFmtId="3" fontId="8" fillId="0" borderId="26" xfId="0" applyNumberFormat="1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3" fontId="8" fillId="0" borderId="27" xfId="0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left" vertical="center" wrapText="1"/>
    </xf>
    <xf numFmtId="3" fontId="8" fillId="0" borderId="28" xfId="0" applyNumberFormat="1" applyFont="1" applyBorder="1" applyAlignment="1">
      <alignment horizontal="center" vertical="center" wrapText="1"/>
    </xf>
    <xf numFmtId="4" fontId="4" fillId="0" borderId="17" xfId="0" applyNumberFormat="1" applyFont="1" applyBorder="1" applyAlignment="1">
      <alignment horizontal="left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4" fontId="1" fillId="0" borderId="18" xfId="0" applyNumberFormat="1" applyFont="1" applyBorder="1" applyAlignment="1">
      <alignment horizontal="center" vertical="center" wrapText="1"/>
    </xf>
    <xf numFmtId="3" fontId="8" fillId="0" borderId="32" xfId="0" applyNumberFormat="1" applyFont="1" applyBorder="1" applyAlignment="1">
      <alignment horizontal="center" vertical="center" wrapText="1"/>
    </xf>
    <xf numFmtId="4" fontId="8" fillId="0" borderId="33" xfId="0" applyNumberFormat="1" applyFont="1" applyBorder="1" applyAlignment="1">
      <alignment horizontal="center" vertical="center" wrapText="1"/>
    </xf>
    <xf numFmtId="4" fontId="4" fillId="0" borderId="34" xfId="0" applyNumberFormat="1" applyFont="1" applyBorder="1" applyAlignment="1">
      <alignment horizontal="center" vertical="center" wrapText="1"/>
    </xf>
    <xf numFmtId="4" fontId="1" fillId="0" borderId="34" xfId="0" applyNumberFormat="1" applyFont="1" applyBorder="1" applyAlignment="1">
      <alignment horizontal="center" vertical="center" wrapText="1"/>
    </xf>
    <xf numFmtId="4" fontId="1" fillId="0" borderId="33" xfId="0" applyNumberFormat="1" applyFont="1" applyBorder="1" applyAlignment="1">
      <alignment horizontal="center" vertical="center" wrapText="1"/>
    </xf>
    <xf numFmtId="4" fontId="5" fillId="3" borderId="38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1" fillId="0" borderId="17" xfId="0" applyFont="1" applyBorder="1"/>
    <xf numFmtId="4" fontId="8" fillId="0" borderId="17" xfId="0" applyNumberFormat="1" applyFont="1" applyBorder="1" applyAlignment="1">
      <alignment horizontal="left" vertical="center" wrapText="1"/>
    </xf>
    <xf numFmtId="4" fontId="8" fillId="0" borderId="39" xfId="0" applyNumberFormat="1" applyFont="1" applyBorder="1" applyAlignment="1">
      <alignment horizontal="left" vertical="center" wrapText="1"/>
    </xf>
    <xf numFmtId="4" fontId="8" fillId="0" borderId="27" xfId="0" applyNumberFormat="1" applyFont="1" applyBorder="1" applyAlignment="1">
      <alignment horizontal="center" vertical="center" wrapText="1"/>
    </xf>
    <xf numFmtId="4" fontId="4" fillId="0" borderId="40" xfId="0" applyNumberFormat="1" applyFont="1" applyBorder="1" applyAlignment="1">
      <alignment horizontal="center" vertical="center" wrapText="1"/>
    </xf>
    <xf numFmtId="4" fontId="1" fillId="0" borderId="39" xfId="0" applyNumberFormat="1" applyFont="1" applyBorder="1" applyAlignment="1">
      <alignment horizontal="left" vertical="center" wrapText="1"/>
    </xf>
    <xf numFmtId="4" fontId="1" fillId="0" borderId="27" xfId="0" applyNumberFormat="1" applyFont="1" applyBorder="1" applyAlignment="1">
      <alignment horizontal="center" vertical="center" wrapText="1"/>
    </xf>
    <xf numFmtId="0" fontId="1" fillId="0" borderId="20" xfId="0" applyFont="1" applyBorder="1"/>
    <xf numFmtId="0" fontId="4" fillId="4" borderId="14" xfId="0" applyFont="1" applyFill="1" applyBorder="1" applyAlignment="1">
      <alignment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2" fontId="1" fillId="0" borderId="17" xfId="0" applyNumberFormat="1" applyFont="1" applyBorder="1" applyAlignment="1">
      <alignment horizontal="left" vertical="top" wrapText="1"/>
    </xf>
    <xf numFmtId="4" fontId="4" fillId="0" borderId="39" xfId="0" applyNumberFormat="1" applyFont="1" applyBorder="1" applyAlignment="1">
      <alignment horizontal="left" vertical="center" wrapText="1"/>
    </xf>
    <xf numFmtId="4" fontId="4" fillId="0" borderId="2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" fontId="4" fillId="0" borderId="45" xfId="0" applyNumberFormat="1" applyFont="1" applyBorder="1" applyAlignment="1">
      <alignment horizontal="center" vertical="center" wrapText="1"/>
    </xf>
    <xf numFmtId="3" fontId="1" fillId="0" borderId="32" xfId="0" applyNumberFormat="1" applyFont="1" applyBorder="1" applyAlignment="1">
      <alignment horizontal="center" vertical="center" wrapText="1"/>
    </xf>
    <xf numFmtId="4" fontId="1" fillId="0" borderId="40" xfId="0" applyNumberFormat="1" applyFont="1" applyBorder="1" applyAlignment="1">
      <alignment horizontal="center" vertical="center" wrapText="1"/>
    </xf>
    <xf numFmtId="4" fontId="5" fillId="5" borderId="46" xfId="0" applyNumberFormat="1" applyFont="1" applyFill="1" applyBorder="1" applyAlignment="1">
      <alignment horizontal="center" vertical="center" wrapText="1"/>
    </xf>
    <xf numFmtId="4" fontId="5" fillId="6" borderId="60" xfId="0" applyNumberFormat="1" applyFont="1" applyFill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5" xfId="0" applyNumberFormat="1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4" fontId="11" fillId="0" borderId="12" xfId="0" applyNumberFormat="1" applyFont="1" applyBorder="1" applyAlignment="1">
      <alignment horizontal="center" vertical="center" wrapText="1"/>
    </xf>
    <xf numFmtId="4" fontId="5" fillId="0" borderId="15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horizontal="center" vertical="center" wrapText="1"/>
    </xf>
    <xf numFmtId="4" fontId="5" fillId="0" borderId="34" xfId="0" applyNumberFormat="1" applyFont="1" applyBorder="1" applyAlignment="1">
      <alignment horizontal="center" vertical="center" wrapText="1"/>
    </xf>
    <xf numFmtId="4" fontId="8" fillId="0" borderId="47" xfId="0" applyNumberFormat="1" applyFont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51" xfId="0" applyNumberFormat="1" applyFont="1" applyBorder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8" fillId="0" borderId="52" xfId="0" applyNumberFormat="1" applyFont="1" applyBorder="1" applyAlignment="1">
      <alignment horizontal="center" vertical="center" wrapText="1"/>
    </xf>
    <xf numFmtId="4" fontId="8" fillId="0" borderId="53" xfId="0" applyNumberFormat="1" applyFont="1" applyBorder="1" applyAlignment="1">
      <alignment horizontal="center" vertical="center" wrapText="1"/>
    </xf>
    <xf numFmtId="4" fontId="8" fillId="0" borderId="54" xfId="0" applyNumberFormat="1" applyFont="1" applyBorder="1" applyAlignment="1">
      <alignment horizontal="center" vertical="center" wrapText="1"/>
    </xf>
    <xf numFmtId="4" fontId="8" fillId="0" borderId="55" xfId="0" applyNumberFormat="1" applyFont="1" applyBorder="1" applyAlignment="1">
      <alignment horizontal="center" vertical="center" wrapText="1"/>
    </xf>
    <xf numFmtId="4" fontId="8" fillId="0" borderId="50" xfId="0" applyNumberFormat="1" applyFont="1" applyBorder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4" fontId="8" fillId="0" borderId="56" xfId="0" applyNumberFormat="1" applyFont="1" applyBorder="1" applyAlignment="1">
      <alignment horizontal="center" vertical="center" wrapText="1"/>
    </xf>
    <xf numFmtId="4" fontId="5" fillId="6" borderId="57" xfId="0" applyNumberFormat="1" applyFont="1" applyFill="1" applyBorder="1" applyAlignment="1">
      <alignment horizontal="right" vertical="center" wrapText="1"/>
    </xf>
    <xf numFmtId="4" fontId="5" fillId="6" borderId="58" xfId="0" applyNumberFormat="1" applyFont="1" applyFill="1" applyBorder="1" applyAlignment="1">
      <alignment horizontal="right" vertical="center" wrapText="1"/>
    </xf>
    <xf numFmtId="4" fontId="5" fillId="6" borderId="59" xfId="0" applyNumberFormat="1" applyFont="1" applyFill="1" applyBorder="1" applyAlignment="1">
      <alignment horizontal="right" vertical="center" wrapText="1"/>
    </xf>
    <xf numFmtId="4" fontId="5" fillId="2" borderId="23" xfId="0" applyNumberFormat="1" applyFont="1" applyFill="1" applyBorder="1" applyAlignment="1">
      <alignment horizontal="center" vertical="center" wrapText="1"/>
    </xf>
    <xf numFmtId="4" fontId="5" fillId="2" borderId="24" xfId="0" applyNumberFormat="1" applyFont="1" applyFill="1" applyBorder="1" applyAlignment="1">
      <alignment horizontal="center" vertical="center" wrapText="1"/>
    </xf>
    <xf numFmtId="4" fontId="5" fillId="2" borderId="25" xfId="0" applyNumberFormat="1" applyFont="1" applyFill="1" applyBorder="1" applyAlignment="1">
      <alignment horizontal="center" vertical="center" wrapText="1"/>
    </xf>
    <xf numFmtId="4" fontId="5" fillId="3" borderId="19" xfId="0" applyNumberFormat="1" applyFont="1" applyFill="1" applyBorder="1" applyAlignment="1">
      <alignment horizontal="right" vertical="top" wrapText="1"/>
    </xf>
    <xf numFmtId="4" fontId="5" fillId="3" borderId="20" xfId="0" applyNumberFormat="1" applyFont="1" applyFill="1" applyBorder="1" applyAlignment="1">
      <alignment horizontal="right" vertical="top" wrapText="1"/>
    </xf>
    <xf numFmtId="4" fontId="5" fillId="3" borderId="21" xfId="0" applyNumberFormat="1" applyFont="1" applyFill="1" applyBorder="1" applyAlignment="1">
      <alignment horizontal="right" vertical="top" wrapText="1"/>
    </xf>
    <xf numFmtId="4" fontId="5" fillId="2" borderId="29" xfId="0" applyNumberFormat="1" applyFont="1" applyFill="1" applyBorder="1" applyAlignment="1">
      <alignment horizontal="center" vertical="center" wrapText="1"/>
    </xf>
    <xf numFmtId="4" fontId="5" fillId="2" borderId="30" xfId="0" applyNumberFormat="1" applyFont="1" applyFill="1" applyBorder="1" applyAlignment="1">
      <alignment horizontal="center" vertical="center" wrapText="1"/>
    </xf>
    <xf numFmtId="4" fontId="5" fillId="2" borderId="31" xfId="0" applyNumberFormat="1" applyFont="1" applyFill="1" applyBorder="1" applyAlignment="1">
      <alignment horizontal="center" vertical="center" wrapText="1"/>
    </xf>
    <xf numFmtId="4" fontId="5" fillId="3" borderId="35" xfId="0" applyNumberFormat="1" applyFont="1" applyFill="1" applyBorder="1" applyAlignment="1">
      <alignment horizontal="right" vertical="center" wrapText="1"/>
    </xf>
    <xf numFmtId="4" fontId="5" fillId="3" borderId="36" xfId="0" applyNumberFormat="1" applyFont="1" applyFill="1" applyBorder="1" applyAlignment="1">
      <alignment horizontal="right" vertical="center" wrapText="1"/>
    </xf>
    <xf numFmtId="4" fontId="5" fillId="3" borderId="37" xfId="0" applyNumberFormat="1" applyFont="1" applyFill="1" applyBorder="1" applyAlignment="1">
      <alignment horizontal="right" vertical="center" wrapText="1"/>
    </xf>
    <xf numFmtId="4" fontId="5" fillId="5" borderId="41" xfId="0" applyNumberFormat="1" applyFont="1" applyFill="1" applyBorder="1" applyAlignment="1">
      <alignment horizontal="right" vertical="center" wrapText="1"/>
    </xf>
    <xf numFmtId="4" fontId="5" fillId="5" borderId="42" xfId="0" applyNumberFormat="1" applyFont="1" applyFill="1" applyBorder="1" applyAlignment="1">
      <alignment horizontal="right" vertical="center" wrapText="1"/>
    </xf>
    <xf numFmtId="4" fontId="5" fillId="5" borderId="44" xfId="0" applyNumberFormat="1" applyFont="1" applyFill="1" applyBorder="1" applyAlignment="1">
      <alignment horizontal="right" vertical="center" wrapText="1"/>
    </xf>
    <xf numFmtId="4" fontId="5" fillId="3" borderId="41" xfId="0" applyNumberFormat="1" applyFont="1" applyFill="1" applyBorder="1" applyAlignment="1">
      <alignment horizontal="right" vertical="center" wrapText="1"/>
    </xf>
    <xf numFmtId="4" fontId="5" fillId="3" borderId="42" xfId="0" applyNumberFormat="1" applyFont="1" applyFill="1" applyBorder="1" applyAlignment="1">
      <alignment horizontal="right" vertical="center" wrapText="1"/>
    </xf>
    <xf numFmtId="4" fontId="5" fillId="3" borderId="44" xfId="0" applyNumberFormat="1" applyFont="1" applyFill="1" applyBorder="1" applyAlignment="1">
      <alignment horizontal="right" vertical="center" wrapText="1"/>
    </xf>
    <xf numFmtId="4" fontId="5" fillId="3" borderId="19" xfId="0" applyNumberFormat="1" applyFont="1" applyFill="1" applyBorder="1" applyAlignment="1">
      <alignment horizontal="right" vertical="center" wrapText="1"/>
    </xf>
    <xf numFmtId="4" fontId="5" fillId="3" borderId="20" xfId="0" applyNumberFormat="1" applyFont="1" applyFill="1" applyBorder="1" applyAlignment="1">
      <alignment horizontal="right" vertical="center" wrapText="1"/>
    </xf>
    <xf numFmtId="4" fontId="5" fillId="3" borderId="21" xfId="0" applyNumberFormat="1" applyFont="1" applyFill="1" applyBorder="1" applyAlignment="1">
      <alignment horizontal="right" vertical="center" wrapText="1"/>
    </xf>
    <xf numFmtId="4" fontId="5" fillId="2" borderId="41" xfId="0" applyNumberFormat="1" applyFont="1" applyFill="1" applyBorder="1" applyAlignment="1">
      <alignment horizontal="center" vertical="center" wrapText="1"/>
    </xf>
    <xf numFmtId="4" fontId="5" fillId="2" borderId="42" xfId="0" applyNumberFormat="1" applyFont="1" applyFill="1" applyBorder="1" applyAlignment="1">
      <alignment horizontal="center" vertical="center" wrapText="1"/>
    </xf>
    <xf numFmtId="4" fontId="5" fillId="2" borderId="43" xfId="0" applyNumberFormat="1" applyFont="1" applyFill="1" applyBorder="1" applyAlignment="1">
      <alignment horizontal="center" vertical="center" wrapText="1"/>
    </xf>
    <xf numFmtId="4" fontId="10" fillId="2" borderId="41" xfId="0" applyNumberFormat="1" applyFont="1" applyFill="1" applyBorder="1" applyAlignment="1">
      <alignment horizontal="center" vertical="center" wrapText="1"/>
    </xf>
    <xf numFmtId="4" fontId="10" fillId="2" borderId="42" xfId="0" applyNumberFormat="1" applyFont="1" applyFill="1" applyBorder="1" applyAlignment="1">
      <alignment horizontal="center" vertical="center" wrapText="1"/>
    </xf>
    <xf numFmtId="4" fontId="10" fillId="2" borderId="4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14B68-851A-4E9C-8706-EB07F5F32B31}">
  <dimension ref="A1:H107"/>
  <sheetViews>
    <sheetView tabSelected="1" workbookViewId="0">
      <selection activeCell="L13" sqref="L13"/>
    </sheetView>
  </sheetViews>
  <sheetFormatPr defaultColWidth="9.140625" defaultRowHeight="15.75" x14ac:dyDescent="0.25"/>
  <cols>
    <col min="1" max="1" width="4.7109375" style="1" customWidth="1"/>
    <col min="2" max="2" width="45.7109375" style="4" customWidth="1"/>
    <col min="3" max="5" width="10.7109375" style="4" customWidth="1"/>
    <col min="6" max="6" width="15.7109375" style="4" customWidth="1"/>
    <col min="7" max="7" width="17.7109375" style="4" customWidth="1"/>
    <col min="8" max="8" width="24.7109375" style="4" customWidth="1"/>
    <col min="9" max="16384" width="9.140625" style="4"/>
  </cols>
  <sheetData>
    <row r="1" spans="1:8" x14ac:dyDescent="0.25">
      <c r="B1" s="2"/>
      <c r="C1" s="3"/>
      <c r="D1" s="124" t="s">
        <v>0</v>
      </c>
      <c r="E1" s="124"/>
      <c r="F1" s="124"/>
      <c r="G1" s="124"/>
    </row>
    <row r="2" spans="1:8" x14ac:dyDescent="0.25">
      <c r="B2" s="2"/>
      <c r="C2" s="3"/>
      <c r="D2" s="124" t="s">
        <v>1</v>
      </c>
      <c r="E2" s="124"/>
      <c r="F2" s="124"/>
      <c r="G2" s="124"/>
    </row>
    <row r="3" spans="1:8" x14ac:dyDescent="0.25">
      <c r="B3" s="2"/>
      <c r="C3" s="3"/>
      <c r="D3" s="124" t="s">
        <v>100</v>
      </c>
      <c r="E3" s="124"/>
      <c r="F3" s="124"/>
      <c r="G3" s="124"/>
    </row>
    <row r="4" spans="1:8" x14ac:dyDescent="0.25">
      <c r="B4" s="5"/>
      <c r="C4" s="125"/>
      <c r="D4" s="125"/>
      <c r="E4" s="125"/>
      <c r="F4" s="125"/>
      <c r="G4" s="125"/>
    </row>
    <row r="5" spans="1:8" ht="39.950000000000003" customHeight="1" thickBot="1" x14ac:dyDescent="0.3">
      <c r="A5" s="123" t="s">
        <v>2</v>
      </c>
      <c r="B5" s="123"/>
      <c r="C5" s="123"/>
      <c r="D5" s="123"/>
      <c r="E5" s="123"/>
      <c r="F5" s="123"/>
      <c r="G5" s="123"/>
    </row>
    <row r="6" spans="1:8" ht="33" customHeight="1" thickTop="1" thickBot="1" x14ac:dyDescent="0.3">
      <c r="A6" s="6" t="s">
        <v>3</v>
      </c>
      <c r="B6" s="7" t="s">
        <v>4</v>
      </c>
      <c r="C6" s="8">
        <v>2024</v>
      </c>
      <c r="D6" s="9">
        <v>2025</v>
      </c>
      <c r="E6" s="10">
        <v>2026</v>
      </c>
      <c r="F6" s="11" t="s">
        <v>5</v>
      </c>
      <c r="G6" s="12" t="s">
        <v>6</v>
      </c>
    </row>
    <row r="7" spans="1:8" ht="16.5" thickBot="1" x14ac:dyDescent="0.3">
      <c r="A7" s="120" t="s">
        <v>7</v>
      </c>
      <c r="B7" s="121"/>
      <c r="C7" s="121"/>
      <c r="D7" s="121"/>
      <c r="E7" s="121"/>
      <c r="F7" s="121"/>
      <c r="G7" s="122"/>
    </row>
    <row r="8" spans="1:8" ht="31.5" x14ac:dyDescent="0.25">
      <c r="A8" s="13">
        <v>1</v>
      </c>
      <c r="B8" s="14" t="s">
        <v>8</v>
      </c>
      <c r="C8" s="15"/>
      <c r="D8" s="15" t="s">
        <v>9</v>
      </c>
      <c r="E8" s="15" t="s">
        <v>10</v>
      </c>
      <c r="F8" s="15">
        <f>142*3</f>
        <v>426</v>
      </c>
      <c r="G8" s="16">
        <f>F8*0.06+10</f>
        <v>35.56</v>
      </c>
    </row>
    <row r="9" spans="1:8" ht="15.75" customHeight="1" x14ac:dyDescent="0.25">
      <c r="A9" s="17">
        <v>2</v>
      </c>
      <c r="B9" s="18" t="s">
        <v>11</v>
      </c>
      <c r="C9" s="19"/>
      <c r="D9" s="18" t="s">
        <v>9</v>
      </c>
      <c r="E9" s="18"/>
      <c r="F9" s="18">
        <f>713*3</f>
        <v>2139</v>
      </c>
      <c r="G9" s="20">
        <v>10</v>
      </c>
    </row>
    <row r="10" spans="1:8" ht="16.5" thickBot="1" x14ac:dyDescent="0.3">
      <c r="A10" s="21">
        <v>3</v>
      </c>
      <c r="B10" s="22" t="s">
        <v>12</v>
      </c>
      <c r="C10" s="23"/>
      <c r="D10" s="23"/>
      <c r="E10" s="24" t="s">
        <v>9</v>
      </c>
      <c r="F10" s="23">
        <v>3200</v>
      </c>
      <c r="G10" s="25">
        <v>10</v>
      </c>
    </row>
    <row r="11" spans="1:8" ht="15.75" customHeight="1" thickBot="1" x14ac:dyDescent="0.3">
      <c r="A11" s="111" t="s">
        <v>13</v>
      </c>
      <c r="B11" s="112"/>
      <c r="C11" s="112"/>
      <c r="D11" s="112"/>
      <c r="E11" s="112"/>
      <c r="F11" s="113"/>
      <c r="G11" s="26">
        <f>SUM(G8:G10)</f>
        <v>55.56</v>
      </c>
    </row>
    <row r="12" spans="1:8" ht="16.5" thickBot="1" x14ac:dyDescent="0.3">
      <c r="A12" s="93" t="s">
        <v>14</v>
      </c>
      <c r="B12" s="94"/>
      <c r="C12" s="94"/>
      <c r="D12" s="94"/>
      <c r="E12" s="94"/>
      <c r="F12" s="94"/>
      <c r="G12" s="95"/>
    </row>
    <row r="13" spans="1:8" ht="63" customHeight="1" x14ac:dyDescent="0.25">
      <c r="A13" s="27">
        <v>1</v>
      </c>
      <c r="B13" s="28" t="s">
        <v>15</v>
      </c>
      <c r="C13" s="29" t="s">
        <v>10</v>
      </c>
      <c r="D13" s="29" t="s">
        <v>10</v>
      </c>
      <c r="E13" s="29"/>
      <c r="F13" s="29">
        <v>6335</v>
      </c>
      <c r="G13" s="71">
        <v>590</v>
      </c>
      <c r="H13" s="30"/>
    </row>
    <row r="14" spans="1:8" ht="31.5" customHeight="1" x14ac:dyDescent="0.25">
      <c r="A14" s="31">
        <v>2</v>
      </c>
      <c r="B14" s="32" t="s">
        <v>16</v>
      </c>
      <c r="C14" s="33"/>
      <c r="D14" s="33" t="s">
        <v>10</v>
      </c>
      <c r="E14" s="33"/>
      <c r="F14" s="33">
        <f>(590*4.5)+(242*4.5)</f>
        <v>3744</v>
      </c>
      <c r="G14" s="34">
        <f>F14*0.06</f>
        <v>224.64</v>
      </c>
      <c r="H14" s="30"/>
    </row>
    <row r="15" spans="1:8" ht="31.5" x14ac:dyDescent="0.25">
      <c r="A15" s="31">
        <v>3</v>
      </c>
      <c r="B15" s="35" t="s">
        <v>17</v>
      </c>
      <c r="C15" s="19" t="s">
        <v>10</v>
      </c>
      <c r="D15" s="33" t="s">
        <v>10</v>
      </c>
      <c r="E15" s="33"/>
      <c r="F15" s="19">
        <f>525*4</f>
        <v>2100</v>
      </c>
      <c r="G15" s="34">
        <f>F15*0.06</f>
        <v>126</v>
      </c>
      <c r="H15" s="30"/>
    </row>
    <row r="16" spans="1:8" ht="31.5" x14ac:dyDescent="0.25">
      <c r="A16" s="31">
        <v>4</v>
      </c>
      <c r="B16" s="35" t="s">
        <v>18</v>
      </c>
      <c r="C16" s="19" t="s">
        <v>10</v>
      </c>
      <c r="D16" s="19" t="s">
        <v>10</v>
      </c>
      <c r="E16" s="33"/>
      <c r="F16" s="19">
        <f>322*4</f>
        <v>1288</v>
      </c>
      <c r="G16" s="72">
        <v>193.51</v>
      </c>
      <c r="H16" s="30"/>
    </row>
    <row r="17" spans="1:8" ht="31.5" x14ac:dyDescent="0.25">
      <c r="A17" s="31">
        <v>5</v>
      </c>
      <c r="B17" s="35" t="s">
        <v>19</v>
      </c>
      <c r="C17" s="19"/>
      <c r="D17" s="18" t="s">
        <v>9</v>
      </c>
      <c r="E17" s="18"/>
      <c r="F17" s="19">
        <f>237*3</f>
        <v>711</v>
      </c>
      <c r="G17" s="34">
        <v>10</v>
      </c>
      <c r="H17" s="30"/>
    </row>
    <row r="18" spans="1:8" ht="31.5" x14ac:dyDescent="0.25">
      <c r="A18" s="31">
        <v>6</v>
      </c>
      <c r="B18" s="35" t="s">
        <v>20</v>
      </c>
      <c r="C18" s="19"/>
      <c r="D18" s="18" t="s">
        <v>9</v>
      </c>
      <c r="E18" s="18"/>
      <c r="F18" s="19">
        <f>392*5</f>
        <v>1960</v>
      </c>
      <c r="G18" s="34">
        <v>10</v>
      </c>
      <c r="H18" s="30"/>
    </row>
    <row r="19" spans="1:8" ht="32.25" thickBot="1" x14ac:dyDescent="0.3">
      <c r="A19" s="36">
        <v>7</v>
      </c>
      <c r="B19" s="37" t="s">
        <v>21</v>
      </c>
      <c r="C19" s="23"/>
      <c r="D19" s="24" t="s">
        <v>9</v>
      </c>
      <c r="E19" s="24"/>
      <c r="F19" s="23">
        <f>247*5</f>
        <v>1235</v>
      </c>
      <c r="G19" s="25">
        <v>10</v>
      </c>
    </row>
    <row r="20" spans="1:8" ht="16.5" customHeight="1" thickBot="1" x14ac:dyDescent="0.3">
      <c r="A20" s="111" t="s">
        <v>13</v>
      </c>
      <c r="B20" s="112"/>
      <c r="C20" s="112"/>
      <c r="D20" s="112"/>
      <c r="E20" s="112"/>
      <c r="F20" s="113"/>
      <c r="G20" s="26">
        <f>SUM(G13:G19)</f>
        <v>1164.1500000000001</v>
      </c>
    </row>
    <row r="21" spans="1:8" ht="16.5" thickBot="1" x14ac:dyDescent="0.3">
      <c r="A21" s="93" t="s">
        <v>22</v>
      </c>
      <c r="B21" s="94"/>
      <c r="C21" s="94"/>
      <c r="D21" s="94"/>
      <c r="E21" s="94"/>
      <c r="F21" s="94"/>
      <c r="G21" s="95"/>
    </row>
    <row r="22" spans="1:8" ht="31.5" x14ac:dyDescent="0.25">
      <c r="A22" s="27">
        <v>1</v>
      </c>
      <c r="B22" s="14" t="s">
        <v>23</v>
      </c>
      <c r="C22" s="15" t="s">
        <v>10</v>
      </c>
      <c r="D22" s="15" t="s">
        <v>10</v>
      </c>
      <c r="E22" s="38"/>
      <c r="F22" s="38">
        <f>213*3</f>
        <v>639</v>
      </c>
      <c r="G22" s="73">
        <v>55.3</v>
      </c>
    </row>
    <row r="23" spans="1:8" ht="31.5" x14ac:dyDescent="0.25">
      <c r="A23" s="31">
        <f>A22+1</f>
        <v>2</v>
      </c>
      <c r="B23" s="35" t="s">
        <v>24</v>
      </c>
      <c r="C23" s="18"/>
      <c r="D23" s="40" t="s">
        <v>25</v>
      </c>
      <c r="E23" s="19"/>
      <c r="F23" s="40">
        <f>50*4</f>
        <v>200</v>
      </c>
      <c r="G23" s="41">
        <f>F23*0.02</f>
        <v>4</v>
      </c>
    </row>
    <row r="24" spans="1:8" ht="31.5" x14ac:dyDescent="0.25">
      <c r="A24" s="31">
        <f t="shared" ref="A24:A25" si="0">A23+1</f>
        <v>3</v>
      </c>
      <c r="B24" s="35" t="s">
        <v>26</v>
      </c>
      <c r="C24" s="40"/>
      <c r="D24" s="19" t="s">
        <v>99</v>
      </c>
      <c r="E24" s="33"/>
      <c r="F24" s="40">
        <f>333*4</f>
        <v>1332</v>
      </c>
      <c r="G24" s="41">
        <v>10</v>
      </c>
    </row>
    <row r="25" spans="1:8" ht="32.25" thickBot="1" x14ac:dyDescent="0.3">
      <c r="A25" s="36">
        <f t="shared" si="0"/>
        <v>4</v>
      </c>
      <c r="B25" s="37" t="s">
        <v>27</v>
      </c>
      <c r="C25" s="42"/>
      <c r="D25" s="23"/>
      <c r="E25" s="43" t="s">
        <v>25</v>
      </c>
      <c r="F25" s="42">
        <f>645*5</f>
        <v>3225</v>
      </c>
      <c r="G25" s="44">
        <f>F25*0.02</f>
        <v>64.5</v>
      </c>
    </row>
    <row r="26" spans="1:8" ht="16.5" customHeight="1" thickBot="1" x14ac:dyDescent="0.3">
      <c r="A26" s="111" t="s">
        <v>13</v>
      </c>
      <c r="B26" s="112"/>
      <c r="C26" s="112"/>
      <c r="D26" s="112"/>
      <c r="E26" s="112"/>
      <c r="F26" s="113"/>
      <c r="G26" s="26">
        <f>SUM(G22:G25)</f>
        <v>133.80000000000001</v>
      </c>
    </row>
    <row r="27" spans="1:8" x14ac:dyDescent="0.25">
      <c r="A27" s="99" t="s">
        <v>28</v>
      </c>
      <c r="B27" s="100"/>
      <c r="C27" s="100"/>
      <c r="D27" s="100"/>
      <c r="E27" s="100"/>
      <c r="F27" s="100"/>
      <c r="G27" s="101"/>
    </row>
    <row r="28" spans="1:8" ht="31.5" x14ac:dyDescent="0.25">
      <c r="A28" s="45">
        <v>1</v>
      </c>
      <c r="B28" s="32" t="s">
        <v>29</v>
      </c>
      <c r="C28" s="19"/>
      <c r="D28" s="33" t="s">
        <v>10</v>
      </c>
      <c r="E28" s="33"/>
      <c r="F28" s="46">
        <f>575*4</f>
        <v>2300</v>
      </c>
      <c r="G28" s="47">
        <f>F28*0.06</f>
        <v>138</v>
      </c>
      <c r="H28" s="30"/>
    </row>
    <row r="29" spans="1:8" ht="31.5" x14ac:dyDescent="0.25">
      <c r="A29" s="45">
        <v>2</v>
      </c>
      <c r="B29" s="32" t="s">
        <v>30</v>
      </c>
      <c r="C29" s="19"/>
      <c r="D29" s="19" t="s">
        <v>9</v>
      </c>
      <c r="E29" s="33" t="s">
        <v>10</v>
      </c>
      <c r="F29" s="46">
        <f>230*4</f>
        <v>920</v>
      </c>
      <c r="G29" s="48">
        <f>F29*0.06+10</f>
        <v>65.199999999999989</v>
      </c>
      <c r="H29" s="30"/>
    </row>
    <row r="30" spans="1:8" ht="31.5" x14ac:dyDescent="0.25">
      <c r="A30" s="45">
        <v>3</v>
      </c>
      <c r="B30" s="32" t="s">
        <v>31</v>
      </c>
      <c r="C30" s="33"/>
      <c r="D30" s="33" t="s">
        <v>9</v>
      </c>
      <c r="E30" s="33" t="s">
        <v>10</v>
      </c>
      <c r="F30" s="49">
        <f>221*4</f>
        <v>884</v>
      </c>
      <c r="G30" s="48">
        <f>F30*0.06+10</f>
        <v>63.04</v>
      </c>
    </row>
    <row r="31" spans="1:8" ht="16.5" customHeight="1" thickBot="1" x14ac:dyDescent="0.3">
      <c r="A31" s="102" t="s">
        <v>13</v>
      </c>
      <c r="B31" s="103"/>
      <c r="C31" s="103"/>
      <c r="D31" s="103"/>
      <c r="E31" s="103"/>
      <c r="F31" s="104"/>
      <c r="G31" s="50">
        <f>SUM(G28:G30)</f>
        <v>266.24</v>
      </c>
    </row>
    <row r="32" spans="1:8" ht="15.75" customHeight="1" thickBot="1" x14ac:dyDescent="0.3">
      <c r="A32" s="93" t="s">
        <v>32</v>
      </c>
      <c r="B32" s="94"/>
      <c r="C32" s="94"/>
      <c r="D32" s="94"/>
      <c r="E32" s="94"/>
      <c r="F32" s="94"/>
      <c r="G32" s="95"/>
    </row>
    <row r="33" spans="1:8" ht="31.5" x14ac:dyDescent="0.25">
      <c r="A33" s="27">
        <v>1</v>
      </c>
      <c r="B33" s="28" t="s">
        <v>33</v>
      </c>
      <c r="C33" s="38" t="s">
        <v>10</v>
      </c>
      <c r="D33" s="29" t="s">
        <v>10</v>
      </c>
      <c r="E33" s="29"/>
      <c r="F33" s="38">
        <f>518*4.5</f>
        <v>2331</v>
      </c>
      <c r="G33" s="74">
        <v>209.161</v>
      </c>
      <c r="H33" s="30"/>
    </row>
    <row r="34" spans="1:8" ht="47.25" x14ac:dyDescent="0.25">
      <c r="A34" s="31">
        <f>A33+1</f>
        <v>2</v>
      </c>
      <c r="B34" s="32" t="s">
        <v>34</v>
      </c>
      <c r="C34" s="40"/>
      <c r="D34" s="33" t="s">
        <v>9</v>
      </c>
      <c r="E34" s="33" t="s">
        <v>10</v>
      </c>
      <c r="F34" s="40">
        <f>(753*4)+(352*4)</f>
        <v>4420</v>
      </c>
      <c r="G34" s="41">
        <f>F34*0.06+10</f>
        <v>275.2</v>
      </c>
      <c r="H34" s="30"/>
    </row>
    <row r="35" spans="1:8" x14ac:dyDescent="0.25">
      <c r="A35" s="31">
        <f t="shared" ref="A35:A36" si="1">A34+1</f>
        <v>3</v>
      </c>
      <c r="B35" s="51" t="s">
        <v>35</v>
      </c>
      <c r="C35" s="40"/>
      <c r="D35" s="33" t="s">
        <v>9</v>
      </c>
      <c r="E35" s="33"/>
      <c r="F35" s="40">
        <v>4400</v>
      </c>
      <c r="G35" s="41">
        <v>10</v>
      </c>
      <c r="H35" s="30"/>
    </row>
    <row r="36" spans="1:8" ht="16.5" thickBot="1" x14ac:dyDescent="0.3">
      <c r="A36" s="36">
        <f t="shared" si="1"/>
        <v>4</v>
      </c>
      <c r="B36" s="52" t="s">
        <v>36</v>
      </c>
      <c r="C36" s="42"/>
      <c r="D36" s="33" t="s">
        <v>9</v>
      </c>
      <c r="E36" s="43"/>
      <c r="F36" s="42">
        <v>7950</v>
      </c>
      <c r="G36" s="44">
        <v>10</v>
      </c>
      <c r="H36" s="30"/>
    </row>
    <row r="37" spans="1:8" ht="16.5" customHeight="1" thickBot="1" x14ac:dyDescent="0.3">
      <c r="A37" s="111" t="s">
        <v>13</v>
      </c>
      <c r="B37" s="112"/>
      <c r="C37" s="112"/>
      <c r="D37" s="112"/>
      <c r="E37" s="112"/>
      <c r="F37" s="113"/>
      <c r="G37" s="26">
        <f>SUM(G33:G34)</f>
        <v>484.36099999999999</v>
      </c>
    </row>
    <row r="38" spans="1:8" x14ac:dyDescent="0.25">
      <c r="A38" s="93" t="s">
        <v>37</v>
      </c>
      <c r="B38" s="94"/>
      <c r="C38" s="94"/>
      <c r="D38" s="94"/>
      <c r="E38" s="94"/>
      <c r="F38" s="94"/>
      <c r="G38" s="95"/>
    </row>
    <row r="39" spans="1:8" ht="31.5" x14ac:dyDescent="0.25">
      <c r="A39" s="31">
        <v>1</v>
      </c>
      <c r="B39" s="35" t="s">
        <v>38</v>
      </c>
      <c r="C39" s="33" t="s">
        <v>10</v>
      </c>
      <c r="D39" s="33" t="s">
        <v>10</v>
      </c>
      <c r="E39" s="18"/>
      <c r="F39" s="19">
        <f>(241*3.5)+(442*3.5)</f>
        <v>2390.5</v>
      </c>
      <c r="G39" s="34">
        <v>313</v>
      </c>
      <c r="H39" s="30"/>
    </row>
    <row r="40" spans="1:8" ht="47.25" x14ac:dyDescent="0.25">
      <c r="A40" s="31">
        <f t="shared" ref="A40:A43" si="2">A39+1</f>
        <v>2</v>
      </c>
      <c r="B40" s="32" t="s">
        <v>39</v>
      </c>
      <c r="C40" s="19"/>
      <c r="D40" s="19" t="s">
        <v>10</v>
      </c>
      <c r="E40" s="19" t="s">
        <v>10</v>
      </c>
      <c r="F40" s="19">
        <f>213*3.5</f>
        <v>745.5</v>
      </c>
      <c r="G40" s="34">
        <f>F40*0.06</f>
        <v>44.73</v>
      </c>
      <c r="H40" s="30"/>
    </row>
    <row r="41" spans="1:8" ht="31.5" x14ac:dyDescent="0.25">
      <c r="A41" s="31">
        <f t="shared" si="2"/>
        <v>3</v>
      </c>
      <c r="B41" s="35" t="s">
        <v>40</v>
      </c>
      <c r="C41" s="19" t="s">
        <v>9</v>
      </c>
      <c r="D41" s="19" t="s">
        <v>10</v>
      </c>
      <c r="E41" s="19" t="s">
        <v>10</v>
      </c>
      <c r="F41" s="19">
        <f>494*4</f>
        <v>1976</v>
      </c>
      <c r="G41" s="41">
        <f>F41*0.06+10</f>
        <v>128.56</v>
      </c>
      <c r="H41" s="30" t="s">
        <v>97</v>
      </c>
    </row>
    <row r="42" spans="1:8" ht="31.5" x14ac:dyDescent="0.25">
      <c r="A42" s="31">
        <f t="shared" si="2"/>
        <v>4</v>
      </c>
      <c r="B42" s="35" t="s">
        <v>41</v>
      </c>
      <c r="C42" s="19"/>
      <c r="D42" s="19" t="s">
        <v>9</v>
      </c>
      <c r="E42" s="19"/>
      <c r="F42" s="19">
        <f>505*4</f>
        <v>2020</v>
      </c>
      <c r="G42" s="41">
        <v>10</v>
      </c>
      <c r="H42" s="30"/>
    </row>
    <row r="43" spans="1:8" ht="32.25" thickBot="1" x14ac:dyDescent="0.3">
      <c r="A43" s="36">
        <f t="shared" si="2"/>
        <v>5</v>
      </c>
      <c r="B43" s="37" t="s">
        <v>42</v>
      </c>
      <c r="C43" s="23"/>
      <c r="D43" s="23" t="s">
        <v>9</v>
      </c>
      <c r="E43" s="23" t="s">
        <v>10</v>
      </c>
      <c r="F43" s="23">
        <f>1577*4</f>
        <v>6308</v>
      </c>
      <c r="G43" s="44">
        <f>F43*0.06+10</f>
        <v>388.47999999999996</v>
      </c>
      <c r="H43" s="30"/>
    </row>
    <row r="44" spans="1:8" ht="16.5" customHeight="1" thickBot="1" x14ac:dyDescent="0.3">
      <c r="A44" s="111" t="s">
        <v>13</v>
      </c>
      <c r="B44" s="112"/>
      <c r="C44" s="112"/>
      <c r="D44" s="112"/>
      <c r="E44" s="112"/>
      <c r="F44" s="113"/>
      <c r="G44" s="26">
        <f>SUM(G39:G43)</f>
        <v>884.77</v>
      </c>
    </row>
    <row r="45" spans="1:8" ht="16.5" thickBot="1" x14ac:dyDescent="0.3">
      <c r="A45" s="93" t="s">
        <v>43</v>
      </c>
      <c r="B45" s="94"/>
      <c r="C45" s="94"/>
      <c r="D45" s="94"/>
      <c r="E45" s="94"/>
      <c r="F45" s="94"/>
      <c r="G45" s="95"/>
    </row>
    <row r="46" spans="1:8" ht="31.5" x14ac:dyDescent="0.25">
      <c r="A46" s="27">
        <v>1</v>
      </c>
      <c r="B46" s="28" t="s">
        <v>44</v>
      </c>
      <c r="C46" s="15" t="s">
        <v>45</v>
      </c>
      <c r="D46" s="15" t="s">
        <v>45</v>
      </c>
      <c r="E46" s="15"/>
      <c r="F46" s="15">
        <v>1235</v>
      </c>
      <c r="G46" s="71">
        <v>84.075000000000003</v>
      </c>
      <c r="H46" s="30"/>
    </row>
    <row r="47" spans="1:8" ht="31.5" x14ac:dyDescent="0.25">
      <c r="A47" s="31">
        <v>2</v>
      </c>
      <c r="B47" s="32" t="s">
        <v>46</v>
      </c>
      <c r="C47" s="40" t="s">
        <v>10</v>
      </c>
      <c r="D47" s="19" t="s">
        <v>10</v>
      </c>
      <c r="E47" s="33"/>
      <c r="F47" s="40">
        <f>235*4</f>
        <v>940</v>
      </c>
      <c r="G47" s="75">
        <v>145.38800000000001</v>
      </c>
      <c r="H47" s="30"/>
    </row>
    <row r="48" spans="1:8" ht="32.25" thickBot="1" x14ac:dyDescent="0.3">
      <c r="A48" s="36">
        <v>3</v>
      </c>
      <c r="B48" s="37" t="s">
        <v>47</v>
      </c>
      <c r="C48" s="24"/>
      <c r="D48" s="23" t="s">
        <v>9</v>
      </c>
      <c r="E48" s="23"/>
      <c r="F48" s="23">
        <f>268*4</f>
        <v>1072</v>
      </c>
      <c r="G48" s="25">
        <v>10</v>
      </c>
      <c r="H48" s="30"/>
    </row>
    <row r="49" spans="1:8" ht="16.5" customHeight="1" thickBot="1" x14ac:dyDescent="0.3">
      <c r="A49" s="111" t="s">
        <v>13</v>
      </c>
      <c r="B49" s="112"/>
      <c r="C49" s="112"/>
      <c r="D49" s="112"/>
      <c r="E49" s="112"/>
      <c r="F49" s="113"/>
      <c r="G49" s="26">
        <f>SUM(G46:G48)</f>
        <v>239.46300000000002</v>
      </c>
    </row>
    <row r="50" spans="1:8" x14ac:dyDescent="0.25">
      <c r="A50" s="93" t="s">
        <v>48</v>
      </c>
      <c r="B50" s="94"/>
      <c r="C50" s="94"/>
      <c r="D50" s="94"/>
      <c r="E50" s="94"/>
      <c r="F50" s="94"/>
      <c r="G50" s="95"/>
    </row>
    <row r="51" spans="1:8" ht="31.5" x14ac:dyDescent="0.25">
      <c r="A51" s="31">
        <v>1</v>
      </c>
      <c r="B51" s="32" t="s">
        <v>49</v>
      </c>
      <c r="C51" s="40" t="s">
        <v>25</v>
      </c>
      <c r="D51" s="18"/>
      <c r="E51" s="40"/>
      <c r="F51" s="40">
        <v>3065</v>
      </c>
      <c r="G51" s="75">
        <v>60</v>
      </c>
    </row>
    <row r="52" spans="1:8" ht="31.5" x14ac:dyDescent="0.25">
      <c r="A52" s="31">
        <v>2</v>
      </c>
      <c r="B52" s="32" t="s">
        <v>50</v>
      </c>
      <c r="C52" s="40"/>
      <c r="D52" s="19" t="s">
        <v>25</v>
      </c>
      <c r="E52" s="19"/>
      <c r="F52" s="40">
        <f>231*5</f>
        <v>1155</v>
      </c>
      <c r="G52" s="41">
        <f>F52*0.02</f>
        <v>23.1</v>
      </c>
    </row>
    <row r="53" spans="1:8" ht="32.25" thickBot="1" x14ac:dyDescent="0.3">
      <c r="A53" s="36">
        <v>3</v>
      </c>
      <c r="B53" s="53" t="s">
        <v>51</v>
      </c>
      <c r="C53" s="42"/>
      <c r="D53" s="23"/>
      <c r="E53" s="23" t="s">
        <v>25</v>
      </c>
      <c r="F53" s="42">
        <f>505*5</f>
        <v>2525</v>
      </c>
      <c r="G53" s="44">
        <f>F53*0.02</f>
        <v>50.5</v>
      </c>
    </row>
    <row r="54" spans="1:8" ht="16.5" customHeight="1" thickBot="1" x14ac:dyDescent="0.3">
      <c r="A54" s="111" t="s">
        <v>13</v>
      </c>
      <c r="B54" s="112"/>
      <c r="C54" s="112"/>
      <c r="D54" s="112"/>
      <c r="E54" s="112"/>
      <c r="F54" s="113"/>
      <c r="G54" s="26">
        <f>SUM(G51:G53)</f>
        <v>133.6</v>
      </c>
    </row>
    <row r="55" spans="1:8" ht="15.75" customHeight="1" x14ac:dyDescent="0.25">
      <c r="A55" s="99" t="s">
        <v>52</v>
      </c>
      <c r="B55" s="100"/>
      <c r="C55" s="100"/>
      <c r="D55" s="100"/>
      <c r="E55" s="100"/>
      <c r="F55" s="100"/>
      <c r="G55" s="101"/>
    </row>
    <row r="56" spans="1:8" ht="31.5" customHeight="1" x14ac:dyDescent="0.25">
      <c r="A56" s="45">
        <v>1</v>
      </c>
      <c r="B56" s="54" t="s">
        <v>53</v>
      </c>
      <c r="C56" s="55"/>
      <c r="D56" s="19" t="s">
        <v>25</v>
      </c>
      <c r="E56" s="56" t="s">
        <v>25</v>
      </c>
      <c r="F56" s="49">
        <f>1600*5</f>
        <v>8000</v>
      </c>
      <c r="G56" s="48">
        <f>F56*0.02</f>
        <v>160</v>
      </c>
      <c r="H56" s="30"/>
    </row>
    <row r="57" spans="1:8" ht="31.5" customHeight="1" x14ac:dyDescent="0.25">
      <c r="A57" s="45">
        <v>2</v>
      </c>
      <c r="B57" s="57" t="s">
        <v>54</v>
      </c>
      <c r="C57" s="58"/>
      <c r="D57" s="33" t="s">
        <v>25</v>
      </c>
      <c r="E57" s="34"/>
      <c r="F57" s="49">
        <f>200*4</f>
        <v>800</v>
      </c>
      <c r="G57" s="48">
        <f>F57*0.02</f>
        <v>16</v>
      </c>
    </row>
    <row r="58" spans="1:8" ht="16.5" customHeight="1" thickBot="1" x14ac:dyDescent="0.3">
      <c r="A58" s="102" t="s">
        <v>13</v>
      </c>
      <c r="B58" s="103"/>
      <c r="C58" s="103"/>
      <c r="D58" s="103"/>
      <c r="E58" s="103"/>
      <c r="F58" s="104"/>
      <c r="G58" s="50">
        <f>SUM(G56:G57)</f>
        <v>176</v>
      </c>
    </row>
    <row r="59" spans="1:8" ht="16.5" customHeight="1" thickBot="1" x14ac:dyDescent="0.3">
      <c r="A59" s="114" t="s">
        <v>55</v>
      </c>
      <c r="B59" s="115"/>
      <c r="C59" s="115"/>
      <c r="D59" s="115"/>
      <c r="E59" s="115"/>
      <c r="F59" s="115"/>
      <c r="G59" s="116"/>
    </row>
    <row r="60" spans="1:8" ht="31.5" x14ac:dyDescent="0.25">
      <c r="A60" s="27">
        <v>1</v>
      </c>
      <c r="B60" s="14" t="s">
        <v>56</v>
      </c>
      <c r="C60" s="15"/>
      <c r="D60" s="19" t="s">
        <v>9</v>
      </c>
      <c r="E60" s="38"/>
      <c r="F60" s="38">
        <f>210*4</f>
        <v>840</v>
      </c>
      <c r="G60" s="16">
        <v>10</v>
      </c>
      <c r="H60" s="30"/>
    </row>
    <row r="61" spans="1:8" ht="47.25" x14ac:dyDescent="0.25">
      <c r="A61" s="31">
        <v>2</v>
      </c>
      <c r="B61" s="32" t="s">
        <v>57</v>
      </c>
      <c r="C61" s="18"/>
      <c r="D61" s="19" t="s">
        <v>9</v>
      </c>
      <c r="E61" s="19" t="s">
        <v>10</v>
      </c>
      <c r="F61" s="19">
        <f>(250+135)*5</f>
        <v>1925</v>
      </c>
      <c r="G61" s="41">
        <f>F61*0.06+10</f>
        <v>125.5</v>
      </c>
      <c r="H61" s="30"/>
    </row>
    <row r="62" spans="1:8" ht="31.5" x14ac:dyDescent="0.25">
      <c r="A62" s="31">
        <v>3</v>
      </c>
      <c r="B62" s="32" t="s">
        <v>58</v>
      </c>
      <c r="C62" s="19"/>
      <c r="D62" s="19" t="s">
        <v>25</v>
      </c>
      <c r="E62" s="33"/>
      <c r="F62" s="19">
        <f>237*5</f>
        <v>1185</v>
      </c>
      <c r="G62" s="41">
        <f>F62*0.02</f>
        <v>23.7</v>
      </c>
    </row>
    <row r="63" spans="1:8" ht="32.25" thickBot="1" x14ac:dyDescent="0.3">
      <c r="A63" s="36">
        <v>4</v>
      </c>
      <c r="B63" s="53" t="s">
        <v>59</v>
      </c>
      <c r="C63" s="23"/>
      <c r="D63" s="23"/>
      <c r="E63" s="43" t="s">
        <v>9</v>
      </c>
      <c r="F63" s="23">
        <f>237*5</f>
        <v>1185</v>
      </c>
      <c r="G63" s="44">
        <v>10</v>
      </c>
    </row>
    <row r="64" spans="1:8" ht="16.5" customHeight="1" thickBot="1" x14ac:dyDescent="0.3">
      <c r="A64" s="108" t="s">
        <v>13</v>
      </c>
      <c r="B64" s="109"/>
      <c r="C64" s="109"/>
      <c r="D64" s="109"/>
      <c r="E64" s="109"/>
      <c r="F64" s="110"/>
      <c r="G64" s="26">
        <f>SUM(G60:G63)</f>
        <v>169.2</v>
      </c>
    </row>
    <row r="65" spans="1:8" ht="16.5" customHeight="1" thickBot="1" x14ac:dyDescent="0.3">
      <c r="A65" s="114" t="s">
        <v>60</v>
      </c>
      <c r="B65" s="115"/>
      <c r="C65" s="115"/>
      <c r="D65" s="115"/>
      <c r="E65" s="115"/>
      <c r="F65" s="115"/>
      <c r="G65" s="116"/>
    </row>
    <row r="66" spans="1:8" ht="31.5" x14ac:dyDescent="0.25">
      <c r="A66" s="27">
        <v>1</v>
      </c>
      <c r="B66" s="28" t="s">
        <v>61</v>
      </c>
      <c r="C66" s="15"/>
      <c r="D66" s="15" t="s">
        <v>9</v>
      </c>
      <c r="E66" s="29"/>
      <c r="F66" s="15">
        <f>510*5</f>
        <v>2550</v>
      </c>
      <c r="G66" s="39">
        <v>10</v>
      </c>
    </row>
    <row r="67" spans="1:8" ht="16.5" thickBot="1" x14ac:dyDescent="0.3">
      <c r="A67" s="36">
        <v>2</v>
      </c>
      <c r="B67" s="59" t="s">
        <v>62</v>
      </c>
      <c r="C67" s="23"/>
      <c r="D67" s="23" t="s">
        <v>9</v>
      </c>
      <c r="E67" s="43"/>
      <c r="F67" s="23">
        <v>4800</v>
      </c>
      <c r="G67" s="44">
        <v>10</v>
      </c>
    </row>
    <row r="68" spans="1:8" ht="16.5" customHeight="1" thickBot="1" x14ac:dyDescent="0.3">
      <c r="A68" s="108" t="s">
        <v>13</v>
      </c>
      <c r="B68" s="109"/>
      <c r="C68" s="109"/>
      <c r="D68" s="109"/>
      <c r="E68" s="109"/>
      <c r="F68" s="110"/>
      <c r="G68" s="26">
        <f>SUM(G66:G67)</f>
        <v>20</v>
      </c>
    </row>
    <row r="69" spans="1:8" ht="16.5" customHeight="1" thickBot="1" x14ac:dyDescent="0.3">
      <c r="A69" s="117" t="s">
        <v>63</v>
      </c>
      <c r="B69" s="118"/>
      <c r="C69" s="118"/>
      <c r="D69" s="118"/>
      <c r="E69" s="118"/>
      <c r="F69" s="118"/>
      <c r="G69" s="119"/>
    </row>
    <row r="70" spans="1:8" ht="31.5" x14ac:dyDescent="0.25">
      <c r="A70" s="27">
        <v>1</v>
      </c>
      <c r="B70" s="28" t="s">
        <v>64</v>
      </c>
      <c r="C70" s="29"/>
      <c r="D70" s="38" t="s">
        <v>25</v>
      </c>
      <c r="E70" s="38"/>
      <c r="F70" s="38">
        <f>574*5</f>
        <v>2870</v>
      </c>
      <c r="G70" s="16">
        <f>F70*0.02</f>
        <v>57.4</v>
      </c>
    </row>
    <row r="71" spans="1:8" ht="32.25" thickBot="1" x14ac:dyDescent="0.3">
      <c r="A71" s="31">
        <v>2</v>
      </c>
      <c r="B71" s="32" t="s">
        <v>65</v>
      </c>
      <c r="C71" s="40"/>
      <c r="D71" s="19" t="s">
        <v>25</v>
      </c>
      <c r="E71" s="40"/>
      <c r="F71" s="40">
        <f>222*3</f>
        <v>666</v>
      </c>
      <c r="G71" s="34">
        <f>F71*0.005</f>
        <v>3.33</v>
      </c>
    </row>
    <row r="72" spans="1:8" ht="16.5" customHeight="1" thickBot="1" x14ac:dyDescent="0.3">
      <c r="A72" s="108" t="s">
        <v>13</v>
      </c>
      <c r="B72" s="109"/>
      <c r="C72" s="109"/>
      <c r="D72" s="109"/>
      <c r="E72" s="109"/>
      <c r="F72" s="110"/>
      <c r="G72" s="26">
        <f>SUM(G70:G71)</f>
        <v>60.73</v>
      </c>
    </row>
    <row r="73" spans="1:8" ht="15.75" customHeight="1" thickBot="1" x14ac:dyDescent="0.3">
      <c r="A73" s="93" t="s">
        <v>66</v>
      </c>
      <c r="B73" s="94"/>
      <c r="C73" s="94"/>
      <c r="D73" s="94"/>
      <c r="E73" s="94"/>
      <c r="F73" s="94"/>
      <c r="G73" s="95"/>
    </row>
    <row r="74" spans="1:8" ht="31.5" x14ac:dyDescent="0.25">
      <c r="A74" s="27">
        <v>1</v>
      </c>
      <c r="B74" s="14" t="s">
        <v>67</v>
      </c>
      <c r="C74" s="29" t="s">
        <v>10</v>
      </c>
      <c r="D74" s="15"/>
      <c r="E74" s="15"/>
      <c r="F74" s="15">
        <f>440*4</f>
        <v>1760</v>
      </c>
      <c r="G74" s="71">
        <v>92.305999999999997</v>
      </c>
      <c r="H74" s="30"/>
    </row>
    <row r="75" spans="1:8" ht="31.5" x14ac:dyDescent="0.25">
      <c r="A75" s="31">
        <f>A74+1</f>
        <v>2</v>
      </c>
      <c r="B75" s="35" t="s">
        <v>68</v>
      </c>
      <c r="C75" s="19" t="s">
        <v>10</v>
      </c>
      <c r="D75" s="33"/>
      <c r="E75" s="19"/>
      <c r="F75" s="18">
        <f>350*5</f>
        <v>1750</v>
      </c>
      <c r="G75" s="72">
        <v>61.186</v>
      </c>
      <c r="H75" s="30"/>
    </row>
    <row r="76" spans="1:8" ht="31.5" x14ac:dyDescent="0.25">
      <c r="A76" s="31">
        <f t="shared" ref="A76:A91" si="3">A75+1</f>
        <v>3</v>
      </c>
      <c r="B76" s="35" t="s">
        <v>69</v>
      </c>
      <c r="C76" s="19" t="s">
        <v>10</v>
      </c>
      <c r="D76" s="33"/>
      <c r="E76" s="19"/>
      <c r="F76" s="19">
        <f>390*4</f>
        <v>1560</v>
      </c>
      <c r="G76" s="72">
        <v>119.7</v>
      </c>
      <c r="H76" s="30"/>
    </row>
    <row r="77" spans="1:8" ht="47.25" x14ac:dyDescent="0.25">
      <c r="A77" s="31">
        <f t="shared" si="3"/>
        <v>4</v>
      </c>
      <c r="B77" s="35" t="s">
        <v>70</v>
      </c>
      <c r="C77" s="19" t="s">
        <v>25</v>
      </c>
      <c r="D77" s="19" t="s">
        <v>25</v>
      </c>
      <c r="E77" s="19"/>
      <c r="F77" s="19">
        <f>814*6.5</f>
        <v>5291</v>
      </c>
      <c r="G77" s="41">
        <f>F77*0.02</f>
        <v>105.82000000000001</v>
      </c>
      <c r="H77" s="30"/>
    </row>
    <row r="78" spans="1:8" ht="47.25" x14ac:dyDescent="0.25">
      <c r="A78" s="31">
        <f t="shared" si="3"/>
        <v>5</v>
      </c>
      <c r="B78" s="35" t="s">
        <v>71</v>
      </c>
      <c r="C78" s="19" t="s">
        <v>10</v>
      </c>
      <c r="D78" s="19" t="s">
        <v>10</v>
      </c>
      <c r="E78" s="19"/>
      <c r="F78" s="19">
        <f>(385*3.5)+(120*3.5)</f>
        <v>1767.5</v>
      </c>
      <c r="G78" s="72">
        <v>106.05</v>
      </c>
      <c r="H78" s="30"/>
    </row>
    <row r="79" spans="1:8" ht="31.5" x14ac:dyDescent="0.25">
      <c r="A79" s="31">
        <f t="shared" si="3"/>
        <v>6</v>
      </c>
      <c r="B79" s="35" t="s">
        <v>72</v>
      </c>
      <c r="C79" s="19" t="s">
        <v>10</v>
      </c>
      <c r="D79" s="19"/>
      <c r="E79" s="19"/>
      <c r="F79" s="19">
        <f>130*3.5</f>
        <v>455</v>
      </c>
      <c r="G79" s="75">
        <v>19.768000000000001</v>
      </c>
      <c r="H79" s="30"/>
    </row>
    <row r="80" spans="1:8" ht="31.5" x14ac:dyDescent="0.25">
      <c r="A80" s="31">
        <f t="shared" si="3"/>
        <v>7</v>
      </c>
      <c r="B80" s="35" t="s">
        <v>73</v>
      </c>
      <c r="C80" s="19"/>
      <c r="D80" s="19" t="s">
        <v>25</v>
      </c>
      <c r="E80" s="19"/>
      <c r="F80" s="19">
        <f>756*6</f>
        <v>4536</v>
      </c>
      <c r="G80" s="41">
        <f>F80*0.02</f>
        <v>90.72</v>
      </c>
      <c r="H80" s="30"/>
    </row>
    <row r="81" spans="1:8" ht="31.5" x14ac:dyDescent="0.25">
      <c r="A81" s="31">
        <f t="shared" si="3"/>
        <v>8</v>
      </c>
      <c r="B81" s="35" t="s">
        <v>74</v>
      </c>
      <c r="C81" s="19" t="s">
        <v>9</v>
      </c>
      <c r="D81" s="19"/>
      <c r="E81" s="19"/>
      <c r="F81" s="19">
        <f>3200*6</f>
        <v>19200</v>
      </c>
      <c r="G81" s="75">
        <v>43.276000000000003</v>
      </c>
      <c r="H81" s="30"/>
    </row>
    <row r="82" spans="1:8" ht="31.5" x14ac:dyDescent="0.25">
      <c r="A82" s="31">
        <f t="shared" si="3"/>
        <v>9</v>
      </c>
      <c r="B82" s="35" t="s">
        <v>75</v>
      </c>
      <c r="C82" s="19" t="s">
        <v>98</v>
      </c>
      <c r="D82" s="33" t="s">
        <v>10</v>
      </c>
      <c r="E82" s="33"/>
      <c r="F82" s="19">
        <f>260*4</f>
        <v>1040</v>
      </c>
      <c r="G82" s="75">
        <v>158</v>
      </c>
    </row>
    <row r="83" spans="1:8" ht="31.5" x14ac:dyDescent="0.25">
      <c r="A83" s="31">
        <f t="shared" si="3"/>
        <v>10</v>
      </c>
      <c r="B83" s="35" t="s">
        <v>76</v>
      </c>
      <c r="C83" s="19"/>
      <c r="D83" s="19" t="s">
        <v>25</v>
      </c>
      <c r="E83" s="19"/>
      <c r="F83" s="19">
        <f>834*5</f>
        <v>4170</v>
      </c>
      <c r="G83" s="41">
        <f>F83*0.02</f>
        <v>83.4</v>
      </c>
    </row>
    <row r="84" spans="1:8" ht="31.5" x14ac:dyDescent="0.25">
      <c r="A84" s="31">
        <f t="shared" si="3"/>
        <v>11</v>
      </c>
      <c r="B84" s="32" t="s">
        <v>77</v>
      </c>
      <c r="C84" s="33" t="s">
        <v>10</v>
      </c>
      <c r="D84" s="33" t="s">
        <v>10</v>
      </c>
      <c r="E84" s="33"/>
      <c r="F84" s="40">
        <f>1443*4</f>
        <v>5772</v>
      </c>
      <c r="G84" s="76">
        <v>471.51</v>
      </c>
    </row>
    <row r="85" spans="1:8" ht="47.25" x14ac:dyDescent="0.25">
      <c r="A85" s="31">
        <f t="shared" si="3"/>
        <v>12</v>
      </c>
      <c r="B85" s="32" t="s">
        <v>78</v>
      </c>
      <c r="C85" s="33"/>
      <c r="D85" s="33" t="s">
        <v>25</v>
      </c>
      <c r="E85" s="33"/>
      <c r="F85" s="40">
        <f>375*7</f>
        <v>2625</v>
      </c>
      <c r="G85" s="41">
        <f>F85*0.02</f>
        <v>52.5</v>
      </c>
    </row>
    <row r="86" spans="1:8" ht="31.5" x14ac:dyDescent="0.25">
      <c r="A86" s="31">
        <f t="shared" si="3"/>
        <v>13</v>
      </c>
      <c r="B86" s="32" t="s">
        <v>79</v>
      </c>
      <c r="C86" s="40"/>
      <c r="D86" s="33" t="s">
        <v>25</v>
      </c>
      <c r="E86" s="33"/>
      <c r="F86" s="40">
        <f>381*5</f>
        <v>1905</v>
      </c>
      <c r="G86" s="41">
        <f>F86*0.02</f>
        <v>38.1</v>
      </c>
    </row>
    <row r="87" spans="1:8" ht="31.5" x14ac:dyDescent="0.25">
      <c r="A87" s="31">
        <f t="shared" si="3"/>
        <v>14</v>
      </c>
      <c r="B87" s="35" t="s">
        <v>80</v>
      </c>
      <c r="C87" s="19"/>
      <c r="D87" s="33"/>
      <c r="E87" s="33" t="s">
        <v>10</v>
      </c>
      <c r="F87" s="19">
        <f>1517*6</f>
        <v>9102</v>
      </c>
      <c r="G87" s="41">
        <f>F87*0.06</f>
        <v>546.12</v>
      </c>
    </row>
    <row r="88" spans="1:8" ht="31.5" x14ac:dyDescent="0.25">
      <c r="A88" s="31">
        <f t="shared" si="3"/>
        <v>15</v>
      </c>
      <c r="B88" s="32" t="s">
        <v>81</v>
      </c>
      <c r="C88" s="40"/>
      <c r="D88" s="33"/>
      <c r="E88" s="33" t="s">
        <v>25</v>
      </c>
      <c r="F88" s="40">
        <f>620*6</f>
        <v>3720</v>
      </c>
      <c r="G88" s="41">
        <f>F88*0.02</f>
        <v>74.400000000000006</v>
      </c>
    </row>
    <row r="89" spans="1:8" ht="31.5" x14ac:dyDescent="0.25">
      <c r="A89" s="31">
        <f t="shared" si="3"/>
        <v>16</v>
      </c>
      <c r="B89" s="60" t="s">
        <v>82</v>
      </c>
      <c r="C89" s="61"/>
      <c r="D89" s="33" t="s">
        <v>25</v>
      </c>
      <c r="E89" s="61"/>
      <c r="F89" s="19">
        <v>2800</v>
      </c>
      <c r="G89" s="34">
        <f>F89*0.02</f>
        <v>56</v>
      </c>
    </row>
    <row r="90" spans="1:8" ht="31.5" x14ac:dyDescent="0.25">
      <c r="A90" s="31">
        <f t="shared" si="3"/>
        <v>17</v>
      </c>
      <c r="B90" s="35" t="s">
        <v>83</v>
      </c>
      <c r="C90" s="19"/>
      <c r="D90" s="19" t="s">
        <v>9</v>
      </c>
      <c r="E90" s="33" t="s">
        <v>10</v>
      </c>
      <c r="F90" s="19">
        <f>180*5</f>
        <v>900</v>
      </c>
      <c r="G90" s="41">
        <f>F90*0.06+10</f>
        <v>64</v>
      </c>
    </row>
    <row r="91" spans="1:8" ht="32.25" thickBot="1" x14ac:dyDescent="0.3">
      <c r="A91" s="36">
        <f t="shared" si="3"/>
        <v>18</v>
      </c>
      <c r="B91" s="62" t="s">
        <v>84</v>
      </c>
      <c r="C91" s="24"/>
      <c r="D91" s="23" t="s">
        <v>9</v>
      </c>
      <c r="E91" s="43" t="s">
        <v>10</v>
      </c>
      <c r="F91" s="24">
        <f>2500*6</f>
        <v>15000</v>
      </c>
      <c r="G91" s="41">
        <f>F91*0.06+10</f>
        <v>910</v>
      </c>
    </row>
    <row r="92" spans="1:8" ht="16.5" customHeight="1" thickBot="1" x14ac:dyDescent="0.3">
      <c r="A92" s="96" t="s">
        <v>13</v>
      </c>
      <c r="B92" s="97"/>
      <c r="C92" s="97"/>
      <c r="D92" s="97"/>
      <c r="E92" s="97"/>
      <c r="F92" s="98"/>
      <c r="G92" s="26">
        <f>SUM(G74:G91)</f>
        <v>3092.8559999999998</v>
      </c>
    </row>
    <row r="93" spans="1:8" ht="15.75" customHeight="1" x14ac:dyDescent="0.25">
      <c r="A93" s="99" t="s">
        <v>85</v>
      </c>
      <c r="B93" s="100"/>
      <c r="C93" s="100"/>
      <c r="D93" s="100"/>
      <c r="E93" s="100"/>
      <c r="F93" s="100"/>
      <c r="G93" s="101"/>
    </row>
    <row r="94" spans="1:8" ht="31.5" x14ac:dyDescent="0.25">
      <c r="A94" s="45">
        <v>1</v>
      </c>
      <c r="B94" s="63" t="s">
        <v>86</v>
      </c>
      <c r="C94" s="64" t="s">
        <v>25</v>
      </c>
      <c r="D94" s="19"/>
      <c r="E94" s="34"/>
      <c r="F94" s="46">
        <f>876*5</f>
        <v>4380</v>
      </c>
      <c r="G94" s="77">
        <v>83.29</v>
      </c>
      <c r="H94" s="30"/>
    </row>
    <row r="95" spans="1:8" ht="31.5" x14ac:dyDescent="0.25">
      <c r="A95" s="45">
        <v>2</v>
      </c>
      <c r="B95" s="65" t="s">
        <v>87</v>
      </c>
      <c r="C95" s="64"/>
      <c r="D95" s="66"/>
      <c r="E95" s="66" t="s">
        <v>9</v>
      </c>
      <c r="F95" s="46">
        <v>5700</v>
      </c>
      <c r="G95" s="48">
        <v>10</v>
      </c>
      <c r="H95" s="30"/>
    </row>
    <row r="96" spans="1:8" ht="31.5" x14ac:dyDescent="0.25">
      <c r="A96" s="67">
        <v>3</v>
      </c>
      <c r="B96" s="57" t="s">
        <v>88</v>
      </c>
      <c r="C96" s="58"/>
      <c r="D96" s="66" t="s">
        <v>9</v>
      </c>
      <c r="E96" s="68" t="s">
        <v>10</v>
      </c>
      <c r="F96" s="49">
        <f>502*5</f>
        <v>2510</v>
      </c>
      <c r="G96" s="48">
        <f>F96*0.06+10</f>
        <v>160.6</v>
      </c>
    </row>
    <row r="97" spans="1:7" ht="16.5" customHeight="1" thickBot="1" x14ac:dyDescent="0.3">
      <c r="A97" s="102" t="s">
        <v>13</v>
      </c>
      <c r="B97" s="103"/>
      <c r="C97" s="103"/>
      <c r="D97" s="103"/>
      <c r="E97" s="103"/>
      <c r="F97" s="104"/>
      <c r="G97" s="50">
        <f>SUM(G94:G96)</f>
        <v>253.89</v>
      </c>
    </row>
    <row r="98" spans="1:7" ht="16.5" customHeight="1" thickBot="1" x14ac:dyDescent="0.3">
      <c r="A98" s="105" t="s">
        <v>89</v>
      </c>
      <c r="B98" s="106"/>
      <c r="C98" s="106"/>
      <c r="D98" s="106"/>
      <c r="E98" s="106"/>
      <c r="F98" s="107"/>
      <c r="G98" s="69">
        <f>G11+G20+G26+G31+G37+G44+G49+G54+G58+G64+G68+G72+G92+G97</f>
        <v>7134.62</v>
      </c>
    </row>
    <row r="99" spans="1:7" ht="15.75" customHeight="1" x14ac:dyDescent="0.25">
      <c r="A99" s="99" t="s">
        <v>90</v>
      </c>
      <c r="B99" s="100"/>
      <c r="C99" s="100"/>
      <c r="D99" s="100"/>
      <c r="E99" s="100"/>
      <c r="F99" s="100"/>
      <c r="G99" s="101"/>
    </row>
    <row r="100" spans="1:7" x14ac:dyDescent="0.25">
      <c r="A100" s="67">
        <v>1</v>
      </c>
      <c r="B100" s="57" t="s">
        <v>91</v>
      </c>
      <c r="C100" s="78" t="s">
        <v>92</v>
      </c>
      <c r="D100" s="79"/>
      <c r="E100" s="80"/>
      <c r="F100" s="78" t="s">
        <v>92</v>
      </c>
      <c r="G100" s="87"/>
    </row>
    <row r="101" spans="1:7" x14ac:dyDescent="0.25">
      <c r="A101" s="67">
        <v>2</v>
      </c>
      <c r="B101" s="57" t="s">
        <v>93</v>
      </c>
      <c r="C101" s="81"/>
      <c r="D101" s="82"/>
      <c r="E101" s="83"/>
      <c r="F101" s="81"/>
      <c r="G101" s="88"/>
    </row>
    <row r="102" spans="1:7" ht="31.5" x14ac:dyDescent="0.25">
      <c r="A102" s="67">
        <v>3</v>
      </c>
      <c r="B102" s="57" t="s">
        <v>94</v>
      </c>
      <c r="C102" s="81"/>
      <c r="D102" s="82"/>
      <c r="E102" s="83"/>
      <c r="F102" s="81"/>
      <c r="G102" s="88"/>
    </row>
    <row r="103" spans="1:7" ht="16.5" thickBot="1" x14ac:dyDescent="0.3">
      <c r="A103" s="67">
        <v>4</v>
      </c>
      <c r="B103" s="57" t="s">
        <v>95</v>
      </c>
      <c r="C103" s="84"/>
      <c r="D103" s="85"/>
      <c r="E103" s="86"/>
      <c r="F103" s="84"/>
      <c r="G103" s="89"/>
    </row>
    <row r="104" spans="1:7" ht="16.5" customHeight="1" thickBot="1" x14ac:dyDescent="0.3">
      <c r="A104" s="90" t="s">
        <v>96</v>
      </c>
      <c r="B104" s="91"/>
      <c r="C104" s="91"/>
      <c r="D104" s="91"/>
      <c r="E104" s="91"/>
      <c r="F104" s="92"/>
      <c r="G104" s="70">
        <f>G98</f>
        <v>7134.62</v>
      </c>
    </row>
    <row r="105" spans="1:7" ht="16.5" thickTop="1" x14ac:dyDescent="0.25"/>
    <row r="107" spans="1:7" x14ac:dyDescent="0.25">
      <c r="C107" s="30"/>
      <c r="D107" s="30"/>
      <c r="E107" s="30"/>
      <c r="F107" s="30"/>
      <c r="G107" s="30"/>
    </row>
  </sheetData>
  <mergeCells count="39">
    <mergeCell ref="A5:G5"/>
    <mergeCell ref="D1:G1"/>
    <mergeCell ref="D2:G2"/>
    <mergeCell ref="D3:G3"/>
    <mergeCell ref="C4:D4"/>
    <mergeCell ref="E4:G4"/>
    <mergeCell ref="A44:F44"/>
    <mergeCell ref="A7:G7"/>
    <mergeCell ref="A11:F11"/>
    <mergeCell ref="A12:G12"/>
    <mergeCell ref="A20:F20"/>
    <mergeCell ref="A21:G21"/>
    <mergeCell ref="A26:F26"/>
    <mergeCell ref="A27:G27"/>
    <mergeCell ref="A31:F31"/>
    <mergeCell ref="A32:G32"/>
    <mergeCell ref="A37:F37"/>
    <mergeCell ref="A38:G38"/>
    <mergeCell ref="A72:F72"/>
    <mergeCell ref="A45:G45"/>
    <mergeCell ref="A49:F49"/>
    <mergeCell ref="A50:G50"/>
    <mergeCell ref="A54:F54"/>
    <mergeCell ref="A55:G55"/>
    <mergeCell ref="A58:F58"/>
    <mergeCell ref="A59:G59"/>
    <mergeCell ref="A64:F64"/>
    <mergeCell ref="A65:G65"/>
    <mergeCell ref="A68:F68"/>
    <mergeCell ref="A69:G69"/>
    <mergeCell ref="C100:E103"/>
    <mergeCell ref="F100:G103"/>
    <mergeCell ref="A104:F104"/>
    <mergeCell ref="A73:G73"/>
    <mergeCell ref="A92:F92"/>
    <mergeCell ref="A93:G93"/>
    <mergeCell ref="A97:F97"/>
    <mergeCell ref="A98:F98"/>
    <mergeCell ref="A99:G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Martynas Remeikis</dc:creator>
  <cp:lastModifiedBy>Inga Kanapeckienė</cp:lastModifiedBy>
  <dcterms:created xsi:type="dcterms:W3CDTF">2024-02-27T07:43:01Z</dcterms:created>
  <dcterms:modified xsi:type="dcterms:W3CDTF">2024-03-18T07:01:31Z</dcterms:modified>
</cp:coreProperties>
</file>