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mc:AlternateContent xmlns:mc="http://schemas.openxmlformats.org/markup-compatibility/2006">
    <mc:Choice Requires="x15">
      <x15ac:absPath xmlns:x15ac="http://schemas.microsoft.com/office/spreadsheetml/2010/11/ac" url="C:\Users\imaksvytiene\Desktop\MVP_2023_m._ataskaita\"/>
    </mc:Choice>
  </mc:AlternateContent>
  <xr:revisionPtr revIDLastSave="0" documentId="13_ncr:1_{8697E31D-403E-4AFA-A640-D4CE2F483BC3}" xr6:coauthVersionLast="47" xr6:coauthVersionMax="47" xr10:uidLastSave="{00000000-0000-0000-0000-000000000000}"/>
  <bookViews>
    <workbookView xWindow="165" yWindow="585" windowWidth="47445" windowHeight="1545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P12" i="2"/>
  <c r="Q12" i="2"/>
  <c r="R12" i="2"/>
  <c r="S12" i="2"/>
  <c r="T12" i="2"/>
  <c r="U12" i="2"/>
  <c r="V12" i="2"/>
  <c r="W12" i="2"/>
  <c r="X12" i="2"/>
  <c r="Y12" i="2"/>
  <c r="F14" i="2"/>
  <c r="G14" i="2"/>
  <c r="H14" i="2"/>
  <c r="I14" i="2"/>
  <c r="J14" i="2"/>
  <c r="K14" i="2"/>
  <c r="L14" i="2"/>
  <c r="M14" i="2"/>
  <c r="N14" i="2"/>
  <c r="O14" i="2"/>
  <c r="P14" i="2"/>
  <c r="Q14" i="2"/>
  <c r="R14" i="2"/>
  <c r="S14" i="2"/>
  <c r="T14" i="2"/>
  <c r="U14" i="2"/>
  <c r="V14" i="2"/>
  <c r="W14" i="2"/>
  <c r="X14" i="2"/>
  <c r="Y14" i="2"/>
  <c r="F16" i="2"/>
  <c r="G16" i="2"/>
  <c r="H16" i="2"/>
  <c r="I16" i="2"/>
  <c r="J16" i="2"/>
  <c r="K16" i="2"/>
  <c r="L16" i="2"/>
  <c r="M16" i="2"/>
  <c r="N16" i="2"/>
  <c r="O16" i="2"/>
  <c r="P16" i="2"/>
  <c r="Q16" i="2"/>
  <c r="R16" i="2"/>
  <c r="S16" i="2"/>
  <c r="T16" i="2"/>
  <c r="U16" i="2"/>
  <c r="V16" i="2"/>
  <c r="W16" i="2"/>
  <c r="X16" i="2"/>
  <c r="Y16" i="2"/>
  <c r="F18" i="2"/>
  <c r="G18" i="2"/>
  <c r="H18" i="2"/>
  <c r="I18" i="2"/>
  <c r="J18" i="2"/>
  <c r="K18" i="2"/>
  <c r="L18" i="2"/>
  <c r="M18" i="2"/>
  <c r="N18" i="2"/>
  <c r="O18" i="2"/>
  <c r="P18" i="2"/>
  <c r="Q18" i="2"/>
  <c r="R18" i="2"/>
  <c r="S18" i="2"/>
  <c r="T18" i="2"/>
  <c r="U18" i="2"/>
  <c r="V18" i="2"/>
  <c r="W18" i="2"/>
  <c r="X18" i="2"/>
  <c r="Y18" i="2"/>
  <c r="F20" i="2"/>
  <c r="G20" i="2"/>
  <c r="H20" i="2"/>
  <c r="I20" i="2"/>
  <c r="J20" i="2"/>
  <c r="K20" i="2"/>
  <c r="L20" i="2"/>
  <c r="M20" i="2"/>
  <c r="N20" i="2"/>
  <c r="O20" i="2"/>
  <c r="P20" i="2"/>
  <c r="Q20" i="2"/>
  <c r="R20" i="2"/>
  <c r="S20" i="2"/>
  <c r="T20" i="2"/>
  <c r="U20" i="2"/>
  <c r="V20" i="2"/>
  <c r="W20" i="2"/>
  <c r="X20" i="2"/>
  <c r="Y20" i="2"/>
  <c r="F24" i="2"/>
  <c r="G24" i="2"/>
  <c r="H24" i="2"/>
  <c r="I24" i="2"/>
  <c r="J24" i="2"/>
  <c r="K24" i="2"/>
  <c r="L24" i="2"/>
  <c r="M24" i="2"/>
  <c r="N24" i="2"/>
  <c r="O24" i="2"/>
  <c r="P24" i="2"/>
  <c r="Q24" i="2"/>
  <c r="R24" i="2"/>
  <c r="S24" i="2"/>
  <c r="T24" i="2"/>
  <c r="U24" i="2"/>
  <c r="V24" i="2"/>
  <c r="W24" i="2"/>
  <c r="X24" i="2"/>
  <c r="Y24" i="2"/>
  <c r="F27" i="2"/>
  <c r="G27" i="2"/>
  <c r="H27" i="2"/>
  <c r="I27" i="2"/>
  <c r="J27" i="2"/>
  <c r="K27" i="2"/>
  <c r="L27" i="2"/>
  <c r="M27" i="2"/>
  <c r="N27" i="2"/>
  <c r="O27" i="2"/>
  <c r="P27" i="2"/>
  <c r="Q27" i="2"/>
  <c r="R27" i="2"/>
  <c r="S27" i="2"/>
  <c r="T27" i="2"/>
  <c r="U27" i="2"/>
  <c r="V27" i="2"/>
  <c r="W27" i="2"/>
  <c r="X27" i="2"/>
  <c r="Y27" i="2"/>
  <c r="F31" i="2"/>
  <c r="G31" i="2"/>
  <c r="H31" i="2"/>
  <c r="I31" i="2"/>
  <c r="J31" i="2"/>
  <c r="K31" i="2"/>
  <c r="L31" i="2"/>
  <c r="M31" i="2"/>
  <c r="N31" i="2"/>
  <c r="O31" i="2"/>
  <c r="P31" i="2"/>
  <c r="Q31" i="2"/>
  <c r="R31" i="2"/>
  <c r="S31" i="2"/>
  <c r="T31" i="2"/>
  <c r="U31" i="2"/>
  <c r="V31" i="2"/>
  <c r="W31" i="2"/>
  <c r="X31" i="2"/>
  <c r="Y31" i="2"/>
  <c r="F34" i="2"/>
  <c r="G34" i="2"/>
  <c r="H34" i="2"/>
  <c r="I34" i="2"/>
  <c r="J34" i="2"/>
  <c r="K34" i="2"/>
  <c r="L34" i="2"/>
  <c r="M34" i="2"/>
  <c r="N34" i="2"/>
  <c r="O34" i="2"/>
  <c r="P34" i="2"/>
  <c r="Q34" i="2"/>
  <c r="R34" i="2"/>
  <c r="S34" i="2"/>
  <c r="T34" i="2"/>
  <c r="U34" i="2"/>
  <c r="V34" i="2"/>
  <c r="W34" i="2"/>
  <c r="X34" i="2"/>
  <c r="Y34" i="2"/>
  <c r="F36" i="2"/>
  <c r="G36" i="2"/>
  <c r="H36" i="2"/>
  <c r="I36" i="2"/>
  <c r="J36" i="2"/>
  <c r="K36" i="2"/>
  <c r="L36" i="2"/>
  <c r="M36" i="2"/>
  <c r="N36" i="2"/>
  <c r="O36" i="2"/>
  <c r="P36" i="2"/>
  <c r="Q36" i="2"/>
  <c r="R36" i="2"/>
  <c r="S36" i="2"/>
  <c r="T36" i="2"/>
  <c r="U36" i="2"/>
  <c r="V36" i="2"/>
  <c r="W36" i="2"/>
  <c r="X36" i="2"/>
  <c r="Y36" i="2"/>
  <c r="F38" i="2"/>
  <c r="G38" i="2"/>
  <c r="H38" i="2"/>
  <c r="I38" i="2"/>
  <c r="J38" i="2"/>
  <c r="K38" i="2"/>
  <c r="L38" i="2"/>
  <c r="M38" i="2"/>
  <c r="N38" i="2"/>
  <c r="O38" i="2"/>
  <c r="P38" i="2"/>
  <c r="Q38" i="2"/>
  <c r="R38" i="2"/>
  <c r="S38" i="2"/>
  <c r="T38" i="2"/>
  <c r="U38" i="2"/>
  <c r="V38" i="2"/>
  <c r="W38" i="2"/>
  <c r="X38" i="2"/>
  <c r="Y38" i="2"/>
  <c r="F40" i="2"/>
  <c r="G40" i="2"/>
  <c r="H40" i="2"/>
  <c r="I40" i="2"/>
  <c r="J40" i="2"/>
  <c r="K40" i="2"/>
  <c r="L40" i="2"/>
  <c r="M40" i="2"/>
  <c r="N40" i="2"/>
  <c r="O40" i="2"/>
  <c r="P40" i="2"/>
  <c r="Q40" i="2"/>
  <c r="R40" i="2"/>
  <c r="S40" i="2"/>
  <c r="T40" i="2"/>
  <c r="U40" i="2"/>
  <c r="V40" i="2"/>
  <c r="W40" i="2"/>
  <c r="X40" i="2"/>
  <c r="Y40" i="2"/>
  <c r="F42" i="2"/>
  <c r="G42" i="2"/>
  <c r="H42" i="2"/>
  <c r="I42" i="2"/>
  <c r="J42" i="2"/>
  <c r="K42" i="2"/>
  <c r="L42" i="2"/>
  <c r="M42" i="2"/>
  <c r="N42" i="2"/>
  <c r="O42" i="2"/>
  <c r="P42" i="2"/>
  <c r="Q42" i="2"/>
  <c r="R42" i="2"/>
  <c r="S42" i="2"/>
  <c r="T42" i="2"/>
  <c r="U42" i="2"/>
  <c r="V42" i="2"/>
  <c r="W42" i="2"/>
  <c r="X42" i="2"/>
  <c r="Y42" i="2"/>
  <c r="F44" i="2"/>
  <c r="G44" i="2"/>
  <c r="H44" i="2"/>
  <c r="I44" i="2"/>
  <c r="J44" i="2"/>
  <c r="K44" i="2"/>
  <c r="L44" i="2"/>
  <c r="M44" i="2"/>
  <c r="N44" i="2"/>
  <c r="O44" i="2"/>
  <c r="P44" i="2"/>
  <c r="Q44" i="2"/>
  <c r="R44" i="2"/>
  <c r="S44" i="2"/>
  <c r="T44" i="2"/>
  <c r="U44" i="2"/>
  <c r="V44" i="2"/>
  <c r="W44" i="2"/>
  <c r="X44" i="2"/>
  <c r="Y44" i="2"/>
  <c r="F46" i="2"/>
  <c r="G46" i="2"/>
  <c r="H46" i="2"/>
  <c r="I46" i="2"/>
  <c r="J46" i="2"/>
  <c r="K46" i="2"/>
  <c r="L46" i="2"/>
  <c r="M46" i="2"/>
  <c r="N46" i="2"/>
  <c r="O46" i="2"/>
  <c r="P46" i="2"/>
  <c r="Q46" i="2"/>
  <c r="R46" i="2"/>
  <c r="S46" i="2"/>
  <c r="T46" i="2"/>
  <c r="U46" i="2"/>
  <c r="V46" i="2"/>
  <c r="W46" i="2"/>
  <c r="X46" i="2"/>
  <c r="Y46" i="2"/>
  <c r="F49" i="2"/>
  <c r="G49" i="2"/>
  <c r="H49" i="2"/>
  <c r="I49" i="2"/>
  <c r="J49" i="2"/>
  <c r="K49" i="2"/>
  <c r="L49" i="2"/>
  <c r="M49" i="2"/>
  <c r="N49" i="2"/>
  <c r="O49" i="2"/>
  <c r="P49" i="2"/>
  <c r="Q49" i="2"/>
  <c r="R49" i="2"/>
  <c r="S49" i="2"/>
  <c r="T49" i="2"/>
  <c r="U49" i="2"/>
  <c r="V49" i="2"/>
  <c r="W49" i="2"/>
  <c r="W48" i="2" s="1"/>
  <c r="X49" i="2"/>
  <c r="Y49" i="2"/>
  <c r="F51" i="2"/>
  <c r="F48" i="2" s="1"/>
  <c r="G51" i="2"/>
  <c r="H51" i="2"/>
  <c r="I51" i="2"/>
  <c r="J51" i="2"/>
  <c r="K51" i="2"/>
  <c r="L51" i="2"/>
  <c r="M51" i="2"/>
  <c r="M48" i="2" s="1"/>
  <c r="N51" i="2"/>
  <c r="N48" i="2" s="1"/>
  <c r="O51" i="2"/>
  <c r="P51" i="2"/>
  <c r="Q51" i="2"/>
  <c r="R51" i="2"/>
  <c r="S51" i="2"/>
  <c r="T51" i="2"/>
  <c r="U51" i="2"/>
  <c r="U48" i="2" s="1"/>
  <c r="V51" i="2"/>
  <c r="V48" i="2" s="1"/>
  <c r="W51" i="2"/>
  <c r="X51" i="2"/>
  <c r="Y51" i="2"/>
  <c r="F55" i="2"/>
  <c r="F54" i="2" s="1"/>
  <c r="F53" i="2" s="1"/>
  <c r="G55" i="2"/>
  <c r="G54" i="2" s="1"/>
  <c r="G53" i="2" s="1"/>
  <c r="H55" i="2"/>
  <c r="H54" i="2" s="1"/>
  <c r="H53" i="2" s="1"/>
  <c r="I55" i="2"/>
  <c r="I54" i="2" s="1"/>
  <c r="I53" i="2" s="1"/>
  <c r="J55" i="2"/>
  <c r="J54" i="2" s="1"/>
  <c r="J53" i="2" s="1"/>
  <c r="K55" i="2"/>
  <c r="K54" i="2" s="1"/>
  <c r="K53" i="2" s="1"/>
  <c r="L55" i="2"/>
  <c r="L54" i="2" s="1"/>
  <c r="L53" i="2" s="1"/>
  <c r="M55" i="2"/>
  <c r="M54" i="2" s="1"/>
  <c r="M53" i="2" s="1"/>
  <c r="N55" i="2"/>
  <c r="N54" i="2" s="1"/>
  <c r="N53" i="2" s="1"/>
  <c r="O55" i="2"/>
  <c r="O54" i="2" s="1"/>
  <c r="O53" i="2" s="1"/>
  <c r="P55" i="2"/>
  <c r="P54" i="2" s="1"/>
  <c r="P53" i="2" s="1"/>
  <c r="Q55" i="2"/>
  <c r="Q54" i="2" s="1"/>
  <c r="Q53" i="2" s="1"/>
  <c r="R55" i="2"/>
  <c r="R54" i="2" s="1"/>
  <c r="R53" i="2" s="1"/>
  <c r="S55" i="2"/>
  <c r="S54" i="2" s="1"/>
  <c r="S53" i="2" s="1"/>
  <c r="T55" i="2"/>
  <c r="T54" i="2" s="1"/>
  <c r="T53" i="2" s="1"/>
  <c r="U55" i="2"/>
  <c r="U54" i="2" s="1"/>
  <c r="U53" i="2" s="1"/>
  <c r="V55" i="2"/>
  <c r="V54" i="2" s="1"/>
  <c r="V53" i="2" s="1"/>
  <c r="W55" i="2"/>
  <c r="W54" i="2" s="1"/>
  <c r="W53" i="2" s="1"/>
  <c r="X55" i="2"/>
  <c r="X54" i="2" s="1"/>
  <c r="X53" i="2" s="1"/>
  <c r="Y55" i="2"/>
  <c r="Y54" i="2" s="1"/>
  <c r="Y53" i="2" s="1"/>
  <c r="F59" i="2"/>
  <c r="G59" i="2"/>
  <c r="H59" i="2"/>
  <c r="I59" i="2"/>
  <c r="J59" i="2"/>
  <c r="K59" i="2"/>
  <c r="L59" i="2"/>
  <c r="M59" i="2"/>
  <c r="N59" i="2"/>
  <c r="O59" i="2"/>
  <c r="P59" i="2"/>
  <c r="Q59" i="2"/>
  <c r="R59" i="2"/>
  <c r="S59" i="2"/>
  <c r="T59" i="2"/>
  <c r="U59" i="2"/>
  <c r="V59" i="2"/>
  <c r="W59" i="2"/>
  <c r="X59" i="2"/>
  <c r="Y59" i="2"/>
  <c r="F61" i="2"/>
  <c r="G61" i="2"/>
  <c r="H61" i="2"/>
  <c r="I61" i="2"/>
  <c r="J61" i="2"/>
  <c r="K61" i="2"/>
  <c r="L61" i="2"/>
  <c r="M61" i="2"/>
  <c r="N61" i="2"/>
  <c r="O61" i="2"/>
  <c r="P61" i="2"/>
  <c r="Q61" i="2"/>
  <c r="R61" i="2"/>
  <c r="S61" i="2"/>
  <c r="T61" i="2"/>
  <c r="U61" i="2"/>
  <c r="V61" i="2"/>
  <c r="W61" i="2"/>
  <c r="X61" i="2"/>
  <c r="Y61" i="2"/>
  <c r="F65" i="2"/>
  <c r="G65" i="2"/>
  <c r="H65" i="2"/>
  <c r="I65" i="2"/>
  <c r="J65" i="2"/>
  <c r="K65" i="2"/>
  <c r="L65" i="2"/>
  <c r="M65" i="2"/>
  <c r="N65" i="2"/>
  <c r="O65" i="2"/>
  <c r="P65" i="2"/>
  <c r="Q65" i="2"/>
  <c r="R65" i="2"/>
  <c r="S65" i="2"/>
  <c r="T65" i="2"/>
  <c r="U65" i="2"/>
  <c r="V65" i="2"/>
  <c r="W65" i="2"/>
  <c r="X65" i="2"/>
  <c r="Y65" i="2"/>
  <c r="F68" i="2"/>
  <c r="G68" i="2"/>
  <c r="H68" i="2"/>
  <c r="I68" i="2"/>
  <c r="I64" i="2" s="1"/>
  <c r="J68" i="2"/>
  <c r="K68" i="2"/>
  <c r="L68" i="2"/>
  <c r="M68" i="2"/>
  <c r="N68" i="2"/>
  <c r="O68" i="2"/>
  <c r="P68" i="2"/>
  <c r="Q68" i="2"/>
  <c r="Q64" i="2" s="1"/>
  <c r="R68" i="2"/>
  <c r="S68" i="2"/>
  <c r="T68" i="2"/>
  <c r="U68" i="2"/>
  <c r="V68" i="2"/>
  <c r="W68" i="2"/>
  <c r="X68" i="2"/>
  <c r="Y68" i="2"/>
  <c r="Y64" i="2" s="1"/>
  <c r="F71" i="2"/>
  <c r="F70" i="2" s="1"/>
  <c r="G71" i="2"/>
  <c r="G70" i="2" s="1"/>
  <c r="H71" i="2"/>
  <c r="H70" i="2" s="1"/>
  <c r="I71" i="2"/>
  <c r="I70" i="2" s="1"/>
  <c r="J71" i="2"/>
  <c r="J70" i="2" s="1"/>
  <c r="K71" i="2"/>
  <c r="K70" i="2" s="1"/>
  <c r="L71" i="2"/>
  <c r="L70" i="2" s="1"/>
  <c r="M71" i="2"/>
  <c r="M70" i="2" s="1"/>
  <c r="N71" i="2"/>
  <c r="N70" i="2" s="1"/>
  <c r="O71" i="2"/>
  <c r="O70" i="2" s="1"/>
  <c r="P71" i="2"/>
  <c r="P70" i="2" s="1"/>
  <c r="Q71" i="2"/>
  <c r="Q70" i="2" s="1"/>
  <c r="R71" i="2"/>
  <c r="R70" i="2" s="1"/>
  <c r="S71" i="2"/>
  <c r="S70" i="2" s="1"/>
  <c r="T71" i="2"/>
  <c r="T70" i="2" s="1"/>
  <c r="U71" i="2"/>
  <c r="U70" i="2" s="1"/>
  <c r="V71" i="2"/>
  <c r="V70" i="2" s="1"/>
  <c r="W71" i="2"/>
  <c r="W70" i="2" s="1"/>
  <c r="X71" i="2"/>
  <c r="X70" i="2" s="1"/>
  <c r="Y71" i="2"/>
  <c r="Y70" i="2" s="1"/>
  <c r="F76" i="2"/>
  <c r="F75" i="2" s="1"/>
  <c r="F74" i="2" s="1"/>
  <c r="G76" i="2"/>
  <c r="G75" i="2" s="1"/>
  <c r="G74" i="2" s="1"/>
  <c r="H76" i="2"/>
  <c r="H75" i="2" s="1"/>
  <c r="H74" i="2" s="1"/>
  <c r="I76" i="2"/>
  <c r="I75" i="2" s="1"/>
  <c r="I74" i="2" s="1"/>
  <c r="J76" i="2"/>
  <c r="J75" i="2" s="1"/>
  <c r="J74" i="2" s="1"/>
  <c r="K76" i="2"/>
  <c r="K75" i="2" s="1"/>
  <c r="K74" i="2" s="1"/>
  <c r="L76" i="2"/>
  <c r="L75" i="2" s="1"/>
  <c r="L74" i="2" s="1"/>
  <c r="M76" i="2"/>
  <c r="M75" i="2" s="1"/>
  <c r="M74" i="2" s="1"/>
  <c r="N76" i="2"/>
  <c r="N75" i="2" s="1"/>
  <c r="N74" i="2" s="1"/>
  <c r="O76" i="2"/>
  <c r="O75" i="2" s="1"/>
  <c r="O74" i="2" s="1"/>
  <c r="P76" i="2"/>
  <c r="P75" i="2" s="1"/>
  <c r="P74" i="2" s="1"/>
  <c r="Q76" i="2"/>
  <c r="Q75" i="2" s="1"/>
  <c r="Q74" i="2" s="1"/>
  <c r="R76" i="2"/>
  <c r="R75" i="2" s="1"/>
  <c r="R74" i="2" s="1"/>
  <c r="S76" i="2"/>
  <c r="S75" i="2" s="1"/>
  <c r="S74" i="2" s="1"/>
  <c r="T76" i="2"/>
  <c r="T75" i="2" s="1"/>
  <c r="T74" i="2" s="1"/>
  <c r="U76" i="2"/>
  <c r="U75" i="2" s="1"/>
  <c r="U74" i="2" s="1"/>
  <c r="V76" i="2"/>
  <c r="V75" i="2" s="1"/>
  <c r="V74" i="2" s="1"/>
  <c r="W76" i="2"/>
  <c r="W75" i="2" s="1"/>
  <c r="W74" i="2" s="1"/>
  <c r="X76" i="2"/>
  <c r="X75" i="2" s="1"/>
  <c r="X74" i="2" s="1"/>
  <c r="Y76" i="2"/>
  <c r="Y75" i="2" s="1"/>
  <c r="Y74" i="2" s="1"/>
  <c r="F82" i="2"/>
  <c r="F81" i="2" s="1"/>
  <c r="F80" i="2" s="1"/>
  <c r="G82" i="2"/>
  <c r="G81" i="2" s="1"/>
  <c r="G80" i="2" s="1"/>
  <c r="H82" i="2"/>
  <c r="H81" i="2" s="1"/>
  <c r="H80" i="2" s="1"/>
  <c r="I82" i="2"/>
  <c r="I81" i="2" s="1"/>
  <c r="I80" i="2" s="1"/>
  <c r="J82" i="2"/>
  <c r="J81" i="2" s="1"/>
  <c r="J80" i="2" s="1"/>
  <c r="K82" i="2"/>
  <c r="K81" i="2" s="1"/>
  <c r="K80" i="2" s="1"/>
  <c r="L82" i="2"/>
  <c r="L81" i="2" s="1"/>
  <c r="L80" i="2" s="1"/>
  <c r="M82" i="2"/>
  <c r="M81" i="2" s="1"/>
  <c r="M80" i="2" s="1"/>
  <c r="N82" i="2"/>
  <c r="N81" i="2" s="1"/>
  <c r="N80" i="2" s="1"/>
  <c r="O82" i="2"/>
  <c r="O81" i="2" s="1"/>
  <c r="O80" i="2" s="1"/>
  <c r="P82" i="2"/>
  <c r="P81" i="2" s="1"/>
  <c r="P80" i="2" s="1"/>
  <c r="Q82" i="2"/>
  <c r="Q81" i="2" s="1"/>
  <c r="Q80" i="2" s="1"/>
  <c r="R82" i="2"/>
  <c r="R81" i="2" s="1"/>
  <c r="R80" i="2" s="1"/>
  <c r="S82" i="2"/>
  <c r="S81" i="2" s="1"/>
  <c r="S80" i="2" s="1"/>
  <c r="T82" i="2"/>
  <c r="T81" i="2" s="1"/>
  <c r="T80" i="2" s="1"/>
  <c r="U82" i="2"/>
  <c r="U81" i="2" s="1"/>
  <c r="U80" i="2" s="1"/>
  <c r="V82" i="2"/>
  <c r="V81" i="2" s="1"/>
  <c r="V80" i="2" s="1"/>
  <c r="W82" i="2"/>
  <c r="W81" i="2" s="1"/>
  <c r="W80" i="2" s="1"/>
  <c r="X82" i="2"/>
  <c r="X81" i="2" s="1"/>
  <c r="X80" i="2" s="1"/>
  <c r="Y82" i="2"/>
  <c r="Y81" i="2" s="1"/>
  <c r="Y80" i="2" s="1"/>
  <c r="F86" i="2"/>
  <c r="F85" i="2" s="1"/>
  <c r="F84" i="2" s="1"/>
  <c r="G86" i="2"/>
  <c r="G85" i="2" s="1"/>
  <c r="G84" i="2" s="1"/>
  <c r="H86" i="2"/>
  <c r="H85" i="2" s="1"/>
  <c r="H84" i="2" s="1"/>
  <c r="I86" i="2"/>
  <c r="I85" i="2" s="1"/>
  <c r="I84" i="2" s="1"/>
  <c r="J86" i="2"/>
  <c r="J85" i="2" s="1"/>
  <c r="J84" i="2" s="1"/>
  <c r="K86" i="2"/>
  <c r="K85" i="2" s="1"/>
  <c r="K84" i="2" s="1"/>
  <c r="L86" i="2"/>
  <c r="L85" i="2" s="1"/>
  <c r="L84" i="2" s="1"/>
  <c r="M86" i="2"/>
  <c r="M85" i="2" s="1"/>
  <c r="M84" i="2" s="1"/>
  <c r="N86" i="2"/>
  <c r="N85" i="2" s="1"/>
  <c r="N84" i="2" s="1"/>
  <c r="O86" i="2"/>
  <c r="O85" i="2" s="1"/>
  <c r="O84" i="2" s="1"/>
  <c r="P86" i="2"/>
  <c r="P85" i="2" s="1"/>
  <c r="P84" i="2" s="1"/>
  <c r="Q86" i="2"/>
  <c r="Q85" i="2" s="1"/>
  <c r="Q84" i="2" s="1"/>
  <c r="R86" i="2"/>
  <c r="R85" i="2" s="1"/>
  <c r="R84" i="2" s="1"/>
  <c r="S86" i="2"/>
  <c r="S85" i="2" s="1"/>
  <c r="S84" i="2" s="1"/>
  <c r="T86" i="2"/>
  <c r="T85" i="2" s="1"/>
  <c r="T84" i="2" s="1"/>
  <c r="U86" i="2"/>
  <c r="U85" i="2" s="1"/>
  <c r="U84" i="2" s="1"/>
  <c r="V86" i="2"/>
  <c r="V85" i="2" s="1"/>
  <c r="V84" i="2" s="1"/>
  <c r="W86" i="2"/>
  <c r="W85" i="2" s="1"/>
  <c r="W84" i="2" s="1"/>
  <c r="X86" i="2"/>
  <c r="X85" i="2" s="1"/>
  <c r="X84" i="2" s="1"/>
  <c r="Y86" i="2"/>
  <c r="Y85" i="2" s="1"/>
  <c r="Y84" i="2" s="1"/>
  <c r="F90" i="2"/>
  <c r="G90" i="2"/>
  <c r="H90" i="2"/>
  <c r="I90" i="2"/>
  <c r="J90" i="2"/>
  <c r="K90" i="2"/>
  <c r="L90" i="2"/>
  <c r="M90" i="2"/>
  <c r="N90" i="2"/>
  <c r="O90" i="2"/>
  <c r="P90" i="2"/>
  <c r="Q90" i="2"/>
  <c r="R90" i="2"/>
  <c r="S90" i="2"/>
  <c r="T90" i="2"/>
  <c r="U90" i="2"/>
  <c r="V90" i="2"/>
  <c r="W90" i="2"/>
  <c r="X90" i="2"/>
  <c r="Y90" i="2"/>
  <c r="F92" i="2"/>
  <c r="G92" i="2"/>
  <c r="H92" i="2"/>
  <c r="I92" i="2"/>
  <c r="J92" i="2"/>
  <c r="K92" i="2"/>
  <c r="L92" i="2"/>
  <c r="M92" i="2"/>
  <c r="N92" i="2"/>
  <c r="O92" i="2"/>
  <c r="P92" i="2"/>
  <c r="Q92" i="2"/>
  <c r="R92" i="2"/>
  <c r="R89" i="2" s="1"/>
  <c r="R88" i="2" s="1"/>
  <c r="S92" i="2"/>
  <c r="T92" i="2"/>
  <c r="U92" i="2"/>
  <c r="V92" i="2"/>
  <c r="W92" i="2"/>
  <c r="X92" i="2"/>
  <c r="Y92" i="2"/>
  <c r="F97" i="2"/>
  <c r="F96" i="2" s="1"/>
  <c r="G97" i="2"/>
  <c r="G96" i="2" s="1"/>
  <c r="H97" i="2"/>
  <c r="H96" i="2" s="1"/>
  <c r="I97" i="2"/>
  <c r="I96" i="2" s="1"/>
  <c r="J97" i="2"/>
  <c r="J96" i="2" s="1"/>
  <c r="K97" i="2"/>
  <c r="K96" i="2" s="1"/>
  <c r="L97" i="2"/>
  <c r="L96" i="2" s="1"/>
  <c r="M97" i="2"/>
  <c r="M96" i="2" s="1"/>
  <c r="N97" i="2"/>
  <c r="N96" i="2" s="1"/>
  <c r="O97" i="2"/>
  <c r="O96" i="2" s="1"/>
  <c r="P97" i="2"/>
  <c r="P96" i="2" s="1"/>
  <c r="Q97" i="2"/>
  <c r="Q96" i="2" s="1"/>
  <c r="R97" i="2"/>
  <c r="R96" i="2" s="1"/>
  <c r="S97" i="2"/>
  <c r="S96" i="2" s="1"/>
  <c r="T97" i="2"/>
  <c r="T96" i="2" s="1"/>
  <c r="U97" i="2"/>
  <c r="U96" i="2" s="1"/>
  <c r="V97" i="2"/>
  <c r="V96" i="2" s="1"/>
  <c r="W97" i="2"/>
  <c r="W96" i="2" s="1"/>
  <c r="X97" i="2"/>
  <c r="X96" i="2" s="1"/>
  <c r="Y97" i="2"/>
  <c r="Y96" i="2" s="1"/>
  <c r="F100" i="2"/>
  <c r="G100" i="2"/>
  <c r="H100" i="2"/>
  <c r="I100" i="2"/>
  <c r="J100" i="2"/>
  <c r="K100" i="2"/>
  <c r="L100" i="2"/>
  <c r="M100" i="2"/>
  <c r="N100" i="2"/>
  <c r="O100" i="2"/>
  <c r="P100" i="2"/>
  <c r="Q100" i="2"/>
  <c r="R100" i="2"/>
  <c r="S100" i="2"/>
  <c r="T100" i="2"/>
  <c r="U100" i="2"/>
  <c r="V100" i="2"/>
  <c r="W100" i="2"/>
  <c r="X100" i="2"/>
  <c r="Y100" i="2"/>
  <c r="F102" i="2"/>
  <c r="G102" i="2"/>
  <c r="H102" i="2"/>
  <c r="I102" i="2"/>
  <c r="J102" i="2"/>
  <c r="K102" i="2"/>
  <c r="L102" i="2"/>
  <c r="M102" i="2"/>
  <c r="N102" i="2"/>
  <c r="O102" i="2"/>
  <c r="P102" i="2"/>
  <c r="Q102" i="2"/>
  <c r="R102" i="2"/>
  <c r="S102" i="2"/>
  <c r="T102" i="2"/>
  <c r="U102" i="2"/>
  <c r="V102" i="2"/>
  <c r="W102" i="2"/>
  <c r="X102" i="2"/>
  <c r="Y102" i="2"/>
  <c r="F104" i="2"/>
  <c r="G104" i="2"/>
  <c r="H104" i="2"/>
  <c r="I104" i="2"/>
  <c r="J104" i="2"/>
  <c r="K104" i="2"/>
  <c r="L104" i="2"/>
  <c r="M104" i="2"/>
  <c r="N104" i="2"/>
  <c r="O104" i="2"/>
  <c r="P104" i="2"/>
  <c r="Q104" i="2"/>
  <c r="R104" i="2"/>
  <c r="S104" i="2"/>
  <c r="T104" i="2"/>
  <c r="U104" i="2"/>
  <c r="V104" i="2"/>
  <c r="W104" i="2"/>
  <c r="X104" i="2"/>
  <c r="Y104" i="2"/>
  <c r="F106" i="2"/>
  <c r="G106" i="2"/>
  <c r="H106" i="2"/>
  <c r="I106" i="2"/>
  <c r="J106" i="2"/>
  <c r="K106" i="2"/>
  <c r="L106" i="2"/>
  <c r="M106" i="2"/>
  <c r="N106" i="2"/>
  <c r="O106" i="2"/>
  <c r="P106" i="2"/>
  <c r="Q106" i="2"/>
  <c r="R106" i="2"/>
  <c r="S106" i="2"/>
  <c r="T106" i="2"/>
  <c r="U106" i="2"/>
  <c r="V106" i="2"/>
  <c r="W106" i="2"/>
  <c r="X106" i="2"/>
  <c r="Y106" i="2"/>
  <c r="F108" i="2"/>
  <c r="G108" i="2"/>
  <c r="H108" i="2"/>
  <c r="I108" i="2"/>
  <c r="J108" i="2"/>
  <c r="K108" i="2"/>
  <c r="L108" i="2"/>
  <c r="M108" i="2"/>
  <c r="N108" i="2"/>
  <c r="O108" i="2"/>
  <c r="P108" i="2"/>
  <c r="Q108" i="2"/>
  <c r="R108" i="2"/>
  <c r="S108" i="2"/>
  <c r="T108" i="2"/>
  <c r="U108" i="2"/>
  <c r="V108" i="2"/>
  <c r="W108" i="2"/>
  <c r="X108" i="2"/>
  <c r="Y108" i="2"/>
  <c r="F110" i="2"/>
  <c r="G110" i="2"/>
  <c r="H110" i="2"/>
  <c r="I110" i="2"/>
  <c r="J110" i="2"/>
  <c r="K110" i="2"/>
  <c r="L110" i="2"/>
  <c r="M110" i="2"/>
  <c r="N110" i="2"/>
  <c r="O110" i="2"/>
  <c r="P110" i="2"/>
  <c r="Q110" i="2"/>
  <c r="R110" i="2"/>
  <c r="S110" i="2"/>
  <c r="T110" i="2"/>
  <c r="U110" i="2"/>
  <c r="V110" i="2"/>
  <c r="W110" i="2"/>
  <c r="X110" i="2"/>
  <c r="Y110" i="2"/>
  <c r="F112" i="2"/>
  <c r="G112" i="2"/>
  <c r="H112" i="2"/>
  <c r="I112" i="2"/>
  <c r="J112" i="2"/>
  <c r="K112" i="2"/>
  <c r="L112" i="2"/>
  <c r="M112" i="2"/>
  <c r="N112" i="2"/>
  <c r="O112" i="2"/>
  <c r="P112" i="2"/>
  <c r="Q112" i="2"/>
  <c r="R112" i="2"/>
  <c r="S112" i="2"/>
  <c r="T112" i="2"/>
  <c r="U112" i="2"/>
  <c r="V112" i="2"/>
  <c r="W112" i="2"/>
  <c r="X112" i="2"/>
  <c r="Y112" i="2"/>
  <c r="F114" i="2"/>
  <c r="G114" i="2"/>
  <c r="H114" i="2"/>
  <c r="I114" i="2"/>
  <c r="J114" i="2"/>
  <c r="K114" i="2"/>
  <c r="L114" i="2"/>
  <c r="M114" i="2"/>
  <c r="N114" i="2"/>
  <c r="O114" i="2"/>
  <c r="P114" i="2"/>
  <c r="Q114" i="2"/>
  <c r="R114" i="2"/>
  <c r="S114" i="2"/>
  <c r="T114" i="2"/>
  <c r="U114" i="2"/>
  <c r="V114" i="2"/>
  <c r="W114" i="2"/>
  <c r="X114" i="2"/>
  <c r="Y114" i="2"/>
  <c r="F116" i="2"/>
  <c r="G116" i="2"/>
  <c r="H116" i="2"/>
  <c r="I116" i="2"/>
  <c r="J116" i="2"/>
  <c r="K116" i="2"/>
  <c r="L116" i="2"/>
  <c r="M116" i="2"/>
  <c r="N116" i="2"/>
  <c r="O116" i="2"/>
  <c r="P116" i="2"/>
  <c r="Q116" i="2"/>
  <c r="R116" i="2"/>
  <c r="S116" i="2"/>
  <c r="T116" i="2"/>
  <c r="U116" i="2"/>
  <c r="V116" i="2"/>
  <c r="W116" i="2"/>
  <c r="X116" i="2"/>
  <c r="Y116" i="2"/>
  <c r="F122" i="2"/>
  <c r="G122" i="2"/>
  <c r="H122" i="2"/>
  <c r="I122" i="2"/>
  <c r="J122" i="2"/>
  <c r="K122" i="2"/>
  <c r="L122" i="2"/>
  <c r="M122" i="2"/>
  <c r="N122" i="2"/>
  <c r="O122" i="2"/>
  <c r="P122" i="2"/>
  <c r="Q122" i="2"/>
  <c r="R122" i="2"/>
  <c r="S122" i="2"/>
  <c r="T122" i="2"/>
  <c r="U122" i="2"/>
  <c r="V122" i="2"/>
  <c r="W122" i="2"/>
  <c r="X122" i="2"/>
  <c r="Y122" i="2"/>
  <c r="F124" i="2"/>
  <c r="G124" i="2"/>
  <c r="H124" i="2"/>
  <c r="I124" i="2"/>
  <c r="J124" i="2"/>
  <c r="K124" i="2"/>
  <c r="L124" i="2"/>
  <c r="M124" i="2"/>
  <c r="N124" i="2"/>
  <c r="O124" i="2"/>
  <c r="P124" i="2"/>
  <c r="Q124" i="2"/>
  <c r="R124" i="2"/>
  <c r="S124" i="2"/>
  <c r="T124" i="2"/>
  <c r="U124" i="2"/>
  <c r="V124" i="2"/>
  <c r="W124" i="2"/>
  <c r="X124" i="2"/>
  <c r="Y124" i="2"/>
  <c r="F126" i="2"/>
  <c r="G126" i="2"/>
  <c r="H126" i="2"/>
  <c r="I126" i="2"/>
  <c r="J126" i="2"/>
  <c r="K126" i="2"/>
  <c r="L126" i="2"/>
  <c r="M126" i="2"/>
  <c r="N126" i="2"/>
  <c r="O126" i="2"/>
  <c r="P126" i="2"/>
  <c r="Q126" i="2"/>
  <c r="R126" i="2"/>
  <c r="S126" i="2"/>
  <c r="T126" i="2"/>
  <c r="U126" i="2"/>
  <c r="V126" i="2"/>
  <c r="W126" i="2"/>
  <c r="X126" i="2"/>
  <c r="Y126" i="2"/>
  <c r="F131" i="2"/>
  <c r="F130" i="2" s="1"/>
  <c r="F129" i="2" s="1"/>
  <c r="G131" i="2"/>
  <c r="G130" i="2" s="1"/>
  <c r="G129" i="2" s="1"/>
  <c r="H131" i="2"/>
  <c r="H130" i="2" s="1"/>
  <c r="H129" i="2" s="1"/>
  <c r="I131" i="2"/>
  <c r="I130" i="2" s="1"/>
  <c r="I129" i="2" s="1"/>
  <c r="J131" i="2"/>
  <c r="J130" i="2" s="1"/>
  <c r="J129" i="2" s="1"/>
  <c r="K131" i="2"/>
  <c r="K130" i="2" s="1"/>
  <c r="K129" i="2" s="1"/>
  <c r="L131" i="2"/>
  <c r="L130" i="2" s="1"/>
  <c r="L129" i="2" s="1"/>
  <c r="M131" i="2"/>
  <c r="M130" i="2" s="1"/>
  <c r="M129" i="2" s="1"/>
  <c r="N131" i="2"/>
  <c r="N130" i="2" s="1"/>
  <c r="N129" i="2" s="1"/>
  <c r="O131" i="2"/>
  <c r="O130" i="2" s="1"/>
  <c r="O129" i="2" s="1"/>
  <c r="P131" i="2"/>
  <c r="P130" i="2" s="1"/>
  <c r="P129" i="2" s="1"/>
  <c r="Q131" i="2"/>
  <c r="Q130" i="2" s="1"/>
  <c r="Q129" i="2" s="1"/>
  <c r="R131" i="2"/>
  <c r="R130" i="2" s="1"/>
  <c r="R129" i="2" s="1"/>
  <c r="S131" i="2"/>
  <c r="S130" i="2" s="1"/>
  <c r="S129" i="2" s="1"/>
  <c r="T131" i="2"/>
  <c r="T130" i="2" s="1"/>
  <c r="T129" i="2" s="1"/>
  <c r="U131" i="2"/>
  <c r="U130" i="2" s="1"/>
  <c r="U129" i="2" s="1"/>
  <c r="V131" i="2"/>
  <c r="V130" i="2" s="1"/>
  <c r="V129" i="2" s="1"/>
  <c r="W131" i="2"/>
  <c r="W130" i="2" s="1"/>
  <c r="W129" i="2" s="1"/>
  <c r="X131" i="2"/>
  <c r="X130" i="2" s="1"/>
  <c r="X129" i="2" s="1"/>
  <c r="Y131" i="2"/>
  <c r="Y130" i="2" s="1"/>
  <c r="Y129" i="2" s="1"/>
  <c r="F135" i="2"/>
  <c r="F134" i="2" s="1"/>
  <c r="F133" i="2" s="1"/>
  <c r="G135" i="2"/>
  <c r="G134" i="2" s="1"/>
  <c r="G133" i="2" s="1"/>
  <c r="H135" i="2"/>
  <c r="H134" i="2" s="1"/>
  <c r="H133" i="2" s="1"/>
  <c r="I135" i="2"/>
  <c r="I134" i="2" s="1"/>
  <c r="I133" i="2" s="1"/>
  <c r="J135" i="2"/>
  <c r="J134" i="2" s="1"/>
  <c r="J133" i="2" s="1"/>
  <c r="K135" i="2"/>
  <c r="K134" i="2" s="1"/>
  <c r="K133" i="2" s="1"/>
  <c r="L135" i="2"/>
  <c r="L134" i="2" s="1"/>
  <c r="L133" i="2" s="1"/>
  <c r="M135" i="2"/>
  <c r="M134" i="2" s="1"/>
  <c r="M133" i="2" s="1"/>
  <c r="N135" i="2"/>
  <c r="N134" i="2" s="1"/>
  <c r="N133" i="2" s="1"/>
  <c r="O135" i="2"/>
  <c r="O134" i="2" s="1"/>
  <c r="O133" i="2" s="1"/>
  <c r="P135" i="2"/>
  <c r="P134" i="2" s="1"/>
  <c r="P133" i="2" s="1"/>
  <c r="Q135" i="2"/>
  <c r="Q134" i="2" s="1"/>
  <c r="Q133" i="2" s="1"/>
  <c r="R135" i="2"/>
  <c r="R134" i="2" s="1"/>
  <c r="R133" i="2" s="1"/>
  <c r="S135" i="2"/>
  <c r="S134" i="2" s="1"/>
  <c r="S133" i="2" s="1"/>
  <c r="T135" i="2"/>
  <c r="T134" i="2" s="1"/>
  <c r="T133" i="2" s="1"/>
  <c r="U135" i="2"/>
  <c r="U134" i="2" s="1"/>
  <c r="U133" i="2" s="1"/>
  <c r="V135" i="2"/>
  <c r="V134" i="2" s="1"/>
  <c r="V133" i="2" s="1"/>
  <c r="W135" i="2"/>
  <c r="W134" i="2" s="1"/>
  <c r="W133" i="2" s="1"/>
  <c r="X135" i="2"/>
  <c r="X134" i="2" s="1"/>
  <c r="X133" i="2" s="1"/>
  <c r="Y135" i="2"/>
  <c r="Y134" i="2" s="1"/>
  <c r="Y133" i="2" s="1"/>
  <c r="F142" i="2"/>
  <c r="G142" i="2"/>
  <c r="H142" i="2"/>
  <c r="I142" i="2"/>
  <c r="J142" i="2"/>
  <c r="K142" i="2"/>
  <c r="L142" i="2"/>
  <c r="M142" i="2"/>
  <c r="N142" i="2"/>
  <c r="O142" i="2"/>
  <c r="P142" i="2"/>
  <c r="Q142" i="2"/>
  <c r="R142" i="2"/>
  <c r="S142" i="2"/>
  <c r="T142" i="2"/>
  <c r="U142" i="2"/>
  <c r="V142" i="2"/>
  <c r="W142" i="2"/>
  <c r="X142" i="2"/>
  <c r="Y142" i="2"/>
  <c r="F144" i="2"/>
  <c r="G144" i="2"/>
  <c r="H144" i="2"/>
  <c r="I144" i="2"/>
  <c r="J144" i="2"/>
  <c r="K144" i="2"/>
  <c r="L144" i="2"/>
  <c r="M144" i="2"/>
  <c r="N144" i="2"/>
  <c r="O144" i="2"/>
  <c r="P144" i="2"/>
  <c r="Q144" i="2"/>
  <c r="R144" i="2"/>
  <c r="S144" i="2"/>
  <c r="T144" i="2"/>
  <c r="U144" i="2"/>
  <c r="V144" i="2"/>
  <c r="W144" i="2"/>
  <c r="X144" i="2"/>
  <c r="Y144" i="2"/>
  <c r="F146" i="2"/>
  <c r="G146" i="2"/>
  <c r="H146" i="2"/>
  <c r="I146" i="2"/>
  <c r="J146" i="2"/>
  <c r="K146" i="2"/>
  <c r="L146" i="2"/>
  <c r="M146" i="2"/>
  <c r="N146" i="2"/>
  <c r="O146" i="2"/>
  <c r="P146" i="2"/>
  <c r="Q146" i="2"/>
  <c r="R146" i="2"/>
  <c r="S146" i="2"/>
  <c r="T146" i="2"/>
  <c r="U146" i="2"/>
  <c r="V146" i="2"/>
  <c r="W146" i="2"/>
  <c r="X146" i="2"/>
  <c r="Y146" i="2"/>
  <c r="F151" i="2"/>
  <c r="G151" i="2"/>
  <c r="H151" i="2"/>
  <c r="I151" i="2"/>
  <c r="J151" i="2"/>
  <c r="K151" i="2"/>
  <c r="L151" i="2"/>
  <c r="M151" i="2"/>
  <c r="N151" i="2"/>
  <c r="O151" i="2"/>
  <c r="P151" i="2"/>
  <c r="Q151" i="2"/>
  <c r="R151" i="2"/>
  <c r="S151" i="2"/>
  <c r="T151" i="2"/>
  <c r="U151" i="2"/>
  <c r="V151" i="2"/>
  <c r="W151" i="2"/>
  <c r="X151" i="2"/>
  <c r="Y151" i="2"/>
  <c r="F155" i="2"/>
  <c r="G155" i="2"/>
  <c r="H155" i="2"/>
  <c r="I155" i="2"/>
  <c r="J155" i="2"/>
  <c r="K155" i="2"/>
  <c r="L155" i="2"/>
  <c r="M155" i="2"/>
  <c r="N155" i="2"/>
  <c r="O155" i="2"/>
  <c r="P155" i="2"/>
  <c r="Q155" i="2"/>
  <c r="R155" i="2"/>
  <c r="S155" i="2"/>
  <c r="T155" i="2"/>
  <c r="U155" i="2"/>
  <c r="V155" i="2"/>
  <c r="W155" i="2"/>
  <c r="X155" i="2"/>
  <c r="Y155" i="2"/>
  <c r="F159" i="2"/>
  <c r="G159" i="2"/>
  <c r="H159" i="2"/>
  <c r="I159" i="2"/>
  <c r="J159" i="2"/>
  <c r="K159" i="2"/>
  <c r="L159" i="2"/>
  <c r="M159" i="2"/>
  <c r="N159" i="2"/>
  <c r="O159" i="2"/>
  <c r="P159" i="2"/>
  <c r="Q159" i="2"/>
  <c r="R159" i="2"/>
  <c r="S159" i="2"/>
  <c r="T159" i="2"/>
  <c r="U159" i="2"/>
  <c r="V159" i="2"/>
  <c r="W159" i="2"/>
  <c r="X159" i="2"/>
  <c r="Y159" i="2"/>
  <c r="F161" i="2"/>
  <c r="G161" i="2"/>
  <c r="H161" i="2"/>
  <c r="I161" i="2"/>
  <c r="J161" i="2"/>
  <c r="K161" i="2"/>
  <c r="L161" i="2"/>
  <c r="M161" i="2"/>
  <c r="M158" i="2" s="1"/>
  <c r="N161" i="2"/>
  <c r="O161" i="2"/>
  <c r="P161" i="2"/>
  <c r="Q161" i="2"/>
  <c r="R161" i="2"/>
  <c r="S161" i="2"/>
  <c r="T161" i="2"/>
  <c r="U161" i="2"/>
  <c r="U158" i="2" s="1"/>
  <c r="V161" i="2"/>
  <c r="W161" i="2"/>
  <c r="X161" i="2"/>
  <c r="Y161" i="2"/>
  <c r="F164" i="2"/>
  <c r="G164" i="2"/>
  <c r="H164" i="2"/>
  <c r="I164" i="2"/>
  <c r="J164" i="2"/>
  <c r="K164" i="2"/>
  <c r="L164" i="2"/>
  <c r="M164" i="2"/>
  <c r="N164" i="2"/>
  <c r="O164" i="2"/>
  <c r="P164" i="2"/>
  <c r="Q164" i="2"/>
  <c r="R164" i="2"/>
  <c r="S164" i="2"/>
  <c r="T164" i="2"/>
  <c r="U164" i="2"/>
  <c r="V164" i="2"/>
  <c r="W164" i="2"/>
  <c r="X164" i="2"/>
  <c r="Y164" i="2"/>
  <c r="F166" i="2"/>
  <c r="G166" i="2"/>
  <c r="H166" i="2"/>
  <c r="I166" i="2"/>
  <c r="J166" i="2"/>
  <c r="K166" i="2"/>
  <c r="L166" i="2"/>
  <c r="M166" i="2"/>
  <c r="N166" i="2"/>
  <c r="O166" i="2"/>
  <c r="P166" i="2"/>
  <c r="Q166" i="2"/>
  <c r="R166" i="2"/>
  <c r="S166" i="2"/>
  <c r="T166" i="2"/>
  <c r="U166" i="2"/>
  <c r="V166" i="2"/>
  <c r="W166" i="2"/>
  <c r="X166" i="2"/>
  <c r="Y166" i="2"/>
  <c r="F168" i="2"/>
  <c r="G168" i="2"/>
  <c r="H168" i="2"/>
  <c r="I168" i="2"/>
  <c r="J168" i="2"/>
  <c r="K168" i="2"/>
  <c r="L168" i="2"/>
  <c r="M168" i="2"/>
  <c r="N168" i="2"/>
  <c r="O168" i="2"/>
  <c r="P168" i="2"/>
  <c r="Q168" i="2"/>
  <c r="R168" i="2"/>
  <c r="S168" i="2"/>
  <c r="T168" i="2"/>
  <c r="U168" i="2"/>
  <c r="V168" i="2"/>
  <c r="W168" i="2"/>
  <c r="X168" i="2"/>
  <c r="Y168" i="2"/>
  <c r="F170" i="2"/>
  <c r="G170" i="2"/>
  <c r="H170" i="2"/>
  <c r="I170" i="2"/>
  <c r="J170" i="2"/>
  <c r="K170" i="2"/>
  <c r="L170" i="2"/>
  <c r="M170" i="2"/>
  <c r="N170" i="2"/>
  <c r="O170" i="2"/>
  <c r="P170" i="2"/>
  <c r="Q170" i="2"/>
  <c r="R170" i="2"/>
  <c r="S170" i="2"/>
  <c r="T170" i="2"/>
  <c r="U170" i="2"/>
  <c r="V170" i="2"/>
  <c r="W170" i="2"/>
  <c r="X170" i="2"/>
  <c r="Y170" i="2"/>
  <c r="F172" i="2"/>
  <c r="G172" i="2"/>
  <c r="H172" i="2"/>
  <c r="I172" i="2"/>
  <c r="J172" i="2"/>
  <c r="K172" i="2"/>
  <c r="L172" i="2"/>
  <c r="M172" i="2"/>
  <c r="N172" i="2"/>
  <c r="O172" i="2"/>
  <c r="P172" i="2"/>
  <c r="Q172" i="2"/>
  <c r="R172" i="2"/>
  <c r="S172" i="2"/>
  <c r="T172" i="2"/>
  <c r="U172" i="2"/>
  <c r="V172" i="2"/>
  <c r="W172" i="2"/>
  <c r="X172" i="2"/>
  <c r="Y172" i="2"/>
  <c r="F176" i="2"/>
  <c r="G176" i="2"/>
  <c r="H176" i="2"/>
  <c r="I176" i="2"/>
  <c r="J176" i="2"/>
  <c r="K176" i="2"/>
  <c r="L176" i="2"/>
  <c r="M176" i="2"/>
  <c r="N176" i="2"/>
  <c r="O176" i="2"/>
  <c r="P176" i="2"/>
  <c r="Q176" i="2"/>
  <c r="R176" i="2"/>
  <c r="S176" i="2"/>
  <c r="T176" i="2"/>
  <c r="U176" i="2"/>
  <c r="V176" i="2"/>
  <c r="W176" i="2"/>
  <c r="X176" i="2"/>
  <c r="Y176" i="2"/>
  <c r="F178" i="2"/>
  <c r="G178" i="2"/>
  <c r="H178" i="2"/>
  <c r="I178" i="2"/>
  <c r="J178" i="2"/>
  <c r="K178" i="2"/>
  <c r="L178" i="2"/>
  <c r="M178" i="2"/>
  <c r="N178" i="2"/>
  <c r="O178" i="2"/>
  <c r="P178" i="2"/>
  <c r="Q178" i="2"/>
  <c r="R178" i="2"/>
  <c r="S178" i="2"/>
  <c r="T178" i="2"/>
  <c r="U178" i="2"/>
  <c r="V178" i="2"/>
  <c r="W178" i="2"/>
  <c r="X178" i="2"/>
  <c r="Y178" i="2"/>
  <c r="F182" i="2"/>
  <c r="F181" i="2" s="1"/>
  <c r="G182" i="2"/>
  <c r="G181" i="2" s="1"/>
  <c r="H182" i="2"/>
  <c r="H181" i="2" s="1"/>
  <c r="I182" i="2"/>
  <c r="I181" i="2" s="1"/>
  <c r="J182" i="2"/>
  <c r="J181" i="2" s="1"/>
  <c r="K182" i="2"/>
  <c r="K181" i="2" s="1"/>
  <c r="L182" i="2"/>
  <c r="L181" i="2" s="1"/>
  <c r="M182" i="2"/>
  <c r="M181" i="2" s="1"/>
  <c r="N182" i="2"/>
  <c r="N181" i="2" s="1"/>
  <c r="O182" i="2"/>
  <c r="O181" i="2" s="1"/>
  <c r="P182" i="2"/>
  <c r="P181" i="2" s="1"/>
  <c r="Q182" i="2"/>
  <c r="Q181" i="2" s="1"/>
  <c r="R182" i="2"/>
  <c r="R181" i="2" s="1"/>
  <c r="S182" i="2"/>
  <c r="S181" i="2" s="1"/>
  <c r="T182" i="2"/>
  <c r="T181" i="2" s="1"/>
  <c r="U182" i="2"/>
  <c r="U181" i="2" s="1"/>
  <c r="V182" i="2"/>
  <c r="V181" i="2" s="1"/>
  <c r="W182" i="2"/>
  <c r="W181" i="2" s="1"/>
  <c r="X182" i="2"/>
  <c r="X181" i="2" s="1"/>
  <c r="Y182" i="2"/>
  <c r="Y181" i="2" s="1"/>
  <c r="F185" i="2"/>
  <c r="F184" i="2" s="1"/>
  <c r="G185" i="2"/>
  <c r="G184" i="2" s="1"/>
  <c r="H185" i="2"/>
  <c r="H184" i="2" s="1"/>
  <c r="I185" i="2"/>
  <c r="I184" i="2" s="1"/>
  <c r="J185" i="2"/>
  <c r="J184" i="2" s="1"/>
  <c r="K185" i="2"/>
  <c r="K184" i="2" s="1"/>
  <c r="L185" i="2"/>
  <c r="L184" i="2" s="1"/>
  <c r="M185" i="2"/>
  <c r="M184" i="2" s="1"/>
  <c r="N185" i="2"/>
  <c r="N184" i="2" s="1"/>
  <c r="O185" i="2"/>
  <c r="O184" i="2" s="1"/>
  <c r="P185" i="2"/>
  <c r="P184" i="2" s="1"/>
  <c r="Q185" i="2"/>
  <c r="Q184" i="2" s="1"/>
  <c r="R185" i="2"/>
  <c r="R184" i="2" s="1"/>
  <c r="S185" i="2"/>
  <c r="S184" i="2" s="1"/>
  <c r="T185" i="2"/>
  <c r="T184" i="2" s="1"/>
  <c r="U185" i="2"/>
  <c r="U184" i="2" s="1"/>
  <c r="V185" i="2"/>
  <c r="V184" i="2" s="1"/>
  <c r="W185" i="2"/>
  <c r="W184" i="2" s="1"/>
  <c r="X185" i="2"/>
  <c r="X184" i="2" s="1"/>
  <c r="Y185" i="2"/>
  <c r="Y184" i="2" s="1"/>
  <c r="F189" i="2"/>
  <c r="F188" i="2" s="1"/>
  <c r="F187" i="2" s="1"/>
  <c r="G189" i="2"/>
  <c r="G188" i="2" s="1"/>
  <c r="G187" i="2" s="1"/>
  <c r="H189" i="2"/>
  <c r="H188" i="2" s="1"/>
  <c r="H187" i="2" s="1"/>
  <c r="I189" i="2"/>
  <c r="I188" i="2" s="1"/>
  <c r="I187" i="2" s="1"/>
  <c r="J189" i="2"/>
  <c r="J188" i="2" s="1"/>
  <c r="J187" i="2" s="1"/>
  <c r="K189" i="2"/>
  <c r="K188" i="2" s="1"/>
  <c r="K187" i="2" s="1"/>
  <c r="L189" i="2"/>
  <c r="L188" i="2" s="1"/>
  <c r="L187" i="2" s="1"/>
  <c r="M189" i="2"/>
  <c r="M188" i="2" s="1"/>
  <c r="M187" i="2" s="1"/>
  <c r="N189" i="2"/>
  <c r="N188" i="2" s="1"/>
  <c r="N187" i="2" s="1"/>
  <c r="O189" i="2"/>
  <c r="O188" i="2" s="1"/>
  <c r="O187" i="2" s="1"/>
  <c r="P189" i="2"/>
  <c r="P188" i="2" s="1"/>
  <c r="P187" i="2" s="1"/>
  <c r="Q189" i="2"/>
  <c r="Q188" i="2" s="1"/>
  <c r="Q187" i="2" s="1"/>
  <c r="R189" i="2"/>
  <c r="R188" i="2" s="1"/>
  <c r="R187" i="2" s="1"/>
  <c r="S189" i="2"/>
  <c r="S188" i="2" s="1"/>
  <c r="S187" i="2" s="1"/>
  <c r="T189" i="2"/>
  <c r="T188" i="2" s="1"/>
  <c r="T187" i="2" s="1"/>
  <c r="U189" i="2"/>
  <c r="U188" i="2" s="1"/>
  <c r="U187" i="2" s="1"/>
  <c r="V189" i="2"/>
  <c r="V188" i="2" s="1"/>
  <c r="V187" i="2" s="1"/>
  <c r="W189" i="2"/>
  <c r="W188" i="2" s="1"/>
  <c r="W187" i="2" s="1"/>
  <c r="X189" i="2"/>
  <c r="X188" i="2" s="1"/>
  <c r="X187" i="2" s="1"/>
  <c r="Y189" i="2"/>
  <c r="Y188" i="2" s="1"/>
  <c r="Y187" i="2" s="1"/>
  <c r="F193" i="2"/>
  <c r="F192" i="2" s="1"/>
  <c r="F191" i="2" s="1"/>
  <c r="G193" i="2"/>
  <c r="G192" i="2" s="1"/>
  <c r="G191" i="2" s="1"/>
  <c r="H193" i="2"/>
  <c r="H192" i="2" s="1"/>
  <c r="H191" i="2" s="1"/>
  <c r="I193" i="2"/>
  <c r="I192" i="2" s="1"/>
  <c r="I191" i="2" s="1"/>
  <c r="J193" i="2"/>
  <c r="J192" i="2" s="1"/>
  <c r="J191" i="2" s="1"/>
  <c r="K193" i="2"/>
  <c r="K192" i="2" s="1"/>
  <c r="K191" i="2" s="1"/>
  <c r="L193" i="2"/>
  <c r="L192" i="2" s="1"/>
  <c r="L191" i="2" s="1"/>
  <c r="M193" i="2"/>
  <c r="M192" i="2" s="1"/>
  <c r="M191" i="2" s="1"/>
  <c r="N193" i="2"/>
  <c r="N192" i="2" s="1"/>
  <c r="N191" i="2" s="1"/>
  <c r="O193" i="2"/>
  <c r="O192" i="2" s="1"/>
  <c r="O191" i="2" s="1"/>
  <c r="P193" i="2"/>
  <c r="P192" i="2" s="1"/>
  <c r="P191" i="2" s="1"/>
  <c r="Q193" i="2"/>
  <c r="Q192" i="2" s="1"/>
  <c r="Q191" i="2" s="1"/>
  <c r="R193" i="2"/>
  <c r="R192" i="2" s="1"/>
  <c r="R191" i="2" s="1"/>
  <c r="S193" i="2"/>
  <c r="S192" i="2" s="1"/>
  <c r="S191" i="2" s="1"/>
  <c r="T193" i="2"/>
  <c r="T192" i="2" s="1"/>
  <c r="T191" i="2" s="1"/>
  <c r="U193" i="2"/>
  <c r="U192" i="2" s="1"/>
  <c r="U191" i="2" s="1"/>
  <c r="V193" i="2"/>
  <c r="V192" i="2" s="1"/>
  <c r="V191" i="2" s="1"/>
  <c r="W193" i="2"/>
  <c r="W192" i="2" s="1"/>
  <c r="W191" i="2" s="1"/>
  <c r="X193" i="2"/>
  <c r="X192" i="2" s="1"/>
  <c r="X191" i="2" s="1"/>
  <c r="Y193" i="2"/>
  <c r="Y192" i="2" s="1"/>
  <c r="Y191" i="2" s="1"/>
  <c r="F197" i="2"/>
  <c r="F196" i="2" s="1"/>
  <c r="F195" i="2" s="1"/>
  <c r="G197" i="2"/>
  <c r="G196" i="2" s="1"/>
  <c r="G195" i="2" s="1"/>
  <c r="H197" i="2"/>
  <c r="H196" i="2" s="1"/>
  <c r="H195" i="2" s="1"/>
  <c r="I197" i="2"/>
  <c r="I196" i="2" s="1"/>
  <c r="I195" i="2" s="1"/>
  <c r="J197" i="2"/>
  <c r="J196" i="2" s="1"/>
  <c r="J195" i="2" s="1"/>
  <c r="K197" i="2"/>
  <c r="K196" i="2" s="1"/>
  <c r="K195" i="2" s="1"/>
  <c r="L197" i="2"/>
  <c r="L196" i="2" s="1"/>
  <c r="L195" i="2" s="1"/>
  <c r="M197" i="2"/>
  <c r="M196" i="2" s="1"/>
  <c r="M195" i="2" s="1"/>
  <c r="N197" i="2"/>
  <c r="N196" i="2" s="1"/>
  <c r="N195" i="2" s="1"/>
  <c r="O197" i="2"/>
  <c r="O196" i="2" s="1"/>
  <c r="O195" i="2" s="1"/>
  <c r="P197" i="2"/>
  <c r="P196" i="2" s="1"/>
  <c r="P195" i="2" s="1"/>
  <c r="Q197" i="2"/>
  <c r="Q196" i="2" s="1"/>
  <c r="Q195" i="2" s="1"/>
  <c r="R197" i="2"/>
  <c r="R196" i="2" s="1"/>
  <c r="R195" i="2" s="1"/>
  <c r="S197" i="2"/>
  <c r="S196" i="2" s="1"/>
  <c r="S195" i="2" s="1"/>
  <c r="T197" i="2"/>
  <c r="T196" i="2" s="1"/>
  <c r="T195" i="2" s="1"/>
  <c r="U197" i="2"/>
  <c r="U196" i="2" s="1"/>
  <c r="U195" i="2" s="1"/>
  <c r="V197" i="2"/>
  <c r="V196" i="2" s="1"/>
  <c r="V195" i="2" s="1"/>
  <c r="W197" i="2"/>
  <c r="W196" i="2" s="1"/>
  <c r="W195" i="2" s="1"/>
  <c r="X197" i="2"/>
  <c r="X196" i="2" s="1"/>
  <c r="X195" i="2" s="1"/>
  <c r="Y197" i="2"/>
  <c r="Y196" i="2" s="1"/>
  <c r="Y195" i="2" s="1"/>
  <c r="F201" i="2"/>
  <c r="F200" i="2" s="1"/>
  <c r="F199" i="2" s="1"/>
  <c r="G201" i="2"/>
  <c r="G200" i="2" s="1"/>
  <c r="G199" i="2" s="1"/>
  <c r="H201" i="2"/>
  <c r="H200" i="2" s="1"/>
  <c r="H199" i="2" s="1"/>
  <c r="I201" i="2"/>
  <c r="I200" i="2" s="1"/>
  <c r="I199" i="2" s="1"/>
  <c r="J201" i="2"/>
  <c r="J200" i="2" s="1"/>
  <c r="J199" i="2" s="1"/>
  <c r="K201" i="2"/>
  <c r="K200" i="2" s="1"/>
  <c r="K199" i="2" s="1"/>
  <c r="L201" i="2"/>
  <c r="L200" i="2" s="1"/>
  <c r="L199" i="2" s="1"/>
  <c r="M201" i="2"/>
  <c r="M200" i="2" s="1"/>
  <c r="M199" i="2" s="1"/>
  <c r="N201" i="2"/>
  <c r="N200" i="2" s="1"/>
  <c r="N199" i="2" s="1"/>
  <c r="O201" i="2"/>
  <c r="O200" i="2" s="1"/>
  <c r="O199" i="2" s="1"/>
  <c r="P201" i="2"/>
  <c r="P200" i="2" s="1"/>
  <c r="P199" i="2" s="1"/>
  <c r="Q201" i="2"/>
  <c r="Q200" i="2" s="1"/>
  <c r="Q199" i="2" s="1"/>
  <c r="R201" i="2"/>
  <c r="R200" i="2" s="1"/>
  <c r="R199" i="2" s="1"/>
  <c r="S201" i="2"/>
  <c r="S200" i="2" s="1"/>
  <c r="S199" i="2" s="1"/>
  <c r="T201" i="2"/>
  <c r="T200" i="2" s="1"/>
  <c r="T199" i="2" s="1"/>
  <c r="U201" i="2"/>
  <c r="U200" i="2" s="1"/>
  <c r="U199" i="2" s="1"/>
  <c r="V201" i="2"/>
  <c r="V200" i="2" s="1"/>
  <c r="V199" i="2" s="1"/>
  <c r="W201" i="2"/>
  <c r="W200" i="2" s="1"/>
  <c r="W199" i="2" s="1"/>
  <c r="X201" i="2"/>
  <c r="X200" i="2" s="1"/>
  <c r="X199" i="2" s="1"/>
  <c r="Y201" i="2"/>
  <c r="Y200" i="2" s="1"/>
  <c r="Y199" i="2" s="1"/>
  <c r="F206" i="2"/>
  <c r="F205" i="2" s="1"/>
  <c r="G206" i="2"/>
  <c r="G205" i="2" s="1"/>
  <c r="H206" i="2"/>
  <c r="H205" i="2" s="1"/>
  <c r="I206" i="2"/>
  <c r="I205" i="2" s="1"/>
  <c r="J206" i="2"/>
  <c r="J205" i="2" s="1"/>
  <c r="K206" i="2"/>
  <c r="K205" i="2" s="1"/>
  <c r="L206" i="2"/>
  <c r="L205" i="2" s="1"/>
  <c r="M206" i="2"/>
  <c r="M205" i="2" s="1"/>
  <c r="N206" i="2"/>
  <c r="N205" i="2" s="1"/>
  <c r="O206" i="2"/>
  <c r="O205" i="2" s="1"/>
  <c r="P206" i="2"/>
  <c r="P205" i="2" s="1"/>
  <c r="Q206" i="2"/>
  <c r="Q205" i="2" s="1"/>
  <c r="R206" i="2"/>
  <c r="R205" i="2" s="1"/>
  <c r="S206" i="2"/>
  <c r="S205" i="2" s="1"/>
  <c r="T206" i="2"/>
  <c r="T205" i="2" s="1"/>
  <c r="U206" i="2"/>
  <c r="U205" i="2" s="1"/>
  <c r="V206" i="2"/>
  <c r="V205" i="2" s="1"/>
  <c r="W206" i="2"/>
  <c r="W205" i="2" s="1"/>
  <c r="X206" i="2"/>
  <c r="X205" i="2" s="1"/>
  <c r="Y206" i="2"/>
  <c r="Y205" i="2" s="1"/>
  <c r="F209" i="2"/>
  <c r="F208" i="2" s="1"/>
  <c r="G209" i="2"/>
  <c r="G208" i="2" s="1"/>
  <c r="H209" i="2"/>
  <c r="H208" i="2" s="1"/>
  <c r="I209" i="2"/>
  <c r="I208" i="2" s="1"/>
  <c r="J209" i="2"/>
  <c r="J208" i="2" s="1"/>
  <c r="K209" i="2"/>
  <c r="K208" i="2" s="1"/>
  <c r="L209" i="2"/>
  <c r="L208" i="2" s="1"/>
  <c r="M209" i="2"/>
  <c r="M208" i="2" s="1"/>
  <c r="N209" i="2"/>
  <c r="N208" i="2" s="1"/>
  <c r="O209" i="2"/>
  <c r="O208" i="2" s="1"/>
  <c r="P209" i="2"/>
  <c r="P208" i="2" s="1"/>
  <c r="P204" i="2" s="1"/>
  <c r="Q209" i="2"/>
  <c r="Q208" i="2" s="1"/>
  <c r="R209" i="2"/>
  <c r="R208" i="2" s="1"/>
  <c r="S209" i="2"/>
  <c r="S208" i="2" s="1"/>
  <c r="T209" i="2"/>
  <c r="T208" i="2" s="1"/>
  <c r="U209" i="2"/>
  <c r="U208" i="2" s="1"/>
  <c r="V209" i="2"/>
  <c r="V208" i="2" s="1"/>
  <c r="W209" i="2"/>
  <c r="W208" i="2" s="1"/>
  <c r="X209" i="2"/>
  <c r="X208" i="2" s="1"/>
  <c r="Y209" i="2"/>
  <c r="Y208" i="2" s="1"/>
  <c r="F215" i="2"/>
  <c r="G215" i="2"/>
  <c r="H215" i="2"/>
  <c r="I215" i="2"/>
  <c r="J215" i="2"/>
  <c r="K215" i="2"/>
  <c r="L215" i="2"/>
  <c r="M215" i="2"/>
  <c r="N215" i="2"/>
  <c r="O215" i="2"/>
  <c r="P215" i="2"/>
  <c r="Q215" i="2"/>
  <c r="R215" i="2"/>
  <c r="S215" i="2"/>
  <c r="T215" i="2"/>
  <c r="U215" i="2"/>
  <c r="V215" i="2"/>
  <c r="W215" i="2"/>
  <c r="X215" i="2"/>
  <c r="Y215" i="2"/>
  <c r="F218" i="2"/>
  <c r="G218" i="2"/>
  <c r="H218" i="2"/>
  <c r="I218" i="2"/>
  <c r="J218" i="2"/>
  <c r="K218" i="2"/>
  <c r="L218" i="2"/>
  <c r="M218" i="2"/>
  <c r="N218" i="2"/>
  <c r="O218" i="2"/>
  <c r="P218" i="2"/>
  <c r="Q218" i="2"/>
  <c r="R218" i="2"/>
  <c r="S218" i="2"/>
  <c r="T218" i="2"/>
  <c r="U218" i="2"/>
  <c r="V218" i="2"/>
  <c r="W218" i="2"/>
  <c r="X218" i="2"/>
  <c r="Y218" i="2"/>
  <c r="F220" i="2"/>
  <c r="G220" i="2"/>
  <c r="H220" i="2"/>
  <c r="I220" i="2"/>
  <c r="J220" i="2"/>
  <c r="K220" i="2"/>
  <c r="L220" i="2"/>
  <c r="M220" i="2"/>
  <c r="N220" i="2"/>
  <c r="O220" i="2"/>
  <c r="P220" i="2"/>
  <c r="Q220" i="2"/>
  <c r="R220" i="2"/>
  <c r="S220" i="2"/>
  <c r="T220" i="2"/>
  <c r="U220" i="2"/>
  <c r="V220" i="2"/>
  <c r="W220" i="2"/>
  <c r="X220" i="2"/>
  <c r="Y220" i="2"/>
  <c r="F223" i="2"/>
  <c r="F222" i="2" s="1"/>
  <c r="G223" i="2"/>
  <c r="G222" i="2" s="1"/>
  <c r="H223" i="2"/>
  <c r="H222" i="2" s="1"/>
  <c r="I223" i="2"/>
  <c r="I222" i="2" s="1"/>
  <c r="J223" i="2"/>
  <c r="J222" i="2" s="1"/>
  <c r="K223" i="2"/>
  <c r="K222" i="2" s="1"/>
  <c r="L223" i="2"/>
  <c r="L222" i="2" s="1"/>
  <c r="M223" i="2"/>
  <c r="M222" i="2" s="1"/>
  <c r="N223" i="2"/>
  <c r="N222" i="2" s="1"/>
  <c r="O223" i="2"/>
  <c r="O222" i="2" s="1"/>
  <c r="P223" i="2"/>
  <c r="P222" i="2" s="1"/>
  <c r="Q223" i="2"/>
  <c r="Q222" i="2" s="1"/>
  <c r="R223" i="2"/>
  <c r="R222" i="2" s="1"/>
  <c r="S223" i="2"/>
  <c r="S222" i="2" s="1"/>
  <c r="T223" i="2"/>
  <c r="T222" i="2" s="1"/>
  <c r="U223" i="2"/>
  <c r="U222" i="2" s="1"/>
  <c r="V223" i="2"/>
  <c r="V222" i="2" s="1"/>
  <c r="W223" i="2"/>
  <c r="W222" i="2" s="1"/>
  <c r="X223" i="2"/>
  <c r="X222" i="2" s="1"/>
  <c r="Y223" i="2"/>
  <c r="Y222" i="2" s="1"/>
  <c r="F230" i="2"/>
  <c r="G230" i="2"/>
  <c r="H230" i="2"/>
  <c r="I230" i="2"/>
  <c r="J230" i="2"/>
  <c r="K230" i="2"/>
  <c r="L230" i="2"/>
  <c r="M230" i="2"/>
  <c r="N230" i="2"/>
  <c r="O230" i="2"/>
  <c r="P230" i="2"/>
  <c r="Q230" i="2"/>
  <c r="R230" i="2"/>
  <c r="S230" i="2"/>
  <c r="T230" i="2"/>
  <c r="U230" i="2"/>
  <c r="V230" i="2"/>
  <c r="W230" i="2"/>
  <c r="X230" i="2"/>
  <c r="Y230" i="2"/>
  <c r="F232" i="2"/>
  <c r="G232" i="2"/>
  <c r="H232" i="2"/>
  <c r="I232" i="2"/>
  <c r="J232" i="2"/>
  <c r="K232" i="2"/>
  <c r="L232" i="2"/>
  <c r="M232" i="2"/>
  <c r="N232" i="2"/>
  <c r="O232" i="2"/>
  <c r="P232" i="2"/>
  <c r="Q232" i="2"/>
  <c r="R232" i="2"/>
  <c r="S232" i="2"/>
  <c r="S228" i="2" s="1"/>
  <c r="T232" i="2"/>
  <c r="U232" i="2"/>
  <c r="V232" i="2"/>
  <c r="W232" i="2"/>
  <c r="X232" i="2"/>
  <c r="Y232" i="2"/>
  <c r="F234" i="2"/>
  <c r="G234" i="2"/>
  <c r="H234" i="2"/>
  <c r="I234" i="2"/>
  <c r="J234" i="2"/>
  <c r="K234" i="2"/>
  <c r="L234" i="2"/>
  <c r="M234" i="2"/>
  <c r="N234" i="2"/>
  <c r="O234" i="2"/>
  <c r="P234" i="2"/>
  <c r="Q234" i="2"/>
  <c r="R234" i="2"/>
  <c r="S234" i="2"/>
  <c r="T234" i="2"/>
  <c r="U234" i="2"/>
  <c r="V234" i="2"/>
  <c r="W234" i="2"/>
  <c r="X234" i="2"/>
  <c r="Y234" i="2"/>
  <c r="F237" i="2"/>
  <c r="F236" i="2" s="1"/>
  <c r="G237" i="2"/>
  <c r="G236" i="2" s="1"/>
  <c r="H237" i="2"/>
  <c r="H236" i="2" s="1"/>
  <c r="I237" i="2"/>
  <c r="I236" i="2" s="1"/>
  <c r="J237" i="2"/>
  <c r="J236" i="2" s="1"/>
  <c r="K237" i="2"/>
  <c r="K236" i="2" s="1"/>
  <c r="L237" i="2"/>
  <c r="L236" i="2" s="1"/>
  <c r="M237" i="2"/>
  <c r="M236" i="2" s="1"/>
  <c r="N237" i="2"/>
  <c r="N236" i="2" s="1"/>
  <c r="O237" i="2"/>
  <c r="O236" i="2" s="1"/>
  <c r="P237" i="2"/>
  <c r="P236" i="2" s="1"/>
  <c r="Q237" i="2"/>
  <c r="Q236" i="2" s="1"/>
  <c r="R237" i="2"/>
  <c r="R236" i="2" s="1"/>
  <c r="S237" i="2"/>
  <c r="S236" i="2" s="1"/>
  <c r="T237" i="2"/>
  <c r="T236" i="2" s="1"/>
  <c r="U237" i="2"/>
  <c r="U236" i="2" s="1"/>
  <c r="V237" i="2"/>
  <c r="V236" i="2" s="1"/>
  <c r="W237" i="2"/>
  <c r="W236" i="2" s="1"/>
  <c r="X237" i="2"/>
  <c r="X236" i="2" s="1"/>
  <c r="Y237" i="2"/>
  <c r="Y236" i="2" s="1"/>
  <c r="F241" i="2"/>
  <c r="F240" i="2" s="1"/>
  <c r="F239" i="2" s="1"/>
  <c r="G241" i="2"/>
  <c r="G240" i="2" s="1"/>
  <c r="G239" i="2" s="1"/>
  <c r="H241" i="2"/>
  <c r="H240" i="2" s="1"/>
  <c r="H239" i="2" s="1"/>
  <c r="I241" i="2"/>
  <c r="I240" i="2" s="1"/>
  <c r="I239" i="2" s="1"/>
  <c r="J241" i="2"/>
  <c r="J240" i="2" s="1"/>
  <c r="J239" i="2" s="1"/>
  <c r="K241" i="2"/>
  <c r="K240" i="2" s="1"/>
  <c r="K239" i="2" s="1"/>
  <c r="L241" i="2"/>
  <c r="L240" i="2" s="1"/>
  <c r="L239" i="2" s="1"/>
  <c r="M241" i="2"/>
  <c r="M240" i="2" s="1"/>
  <c r="M239" i="2" s="1"/>
  <c r="N241" i="2"/>
  <c r="N240" i="2" s="1"/>
  <c r="N239" i="2" s="1"/>
  <c r="O241" i="2"/>
  <c r="O240" i="2" s="1"/>
  <c r="O239" i="2" s="1"/>
  <c r="P241" i="2"/>
  <c r="P240" i="2" s="1"/>
  <c r="P239" i="2" s="1"/>
  <c r="Q241" i="2"/>
  <c r="Q240" i="2" s="1"/>
  <c r="Q239" i="2" s="1"/>
  <c r="R241" i="2"/>
  <c r="R240" i="2" s="1"/>
  <c r="R239" i="2" s="1"/>
  <c r="S241" i="2"/>
  <c r="S240" i="2" s="1"/>
  <c r="S239" i="2" s="1"/>
  <c r="T241" i="2"/>
  <c r="T240" i="2" s="1"/>
  <c r="T239" i="2" s="1"/>
  <c r="U241" i="2"/>
  <c r="U240" i="2" s="1"/>
  <c r="U239" i="2" s="1"/>
  <c r="V241" i="2"/>
  <c r="V240" i="2" s="1"/>
  <c r="V239" i="2" s="1"/>
  <c r="W241" i="2"/>
  <c r="W240" i="2" s="1"/>
  <c r="W239" i="2" s="1"/>
  <c r="X241" i="2"/>
  <c r="X240" i="2" s="1"/>
  <c r="X239" i="2" s="1"/>
  <c r="Y241" i="2"/>
  <c r="Y240" i="2" s="1"/>
  <c r="Y239" i="2" s="1"/>
  <c r="F253" i="2"/>
  <c r="F250" i="2" s="1"/>
  <c r="F249" i="2" s="1"/>
  <c r="G253" i="2"/>
  <c r="G250" i="2" s="1"/>
  <c r="G249" i="2" s="1"/>
  <c r="H253" i="2"/>
  <c r="H250" i="2" s="1"/>
  <c r="H249" i="2" s="1"/>
  <c r="I253" i="2"/>
  <c r="I250" i="2" s="1"/>
  <c r="I249" i="2" s="1"/>
  <c r="J253" i="2"/>
  <c r="J250" i="2" s="1"/>
  <c r="J249" i="2" s="1"/>
  <c r="K253" i="2"/>
  <c r="K250" i="2" s="1"/>
  <c r="K249" i="2" s="1"/>
  <c r="L253" i="2"/>
  <c r="L250" i="2" s="1"/>
  <c r="L249" i="2" s="1"/>
  <c r="M253" i="2"/>
  <c r="M250" i="2" s="1"/>
  <c r="M249" i="2" s="1"/>
  <c r="N253" i="2"/>
  <c r="N250" i="2" s="1"/>
  <c r="N249" i="2" s="1"/>
  <c r="O253" i="2"/>
  <c r="O250" i="2" s="1"/>
  <c r="O249" i="2" s="1"/>
  <c r="P253" i="2"/>
  <c r="P250" i="2" s="1"/>
  <c r="P249" i="2" s="1"/>
  <c r="Q253" i="2"/>
  <c r="Q250" i="2" s="1"/>
  <c r="Q249" i="2" s="1"/>
  <c r="R253" i="2"/>
  <c r="R250" i="2" s="1"/>
  <c r="R249" i="2" s="1"/>
  <c r="S253" i="2"/>
  <c r="S250" i="2" s="1"/>
  <c r="S249" i="2" s="1"/>
  <c r="T253" i="2"/>
  <c r="T250" i="2" s="1"/>
  <c r="T249" i="2" s="1"/>
  <c r="U253" i="2"/>
  <c r="U250" i="2" s="1"/>
  <c r="U249" i="2" s="1"/>
  <c r="V253" i="2"/>
  <c r="V250" i="2" s="1"/>
  <c r="V249" i="2" s="1"/>
  <c r="W253" i="2"/>
  <c r="W250" i="2" s="1"/>
  <c r="W249" i="2" s="1"/>
  <c r="X253" i="2"/>
  <c r="X250" i="2" s="1"/>
  <c r="X249" i="2" s="1"/>
  <c r="Y253" i="2"/>
  <c r="Y250" i="2" s="1"/>
  <c r="Y249" i="2" s="1"/>
  <c r="F264" i="2"/>
  <c r="G264" i="2"/>
  <c r="H264" i="2"/>
  <c r="I264" i="2"/>
  <c r="J264" i="2"/>
  <c r="K264" i="2"/>
  <c r="L264" i="2"/>
  <c r="M264" i="2"/>
  <c r="N264" i="2"/>
  <c r="O264" i="2"/>
  <c r="P264" i="2"/>
  <c r="Q264" i="2"/>
  <c r="R264" i="2"/>
  <c r="S264" i="2"/>
  <c r="T264" i="2"/>
  <c r="U264" i="2"/>
  <c r="V264" i="2"/>
  <c r="W264" i="2"/>
  <c r="X264" i="2"/>
  <c r="Y264" i="2"/>
  <c r="F266" i="2"/>
  <c r="G266" i="2"/>
  <c r="H266" i="2"/>
  <c r="I266" i="2"/>
  <c r="J266" i="2"/>
  <c r="K266" i="2"/>
  <c r="L266" i="2"/>
  <c r="M266" i="2"/>
  <c r="N266" i="2"/>
  <c r="O266" i="2"/>
  <c r="P266" i="2"/>
  <c r="Q266" i="2"/>
  <c r="R266" i="2"/>
  <c r="S266" i="2"/>
  <c r="T266" i="2"/>
  <c r="U266" i="2"/>
  <c r="V266" i="2"/>
  <c r="W266" i="2"/>
  <c r="X266" i="2"/>
  <c r="Y266" i="2"/>
  <c r="F268" i="2"/>
  <c r="G268" i="2"/>
  <c r="H268" i="2"/>
  <c r="I268" i="2"/>
  <c r="J268" i="2"/>
  <c r="K268" i="2"/>
  <c r="L268" i="2"/>
  <c r="M268" i="2"/>
  <c r="N268" i="2"/>
  <c r="O268" i="2"/>
  <c r="P268" i="2"/>
  <c r="Q268" i="2"/>
  <c r="R268" i="2"/>
  <c r="S268" i="2"/>
  <c r="T268" i="2"/>
  <c r="U268" i="2"/>
  <c r="V268" i="2"/>
  <c r="W268" i="2"/>
  <c r="X268" i="2"/>
  <c r="Y268" i="2"/>
  <c r="F270" i="2"/>
  <c r="G270" i="2"/>
  <c r="H270" i="2"/>
  <c r="I270" i="2"/>
  <c r="J270" i="2"/>
  <c r="K270" i="2"/>
  <c r="L270" i="2"/>
  <c r="M270" i="2"/>
  <c r="N270" i="2"/>
  <c r="O270" i="2"/>
  <c r="P270" i="2"/>
  <c r="Q270" i="2"/>
  <c r="R270" i="2"/>
  <c r="S270" i="2"/>
  <c r="T270" i="2"/>
  <c r="U270" i="2"/>
  <c r="V270" i="2"/>
  <c r="W270" i="2"/>
  <c r="X270" i="2"/>
  <c r="Y270" i="2"/>
  <c r="F272" i="2"/>
  <c r="G272" i="2"/>
  <c r="H272" i="2"/>
  <c r="I272" i="2"/>
  <c r="J272" i="2"/>
  <c r="K272" i="2"/>
  <c r="L272" i="2"/>
  <c r="M272" i="2"/>
  <c r="N272" i="2"/>
  <c r="O272" i="2"/>
  <c r="P272" i="2"/>
  <c r="Q272" i="2"/>
  <c r="R272" i="2"/>
  <c r="S272" i="2"/>
  <c r="T272" i="2"/>
  <c r="U272" i="2"/>
  <c r="V272" i="2"/>
  <c r="W272" i="2"/>
  <c r="X272" i="2"/>
  <c r="Y272" i="2"/>
  <c r="F274" i="2"/>
  <c r="G274" i="2"/>
  <c r="H274" i="2"/>
  <c r="I274" i="2"/>
  <c r="J274" i="2"/>
  <c r="K274" i="2"/>
  <c r="L274" i="2"/>
  <c r="M274" i="2"/>
  <c r="N274" i="2"/>
  <c r="O274" i="2"/>
  <c r="P274" i="2"/>
  <c r="Q274" i="2"/>
  <c r="R274" i="2"/>
  <c r="S274" i="2"/>
  <c r="T274" i="2"/>
  <c r="U274" i="2"/>
  <c r="V274" i="2"/>
  <c r="W274" i="2"/>
  <c r="X274" i="2"/>
  <c r="Y274" i="2"/>
  <c r="F279" i="2"/>
  <c r="G279" i="2"/>
  <c r="H279" i="2"/>
  <c r="I279" i="2"/>
  <c r="J279" i="2"/>
  <c r="K279" i="2"/>
  <c r="L279" i="2"/>
  <c r="M279" i="2"/>
  <c r="N279" i="2"/>
  <c r="O279" i="2"/>
  <c r="P279" i="2"/>
  <c r="Q279" i="2"/>
  <c r="R279" i="2"/>
  <c r="S279" i="2"/>
  <c r="T279" i="2"/>
  <c r="U279" i="2"/>
  <c r="V279" i="2"/>
  <c r="W279" i="2"/>
  <c r="X279" i="2"/>
  <c r="Y279" i="2"/>
  <c r="F282" i="2"/>
  <c r="G282" i="2"/>
  <c r="H282" i="2"/>
  <c r="I282" i="2"/>
  <c r="J282" i="2"/>
  <c r="K282" i="2"/>
  <c r="L282" i="2"/>
  <c r="M282" i="2"/>
  <c r="N282" i="2"/>
  <c r="O282" i="2"/>
  <c r="P282" i="2"/>
  <c r="Q282" i="2"/>
  <c r="R282" i="2"/>
  <c r="S282" i="2"/>
  <c r="T282" i="2"/>
  <c r="U282" i="2"/>
  <c r="V282" i="2"/>
  <c r="W282" i="2"/>
  <c r="X282" i="2"/>
  <c r="Y282" i="2"/>
  <c r="F284" i="2"/>
  <c r="G284" i="2"/>
  <c r="H284" i="2"/>
  <c r="I284" i="2"/>
  <c r="J284" i="2"/>
  <c r="K284" i="2"/>
  <c r="L284" i="2"/>
  <c r="M284" i="2"/>
  <c r="N284" i="2"/>
  <c r="O284" i="2"/>
  <c r="P284" i="2"/>
  <c r="Q284" i="2"/>
  <c r="R284" i="2"/>
  <c r="S284" i="2"/>
  <c r="T284" i="2"/>
  <c r="U284" i="2"/>
  <c r="V284" i="2"/>
  <c r="W284" i="2"/>
  <c r="X284" i="2"/>
  <c r="Y284" i="2"/>
  <c r="F286" i="2"/>
  <c r="G286" i="2"/>
  <c r="H286" i="2"/>
  <c r="I286" i="2"/>
  <c r="J286" i="2"/>
  <c r="K286" i="2"/>
  <c r="L286" i="2"/>
  <c r="M286" i="2"/>
  <c r="N286" i="2"/>
  <c r="O286" i="2"/>
  <c r="P286" i="2"/>
  <c r="Q286" i="2"/>
  <c r="R286" i="2"/>
  <c r="S286" i="2"/>
  <c r="T286" i="2"/>
  <c r="U286" i="2"/>
  <c r="V286" i="2"/>
  <c r="W286" i="2"/>
  <c r="X286" i="2"/>
  <c r="Y286" i="2"/>
  <c r="F288" i="2"/>
  <c r="G288" i="2"/>
  <c r="H288" i="2"/>
  <c r="I288" i="2"/>
  <c r="J288" i="2"/>
  <c r="K288" i="2"/>
  <c r="L288" i="2"/>
  <c r="M288" i="2"/>
  <c r="N288" i="2"/>
  <c r="O288" i="2"/>
  <c r="P288" i="2"/>
  <c r="Q288" i="2"/>
  <c r="R288" i="2"/>
  <c r="S288" i="2"/>
  <c r="T288" i="2"/>
  <c r="U288" i="2"/>
  <c r="V288" i="2"/>
  <c r="W288" i="2"/>
  <c r="X288" i="2"/>
  <c r="Y288" i="2"/>
  <c r="F290" i="2"/>
  <c r="G290" i="2"/>
  <c r="H290" i="2"/>
  <c r="I290" i="2"/>
  <c r="J290" i="2"/>
  <c r="K290" i="2"/>
  <c r="L290" i="2"/>
  <c r="M290" i="2"/>
  <c r="N290" i="2"/>
  <c r="O290" i="2"/>
  <c r="P290" i="2"/>
  <c r="Q290" i="2"/>
  <c r="R290" i="2"/>
  <c r="S290" i="2"/>
  <c r="T290" i="2"/>
  <c r="U290" i="2"/>
  <c r="V290" i="2"/>
  <c r="W290" i="2"/>
  <c r="X290" i="2"/>
  <c r="Y290" i="2"/>
  <c r="F292" i="2"/>
  <c r="G292" i="2"/>
  <c r="H292" i="2"/>
  <c r="I292" i="2"/>
  <c r="J292" i="2"/>
  <c r="K292" i="2"/>
  <c r="L292" i="2"/>
  <c r="M292" i="2"/>
  <c r="N292" i="2"/>
  <c r="O292" i="2"/>
  <c r="P292" i="2"/>
  <c r="Q292" i="2"/>
  <c r="R292" i="2"/>
  <c r="S292" i="2"/>
  <c r="T292" i="2"/>
  <c r="U292" i="2"/>
  <c r="V292" i="2"/>
  <c r="W292" i="2"/>
  <c r="X292" i="2"/>
  <c r="Y292" i="2"/>
  <c r="F294" i="2"/>
  <c r="G294" i="2"/>
  <c r="H294" i="2"/>
  <c r="I294" i="2"/>
  <c r="J294" i="2"/>
  <c r="K294" i="2"/>
  <c r="L294" i="2"/>
  <c r="M294" i="2"/>
  <c r="N294" i="2"/>
  <c r="O294" i="2"/>
  <c r="P294" i="2"/>
  <c r="Q294" i="2"/>
  <c r="R294" i="2"/>
  <c r="S294" i="2"/>
  <c r="T294" i="2"/>
  <c r="U294" i="2"/>
  <c r="V294" i="2"/>
  <c r="W294" i="2"/>
  <c r="X294" i="2"/>
  <c r="Y294" i="2"/>
  <c r="F296" i="2"/>
  <c r="G296" i="2"/>
  <c r="H296" i="2"/>
  <c r="I296" i="2"/>
  <c r="J296" i="2"/>
  <c r="K296" i="2"/>
  <c r="L296" i="2"/>
  <c r="M296" i="2"/>
  <c r="N296" i="2"/>
  <c r="O296" i="2"/>
  <c r="P296" i="2"/>
  <c r="Q296" i="2"/>
  <c r="R296" i="2"/>
  <c r="S296" i="2"/>
  <c r="T296" i="2"/>
  <c r="U296" i="2"/>
  <c r="V296" i="2"/>
  <c r="W296" i="2"/>
  <c r="X296" i="2"/>
  <c r="Y296" i="2"/>
  <c r="F298" i="2"/>
  <c r="G298" i="2"/>
  <c r="H298" i="2"/>
  <c r="I298" i="2"/>
  <c r="J298" i="2"/>
  <c r="K298" i="2"/>
  <c r="L298" i="2"/>
  <c r="M298" i="2"/>
  <c r="N298" i="2"/>
  <c r="O298" i="2"/>
  <c r="P298" i="2"/>
  <c r="Q298" i="2"/>
  <c r="R298" i="2"/>
  <c r="S298" i="2"/>
  <c r="T298" i="2"/>
  <c r="U298" i="2"/>
  <c r="V298" i="2"/>
  <c r="W298" i="2"/>
  <c r="X298" i="2"/>
  <c r="Y298" i="2"/>
  <c r="F301" i="2"/>
  <c r="G301" i="2"/>
  <c r="H301" i="2"/>
  <c r="I301" i="2"/>
  <c r="J301" i="2"/>
  <c r="K301" i="2"/>
  <c r="L301" i="2"/>
  <c r="M301" i="2"/>
  <c r="N301" i="2"/>
  <c r="O301" i="2"/>
  <c r="P301" i="2"/>
  <c r="Q301" i="2"/>
  <c r="R301" i="2"/>
  <c r="S301" i="2"/>
  <c r="T301" i="2"/>
  <c r="U301" i="2"/>
  <c r="V301" i="2"/>
  <c r="W301" i="2"/>
  <c r="X301" i="2"/>
  <c r="Y301" i="2"/>
  <c r="F303" i="2"/>
  <c r="G303" i="2"/>
  <c r="H303" i="2"/>
  <c r="I303" i="2"/>
  <c r="J303" i="2"/>
  <c r="K303" i="2"/>
  <c r="L303" i="2"/>
  <c r="M303" i="2"/>
  <c r="N303" i="2"/>
  <c r="O303" i="2"/>
  <c r="P303" i="2"/>
  <c r="Q303" i="2"/>
  <c r="R303" i="2"/>
  <c r="S303" i="2"/>
  <c r="T303" i="2"/>
  <c r="U303" i="2"/>
  <c r="V303" i="2"/>
  <c r="W303" i="2"/>
  <c r="X303" i="2"/>
  <c r="Y303" i="2"/>
  <c r="F305" i="2"/>
  <c r="G305" i="2"/>
  <c r="H305" i="2"/>
  <c r="I305" i="2"/>
  <c r="J305" i="2"/>
  <c r="K305" i="2"/>
  <c r="L305" i="2"/>
  <c r="M305" i="2"/>
  <c r="N305" i="2"/>
  <c r="O305" i="2"/>
  <c r="P305" i="2"/>
  <c r="Q305" i="2"/>
  <c r="R305" i="2"/>
  <c r="S305" i="2"/>
  <c r="T305" i="2"/>
  <c r="U305" i="2"/>
  <c r="V305" i="2"/>
  <c r="W305" i="2"/>
  <c r="X305" i="2"/>
  <c r="Y305" i="2"/>
  <c r="F307" i="2"/>
  <c r="G307" i="2"/>
  <c r="H307" i="2"/>
  <c r="I307" i="2"/>
  <c r="J307" i="2"/>
  <c r="K307" i="2"/>
  <c r="L307" i="2"/>
  <c r="M307" i="2"/>
  <c r="N307" i="2"/>
  <c r="O307" i="2"/>
  <c r="P307" i="2"/>
  <c r="Q307" i="2"/>
  <c r="R307" i="2"/>
  <c r="S307" i="2"/>
  <c r="T307" i="2"/>
  <c r="U307" i="2"/>
  <c r="V307" i="2"/>
  <c r="W307" i="2"/>
  <c r="X307" i="2"/>
  <c r="Y307" i="2"/>
  <c r="F310" i="2"/>
  <c r="F309" i="2" s="1"/>
  <c r="G310" i="2"/>
  <c r="G309" i="2" s="1"/>
  <c r="H310" i="2"/>
  <c r="H309" i="2" s="1"/>
  <c r="I310" i="2"/>
  <c r="I309" i="2" s="1"/>
  <c r="J310" i="2"/>
  <c r="J309" i="2" s="1"/>
  <c r="K310" i="2"/>
  <c r="K309" i="2" s="1"/>
  <c r="L310" i="2"/>
  <c r="L309" i="2" s="1"/>
  <c r="M310" i="2"/>
  <c r="M309" i="2" s="1"/>
  <c r="N310" i="2"/>
  <c r="N309" i="2" s="1"/>
  <c r="O310" i="2"/>
  <c r="O309" i="2" s="1"/>
  <c r="P310" i="2"/>
  <c r="P309" i="2" s="1"/>
  <c r="Q310" i="2"/>
  <c r="Q309" i="2" s="1"/>
  <c r="R310" i="2"/>
  <c r="R309" i="2" s="1"/>
  <c r="S310" i="2"/>
  <c r="S309" i="2" s="1"/>
  <c r="T310" i="2"/>
  <c r="T309" i="2" s="1"/>
  <c r="U310" i="2"/>
  <c r="U309" i="2" s="1"/>
  <c r="V310" i="2"/>
  <c r="V309" i="2" s="1"/>
  <c r="W310" i="2"/>
  <c r="W309" i="2" s="1"/>
  <c r="X310" i="2"/>
  <c r="X309" i="2" s="1"/>
  <c r="Y310" i="2"/>
  <c r="Y309" i="2" s="1"/>
  <c r="F313" i="2"/>
  <c r="G313" i="2"/>
  <c r="H313" i="2"/>
  <c r="I313" i="2"/>
  <c r="J313" i="2"/>
  <c r="K313" i="2"/>
  <c r="L313" i="2"/>
  <c r="M313" i="2"/>
  <c r="N313" i="2"/>
  <c r="O313" i="2"/>
  <c r="P313" i="2"/>
  <c r="Q313" i="2"/>
  <c r="R313" i="2"/>
  <c r="S313" i="2"/>
  <c r="T313" i="2"/>
  <c r="U313" i="2"/>
  <c r="V313" i="2"/>
  <c r="W313" i="2"/>
  <c r="X313" i="2"/>
  <c r="Y313" i="2"/>
  <c r="F315" i="2"/>
  <c r="G315" i="2"/>
  <c r="H315" i="2"/>
  <c r="I315" i="2"/>
  <c r="J315" i="2"/>
  <c r="K315" i="2"/>
  <c r="L315" i="2"/>
  <c r="M315" i="2"/>
  <c r="N315" i="2"/>
  <c r="O315" i="2"/>
  <c r="P315" i="2"/>
  <c r="Q315" i="2"/>
  <c r="R315" i="2"/>
  <c r="S315" i="2"/>
  <c r="T315" i="2"/>
  <c r="U315" i="2"/>
  <c r="V315" i="2"/>
  <c r="W315" i="2"/>
  <c r="X315" i="2"/>
  <c r="Y315" i="2"/>
  <c r="F317" i="2"/>
  <c r="G317" i="2"/>
  <c r="H317" i="2"/>
  <c r="I317" i="2"/>
  <c r="J317" i="2"/>
  <c r="K317" i="2"/>
  <c r="L317" i="2"/>
  <c r="M317" i="2"/>
  <c r="N317" i="2"/>
  <c r="O317" i="2"/>
  <c r="P317" i="2"/>
  <c r="Q317" i="2"/>
  <c r="R317" i="2"/>
  <c r="S317" i="2"/>
  <c r="T317" i="2"/>
  <c r="U317" i="2"/>
  <c r="V317" i="2"/>
  <c r="W317" i="2"/>
  <c r="X317" i="2"/>
  <c r="Y317" i="2"/>
  <c r="F320" i="2"/>
  <c r="F319" i="2" s="1"/>
  <c r="G320" i="2"/>
  <c r="G319" i="2" s="1"/>
  <c r="H320" i="2"/>
  <c r="H319" i="2" s="1"/>
  <c r="I320" i="2"/>
  <c r="I319" i="2" s="1"/>
  <c r="J320" i="2"/>
  <c r="J319" i="2" s="1"/>
  <c r="K320" i="2"/>
  <c r="K319" i="2" s="1"/>
  <c r="L320" i="2"/>
  <c r="L319" i="2" s="1"/>
  <c r="M320" i="2"/>
  <c r="M319" i="2" s="1"/>
  <c r="N320" i="2"/>
  <c r="N319" i="2" s="1"/>
  <c r="O320" i="2"/>
  <c r="O319" i="2" s="1"/>
  <c r="P320" i="2"/>
  <c r="P319" i="2" s="1"/>
  <c r="Q320" i="2"/>
  <c r="Q319" i="2" s="1"/>
  <c r="R320" i="2"/>
  <c r="R319" i="2" s="1"/>
  <c r="S320" i="2"/>
  <c r="S319" i="2" s="1"/>
  <c r="T320" i="2"/>
  <c r="T319" i="2" s="1"/>
  <c r="U320" i="2"/>
  <c r="U319" i="2" s="1"/>
  <c r="V320" i="2"/>
  <c r="V319" i="2" s="1"/>
  <c r="W320" i="2"/>
  <c r="W319" i="2" s="1"/>
  <c r="X320" i="2"/>
  <c r="X319" i="2" s="1"/>
  <c r="Y320" i="2"/>
  <c r="Y319" i="2" s="1"/>
  <c r="F323" i="2"/>
  <c r="G323" i="2"/>
  <c r="H323" i="2"/>
  <c r="I323" i="2"/>
  <c r="J323" i="2"/>
  <c r="K323" i="2"/>
  <c r="L323" i="2"/>
  <c r="M323" i="2"/>
  <c r="N323" i="2"/>
  <c r="O323" i="2"/>
  <c r="P323" i="2"/>
  <c r="Q323" i="2"/>
  <c r="R323" i="2"/>
  <c r="S323" i="2"/>
  <c r="T323" i="2"/>
  <c r="U323" i="2"/>
  <c r="V323" i="2"/>
  <c r="W323" i="2"/>
  <c r="X323" i="2"/>
  <c r="Y323" i="2"/>
  <c r="F326" i="2"/>
  <c r="G326" i="2"/>
  <c r="H326" i="2"/>
  <c r="I326" i="2"/>
  <c r="J326" i="2"/>
  <c r="K326" i="2"/>
  <c r="L326" i="2"/>
  <c r="M326" i="2"/>
  <c r="N326" i="2"/>
  <c r="O326" i="2"/>
  <c r="P326" i="2"/>
  <c r="Q326" i="2"/>
  <c r="R326" i="2"/>
  <c r="S326" i="2"/>
  <c r="T326" i="2"/>
  <c r="U326" i="2"/>
  <c r="V326" i="2"/>
  <c r="W326" i="2"/>
  <c r="X326" i="2"/>
  <c r="Y326" i="2"/>
  <c r="F328" i="2"/>
  <c r="G328" i="2"/>
  <c r="H328" i="2"/>
  <c r="I328" i="2"/>
  <c r="J328" i="2"/>
  <c r="K328" i="2"/>
  <c r="L328" i="2"/>
  <c r="M328" i="2"/>
  <c r="N328" i="2"/>
  <c r="O328" i="2"/>
  <c r="P328" i="2"/>
  <c r="Q328" i="2"/>
  <c r="R328" i="2"/>
  <c r="S328" i="2"/>
  <c r="T328" i="2"/>
  <c r="U328" i="2"/>
  <c r="V328" i="2"/>
  <c r="W328" i="2"/>
  <c r="X328" i="2"/>
  <c r="Y328" i="2"/>
  <c r="F330" i="2"/>
  <c r="G330" i="2"/>
  <c r="H330" i="2"/>
  <c r="I330" i="2"/>
  <c r="J330" i="2"/>
  <c r="K330" i="2"/>
  <c r="L330" i="2"/>
  <c r="M330" i="2"/>
  <c r="N330" i="2"/>
  <c r="O330" i="2"/>
  <c r="P330" i="2"/>
  <c r="Q330" i="2"/>
  <c r="R330" i="2"/>
  <c r="S330" i="2"/>
  <c r="T330" i="2"/>
  <c r="U330" i="2"/>
  <c r="V330" i="2"/>
  <c r="W330" i="2"/>
  <c r="X330" i="2"/>
  <c r="Y330" i="2"/>
  <c r="F334" i="2"/>
  <c r="G334" i="2"/>
  <c r="H334" i="2"/>
  <c r="I334" i="2"/>
  <c r="J334" i="2"/>
  <c r="K334" i="2"/>
  <c r="L334" i="2"/>
  <c r="M334" i="2"/>
  <c r="N334" i="2"/>
  <c r="O334" i="2"/>
  <c r="P334" i="2"/>
  <c r="Q334" i="2"/>
  <c r="R334" i="2"/>
  <c r="S334" i="2"/>
  <c r="T334" i="2"/>
  <c r="U334" i="2"/>
  <c r="V334" i="2"/>
  <c r="W334" i="2"/>
  <c r="X334" i="2"/>
  <c r="Y334" i="2"/>
  <c r="F336" i="2"/>
  <c r="G336" i="2"/>
  <c r="H336" i="2"/>
  <c r="I336" i="2"/>
  <c r="J336" i="2"/>
  <c r="K336" i="2"/>
  <c r="L336" i="2"/>
  <c r="M336" i="2"/>
  <c r="N336" i="2"/>
  <c r="O336" i="2"/>
  <c r="P336" i="2"/>
  <c r="Q336" i="2"/>
  <c r="R336" i="2"/>
  <c r="S336" i="2"/>
  <c r="T336" i="2"/>
  <c r="U336" i="2"/>
  <c r="U333" i="2" s="1"/>
  <c r="V336" i="2"/>
  <c r="W336" i="2"/>
  <c r="X336" i="2"/>
  <c r="Y336" i="2"/>
  <c r="F339" i="2"/>
  <c r="G339" i="2"/>
  <c r="H339" i="2"/>
  <c r="I339" i="2"/>
  <c r="J339" i="2"/>
  <c r="K339" i="2"/>
  <c r="L339" i="2"/>
  <c r="M339" i="2"/>
  <c r="N339" i="2"/>
  <c r="O339" i="2"/>
  <c r="P339" i="2"/>
  <c r="Q339" i="2"/>
  <c r="R339" i="2"/>
  <c r="S339" i="2"/>
  <c r="T339" i="2"/>
  <c r="U339" i="2"/>
  <c r="V339" i="2"/>
  <c r="W339" i="2"/>
  <c r="X339" i="2"/>
  <c r="Y339" i="2"/>
  <c r="F341" i="2"/>
  <c r="G341" i="2"/>
  <c r="H341" i="2"/>
  <c r="I341" i="2"/>
  <c r="I338" i="2" s="1"/>
  <c r="J341" i="2"/>
  <c r="K341" i="2"/>
  <c r="L341" i="2"/>
  <c r="M341" i="2"/>
  <c r="N341" i="2"/>
  <c r="O341" i="2"/>
  <c r="P341" i="2"/>
  <c r="Q341" i="2"/>
  <c r="Q338" i="2" s="1"/>
  <c r="R341" i="2"/>
  <c r="S341" i="2"/>
  <c r="T341" i="2"/>
  <c r="U341" i="2"/>
  <c r="V341" i="2"/>
  <c r="W341" i="2"/>
  <c r="X341" i="2"/>
  <c r="Y341" i="2"/>
  <c r="Y338" i="2" s="1"/>
  <c r="F343" i="2"/>
  <c r="G343" i="2"/>
  <c r="H343" i="2"/>
  <c r="I343" i="2"/>
  <c r="J343" i="2"/>
  <c r="K343" i="2"/>
  <c r="L343" i="2"/>
  <c r="M343" i="2"/>
  <c r="N343" i="2"/>
  <c r="O343" i="2"/>
  <c r="P343" i="2"/>
  <c r="Q343" i="2"/>
  <c r="R343" i="2"/>
  <c r="S343" i="2"/>
  <c r="T343" i="2"/>
  <c r="U343" i="2"/>
  <c r="V343" i="2"/>
  <c r="W343" i="2"/>
  <c r="X343" i="2"/>
  <c r="Y343" i="2"/>
  <c r="F347" i="2"/>
  <c r="G347" i="2"/>
  <c r="H347" i="2"/>
  <c r="I347" i="2"/>
  <c r="J347" i="2"/>
  <c r="K347" i="2"/>
  <c r="L347" i="2"/>
  <c r="M347" i="2"/>
  <c r="N347" i="2"/>
  <c r="O347" i="2"/>
  <c r="P347" i="2"/>
  <c r="Q347" i="2"/>
  <c r="R347" i="2"/>
  <c r="S347" i="2"/>
  <c r="T347" i="2"/>
  <c r="U347" i="2"/>
  <c r="V347" i="2"/>
  <c r="W347" i="2"/>
  <c r="X347" i="2"/>
  <c r="Y347" i="2"/>
  <c r="F349" i="2"/>
  <c r="G349" i="2"/>
  <c r="H349" i="2"/>
  <c r="I349" i="2"/>
  <c r="J349" i="2"/>
  <c r="K349" i="2"/>
  <c r="L349" i="2"/>
  <c r="M349" i="2"/>
  <c r="N349" i="2"/>
  <c r="O349" i="2"/>
  <c r="P349" i="2"/>
  <c r="Q349" i="2"/>
  <c r="R349" i="2"/>
  <c r="S349" i="2"/>
  <c r="T349" i="2"/>
  <c r="U349" i="2"/>
  <c r="V349" i="2"/>
  <c r="W349" i="2"/>
  <c r="X349" i="2"/>
  <c r="Y349" i="2"/>
  <c r="F354" i="2"/>
  <c r="G354" i="2"/>
  <c r="H354" i="2"/>
  <c r="I354" i="2"/>
  <c r="J354" i="2"/>
  <c r="K354" i="2"/>
  <c r="L354" i="2"/>
  <c r="M354" i="2"/>
  <c r="N354" i="2"/>
  <c r="O354" i="2"/>
  <c r="P354" i="2"/>
  <c r="Q354" i="2"/>
  <c r="R354" i="2"/>
  <c r="S354" i="2"/>
  <c r="T354" i="2"/>
  <c r="U354" i="2"/>
  <c r="V354" i="2"/>
  <c r="W354" i="2"/>
  <c r="X354" i="2"/>
  <c r="Y354" i="2"/>
  <c r="F356" i="2"/>
  <c r="G356" i="2"/>
  <c r="H356" i="2"/>
  <c r="I356" i="2"/>
  <c r="J356" i="2"/>
  <c r="K356" i="2"/>
  <c r="L356" i="2"/>
  <c r="M356" i="2"/>
  <c r="N356" i="2"/>
  <c r="O356" i="2"/>
  <c r="P356" i="2"/>
  <c r="Q356" i="2"/>
  <c r="R356" i="2"/>
  <c r="S356" i="2"/>
  <c r="T356" i="2"/>
  <c r="U356" i="2"/>
  <c r="V356" i="2"/>
  <c r="W356" i="2"/>
  <c r="X356" i="2"/>
  <c r="Y356" i="2"/>
  <c r="F358" i="2"/>
  <c r="G358" i="2"/>
  <c r="H358" i="2"/>
  <c r="I358" i="2"/>
  <c r="J358" i="2"/>
  <c r="K358" i="2"/>
  <c r="L358" i="2"/>
  <c r="M358" i="2"/>
  <c r="N358" i="2"/>
  <c r="O358" i="2"/>
  <c r="P358" i="2"/>
  <c r="Q358" i="2"/>
  <c r="R358" i="2"/>
  <c r="S358" i="2"/>
  <c r="T358" i="2"/>
  <c r="U358" i="2"/>
  <c r="V358" i="2"/>
  <c r="W358" i="2"/>
  <c r="X358" i="2"/>
  <c r="Y358" i="2"/>
  <c r="F360" i="2"/>
  <c r="G360" i="2"/>
  <c r="H360" i="2"/>
  <c r="I360" i="2"/>
  <c r="J360" i="2"/>
  <c r="K360" i="2"/>
  <c r="L360" i="2"/>
  <c r="M360" i="2"/>
  <c r="N360" i="2"/>
  <c r="O360" i="2"/>
  <c r="P360" i="2"/>
  <c r="Q360" i="2"/>
  <c r="R360" i="2"/>
  <c r="S360" i="2"/>
  <c r="T360" i="2"/>
  <c r="U360" i="2"/>
  <c r="V360" i="2"/>
  <c r="W360" i="2"/>
  <c r="X360" i="2"/>
  <c r="Y360" i="2"/>
  <c r="F362" i="2"/>
  <c r="G362" i="2"/>
  <c r="H362" i="2"/>
  <c r="I362" i="2"/>
  <c r="J362" i="2"/>
  <c r="K362" i="2"/>
  <c r="L362" i="2"/>
  <c r="M362" i="2"/>
  <c r="N362" i="2"/>
  <c r="O362" i="2"/>
  <c r="P362" i="2"/>
  <c r="Q362" i="2"/>
  <c r="R362" i="2"/>
  <c r="S362" i="2"/>
  <c r="T362" i="2"/>
  <c r="U362" i="2"/>
  <c r="V362" i="2"/>
  <c r="W362" i="2"/>
  <c r="X362" i="2"/>
  <c r="Y362" i="2"/>
  <c r="F364" i="2"/>
  <c r="G364" i="2"/>
  <c r="H364" i="2"/>
  <c r="I364" i="2"/>
  <c r="J364" i="2"/>
  <c r="K364" i="2"/>
  <c r="L364" i="2"/>
  <c r="M364" i="2"/>
  <c r="N364" i="2"/>
  <c r="O364" i="2"/>
  <c r="P364" i="2"/>
  <c r="Q364" i="2"/>
  <c r="R364" i="2"/>
  <c r="S364" i="2"/>
  <c r="T364" i="2"/>
  <c r="U364" i="2"/>
  <c r="V364" i="2"/>
  <c r="W364" i="2"/>
  <c r="X364" i="2"/>
  <c r="Y364" i="2"/>
  <c r="F366" i="2"/>
  <c r="G366" i="2"/>
  <c r="H366" i="2"/>
  <c r="I366" i="2"/>
  <c r="J366" i="2"/>
  <c r="K366" i="2"/>
  <c r="L366" i="2"/>
  <c r="M366" i="2"/>
  <c r="N366" i="2"/>
  <c r="O366" i="2"/>
  <c r="P366" i="2"/>
  <c r="Q366" i="2"/>
  <c r="R366" i="2"/>
  <c r="S366" i="2"/>
  <c r="T366" i="2"/>
  <c r="U366" i="2"/>
  <c r="V366" i="2"/>
  <c r="W366" i="2"/>
  <c r="X366" i="2"/>
  <c r="Y366" i="2"/>
  <c r="F368" i="2"/>
  <c r="G368" i="2"/>
  <c r="H368" i="2"/>
  <c r="I368" i="2"/>
  <c r="J368" i="2"/>
  <c r="K368" i="2"/>
  <c r="L368" i="2"/>
  <c r="M368" i="2"/>
  <c r="N368" i="2"/>
  <c r="O368" i="2"/>
  <c r="P368" i="2"/>
  <c r="Q368" i="2"/>
  <c r="R368" i="2"/>
  <c r="S368" i="2"/>
  <c r="T368" i="2"/>
  <c r="U368" i="2"/>
  <c r="V368" i="2"/>
  <c r="W368" i="2"/>
  <c r="X368" i="2"/>
  <c r="Y368" i="2"/>
  <c r="F370" i="2"/>
  <c r="G370" i="2"/>
  <c r="H370" i="2"/>
  <c r="I370" i="2"/>
  <c r="J370" i="2"/>
  <c r="K370" i="2"/>
  <c r="L370" i="2"/>
  <c r="M370" i="2"/>
  <c r="N370" i="2"/>
  <c r="O370" i="2"/>
  <c r="P370" i="2"/>
  <c r="Q370" i="2"/>
  <c r="R370" i="2"/>
  <c r="S370" i="2"/>
  <c r="T370" i="2"/>
  <c r="U370" i="2"/>
  <c r="V370" i="2"/>
  <c r="W370" i="2"/>
  <c r="X370" i="2"/>
  <c r="Y370" i="2"/>
  <c r="F372" i="2"/>
  <c r="G372" i="2"/>
  <c r="H372" i="2"/>
  <c r="I372" i="2"/>
  <c r="J372" i="2"/>
  <c r="K372" i="2"/>
  <c r="L372" i="2"/>
  <c r="M372" i="2"/>
  <c r="N372" i="2"/>
  <c r="O372" i="2"/>
  <c r="P372" i="2"/>
  <c r="Q372" i="2"/>
  <c r="R372" i="2"/>
  <c r="S372" i="2"/>
  <c r="T372" i="2"/>
  <c r="U372" i="2"/>
  <c r="V372" i="2"/>
  <c r="W372" i="2"/>
  <c r="X372" i="2"/>
  <c r="Y372" i="2"/>
  <c r="F374" i="2"/>
  <c r="G374" i="2"/>
  <c r="H374" i="2"/>
  <c r="I374" i="2"/>
  <c r="J374" i="2"/>
  <c r="K374" i="2"/>
  <c r="L374" i="2"/>
  <c r="M374" i="2"/>
  <c r="N374" i="2"/>
  <c r="O374" i="2"/>
  <c r="P374" i="2"/>
  <c r="Q374" i="2"/>
  <c r="R374" i="2"/>
  <c r="S374" i="2"/>
  <c r="T374" i="2"/>
  <c r="U374" i="2"/>
  <c r="V374" i="2"/>
  <c r="W374" i="2"/>
  <c r="X374" i="2"/>
  <c r="Y374" i="2"/>
  <c r="F376" i="2"/>
  <c r="G376" i="2"/>
  <c r="H376" i="2"/>
  <c r="I376" i="2"/>
  <c r="J376" i="2"/>
  <c r="K376" i="2"/>
  <c r="L376" i="2"/>
  <c r="M376" i="2"/>
  <c r="N376" i="2"/>
  <c r="O376" i="2"/>
  <c r="P376" i="2"/>
  <c r="Q376" i="2"/>
  <c r="R376" i="2"/>
  <c r="S376" i="2"/>
  <c r="T376" i="2"/>
  <c r="U376" i="2"/>
  <c r="V376" i="2"/>
  <c r="W376" i="2"/>
  <c r="X376" i="2"/>
  <c r="Y376" i="2"/>
  <c r="F378" i="2"/>
  <c r="G378" i="2"/>
  <c r="H378" i="2"/>
  <c r="I378" i="2"/>
  <c r="J378" i="2"/>
  <c r="K378" i="2"/>
  <c r="L378" i="2"/>
  <c r="M378" i="2"/>
  <c r="N378" i="2"/>
  <c r="O378" i="2"/>
  <c r="P378" i="2"/>
  <c r="Q378" i="2"/>
  <c r="R378" i="2"/>
  <c r="S378" i="2"/>
  <c r="T378" i="2"/>
  <c r="U378" i="2"/>
  <c r="V378" i="2"/>
  <c r="W378" i="2"/>
  <c r="X378" i="2"/>
  <c r="Y378" i="2"/>
  <c r="F380" i="2"/>
  <c r="G380" i="2"/>
  <c r="H380" i="2"/>
  <c r="I380" i="2"/>
  <c r="J380" i="2"/>
  <c r="K380" i="2"/>
  <c r="L380" i="2"/>
  <c r="M380" i="2"/>
  <c r="N380" i="2"/>
  <c r="O380" i="2"/>
  <c r="P380" i="2"/>
  <c r="Q380" i="2"/>
  <c r="R380" i="2"/>
  <c r="S380" i="2"/>
  <c r="T380" i="2"/>
  <c r="U380" i="2"/>
  <c r="V380" i="2"/>
  <c r="W380" i="2"/>
  <c r="X380" i="2"/>
  <c r="Y380" i="2"/>
  <c r="F382" i="2"/>
  <c r="G382" i="2"/>
  <c r="H382" i="2"/>
  <c r="I382" i="2"/>
  <c r="J382" i="2"/>
  <c r="K382" i="2"/>
  <c r="L382" i="2"/>
  <c r="M382" i="2"/>
  <c r="N382" i="2"/>
  <c r="O382" i="2"/>
  <c r="P382" i="2"/>
  <c r="Q382" i="2"/>
  <c r="R382" i="2"/>
  <c r="S382" i="2"/>
  <c r="T382" i="2"/>
  <c r="U382" i="2"/>
  <c r="V382" i="2"/>
  <c r="W382" i="2"/>
  <c r="X382" i="2"/>
  <c r="Y382" i="2"/>
  <c r="F385" i="2"/>
  <c r="G385" i="2"/>
  <c r="H385" i="2"/>
  <c r="I385" i="2"/>
  <c r="J385" i="2"/>
  <c r="K385" i="2"/>
  <c r="L385" i="2"/>
  <c r="M385" i="2"/>
  <c r="N385" i="2"/>
  <c r="O385" i="2"/>
  <c r="P385" i="2"/>
  <c r="Q385" i="2"/>
  <c r="R385" i="2"/>
  <c r="S385" i="2"/>
  <c r="T385" i="2"/>
  <c r="U385" i="2"/>
  <c r="V385" i="2"/>
  <c r="W385" i="2"/>
  <c r="X385" i="2"/>
  <c r="Y385" i="2"/>
  <c r="F387" i="2"/>
  <c r="G387" i="2"/>
  <c r="H387" i="2"/>
  <c r="I387" i="2"/>
  <c r="J387" i="2"/>
  <c r="K387" i="2"/>
  <c r="L387" i="2"/>
  <c r="M387" i="2"/>
  <c r="N387" i="2"/>
  <c r="O387" i="2"/>
  <c r="P387" i="2"/>
  <c r="Q387" i="2"/>
  <c r="R387" i="2"/>
  <c r="S387" i="2"/>
  <c r="T387" i="2"/>
  <c r="U387" i="2"/>
  <c r="V387" i="2"/>
  <c r="W387" i="2"/>
  <c r="X387" i="2"/>
  <c r="Y387" i="2"/>
  <c r="F389" i="2"/>
  <c r="G389" i="2"/>
  <c r="H389" i="2"/>
  <c r="I389" i="2"/>
  <c r="J389" i="2"/>
  <c r="K389" i="2"/>
  <c r="L389" i="2"/>
  <c r="M389" i="2"/>
  <c r="N389" i="2"/>
  <c r="O389" i="2"/>
  <c r="P389" i="2"/>
  <c r="Q389" i="2"/>
  <c r="R389" i="2"/>
  <c r="S389" i="2"/>
  <c r="T389" i="2"/>
  <c r="U389" i="2"/>
  <c r="V389" i="2"/>
  <c r="W389" i="2"/>
  <c r="X389" i="2"/>
  <c r="Y389" i="2"/>
  <c r="F391" i="2"/>
  <c r="G391" i="2"/>
  <c r="H391" i="2"/>
  <c r="I391" i="2"/>
  <c r="J391" i="2"/>
  <c r="K391" i="2"/>
  <c r="L391" i="2"/>
  <c r="M391" i="2"/>
  <c r="N391" i="2"/>
  <c r="O391" i="2"/>
  <c r="P391" i="2"/>
  <c r="Q391" i="2"/>
  <c r="R391" i="2"/>
  <c r="S391" i="2"/>
  <c r="T391" i="2"/>
  <c r="U391" i="2"/>
  <c r="V391" i="2"/>
  <c r="W391" i="2"/>
  <c r="X391" i="2"/>
  <c r="Y391" i="2"/>
  <c r="F393" i="2"/>
  <c r="G393" i="2"/>
  <c r="H393" i="2"/>
  <c r="I393" i="2"/>
  <c r="J393" i="2"/>
  <c r="K393" i="2"/>
  <c r="L393" i="2"/>
  <c r="M393" i="2"/>
  <c r="N393" i="2"/>
  <c r="O393" i="2"/>
  <c r="P393" i="2"/>
  <c r="Q393" i="2"/>
  <c r="R393" i="2"/>
  <c r="S393" i="2"/>
  <c r="T393" i="2"/>
  <c r="U393" i="2"/>
  <c r="V393" i="2"/>
  <c r="W393" i="2"/>
  <c r="X393" i="2"/>
  <c r="Y393" i="2"/>
  <c r="F395" i="2"/>
  <c r="G395" i="2"/>
  <c r="H395" i="2"/>
  <c r="I395" i="2"/>
  <c r="J395" i="2"/>
  <c r="K395" i="2"/>
  <c r="L395" i="2"/>
  <c r="M395" i="2"/>
  <c r="N395" i="2"/>
  <c r="O395" i="2"/>
  <c r="P395" i="2"/>
  <c r="Q395" i="2"/>
  <c r="R395" i="2"/>
  <c r="S395" i="2"/>
  <c r="T395" i="2"/>
  <c r="U395" i="2"/>
  <c r="V395" i="2"/>
  <c r="W395" i="2"/>
  <c r="X395" i="2"/>
  <c r="Y395" i="2"/>
  <c r="F397" i="2"/>
  <c r="G397" i="2"/>
  <c r="H397" i="2"/>
  <c r="I397" i="2"/>
  <c r="J397" i="2"/>
  <c r="K397" i="2"/>
  <c r="L397" i="2"/>
  <c r="M397" i="2"/>
  <c r="N397" i="2"/>
  <c r="O397" i="2"/>
  <c r="P397" i="2"/>
  <c r="Q397" i="2"/>
  <c r="R397" i="2"/>
  <c r="S397" i="2"/>
  <c r="T397" i="2"/>
  <c r="U397" i="2"/>
  <c r="V397" i="2"/>
  <c r="W397" i="2"/>
  <c r="X397" i="2"/>
  <c r="Y397" i="2"/>
  <c r="F399" i="2"/>
  <c r="G399" i="2"/>
  <c r="H399" i="2"/>
  <c r="I399" i="2"/>
  <c r="J399" i="2"/>
  <c r="K399" i="2"/>
  <c r="L399" i="2"/>
  <c r="M399" i="2"/>
  <c r="N399" i="2"/>
  <c r="O399" i="2"/>
  <c r="P399" i="2"/>
  <c r="Q399" i="2"/>
  <c r="R399" i="2"/>
  <c r="S399" i="2"/>
  <c r="T399" i="2"/>
  <c r="U399" i="2"/>
  <c r="V399" i="2"/>
  <c r="W399" i="2"/>
  <c r="X399" i="2"/>
  <c r="Y399" i="2"/>
  <c r="F401" i="2"/>
  <c r="G401" i="2"/>
  <c r="H401" i="2"/>
  <c r="I401" i="2"/>
  <c r="J401" i="2"/>
  <c r="K401" i="2"/>
  <c r="L401" i="2"/>
  <c r="M401" i="2"/>
  <c r="N401" i="2"/>
  <c r="O401" i="2"/>
  <c r="P401" i="2"/>
  <c r="Q401" i="2"/>
  <c r="R401" i="2"/>
  <c r="S401" i="2"/>
  <c r="T401" i="2"/>
  <c r="U401" i="2"/>
  <c r="V401" i="2"/>
  <c r="W401" i="2"/>
  <c r="X401" i="2"/>
  <c r="Y401" i="2"/>
  <c r="F403" i="2"/>
  <c r="G403" i="2"/>
  <c r="H403" i="2"/>
  <c r="I403" i="2"/>
  <c r="J403" i="2"/>
  <c r="K403" i="2"/>
  <c r="L403" i="2"/>
  <c r="M403" i="2"/>
  <c r="N403" i="2"/>
  <c r="O403" i="2"/>
  <c r="P403" i="2"/>
  <c r="Q403" i="2"/>
  <c r="R403" i="2"/>
  <c r="S403" i="2"/>
  <c r="T403" i="2"/>
  <c r="U403" i="2"/>
  <c r="V403" i="2"/>
  <c r="W403" i="2"/>
  <c r="X403" i="2"/>
  <c r="Y403" i="2"/>
  <c r="F405" i="2"/>
  <c r="G405" i="2"/>
  <c r="H405" i="2"/>
  <c r="I405" i="2"/>
  <c r="J405" i="2"/>
  <c r="K405" i="2"/>
  <c r="L405" i="2"/>
  <c r="M405" i="2"/>
  <c r="N405" i="2"/>
  <c r="O405" i="2"/>
  <c r="P405" i="2"/>
  <c r="Q405" i="2"/>
  <c r="R405" i="2"/>
  <c r="S405" i="2"/>
  <c r="T405" i="2"/>
  <c r="U405" i="2"/>
  <c r="V405" i="2"/>
  <c r="W405" i="2"/>
  <c r="X405" i="2"/>
  <c r="Y405" i="2"/>
  <c r="F407" i="2"/>
  <c r="G407" i="2"/>
  <c r="H407" i="2"/>
  <c r="I407" i="2"/>
  <c r="J407" i="2"/>
  <c r="K407" i="2"/>
  <c r="L407" i="2"/>
  <c r="M407" i="2"/>
  <c r="N407" i="2"/>
  <c r="O407" i="2"/>
  <c r="P407" i="2"/>
  <c r="Q407" i="2"/>
  <c r="R407" i="2"/>
  <c r="S407" i="2"/>
  <c r="T407" i="2"/>
  <c r="U407" i="2"/>
  <c r="V407" i="2"/>
  <c r="W407" i="2"/>
  <c r="X407" i="2"/>
  <c r="Y407" i="2"/>
  <c r="F409" i="2"/>
  <c r="G409" i="2"/>
  <c r="H409" i="2"/>
  <c r="I409" i="2"/>
  <c r="J409" i="2"/>
  <c r="K409" i="2"/>
  <c r="L409" i="2"/>
  <c r="M409" i="2"/>
  <c r="N409" i="2"/>
  <c r="O409" i="2"/>
  <c r="P409" i="2"/>
  <c r="Q409" i="2"/>
  <c r="R409" i="2"/>
  <c r="S409" i="2"/>
  <c r="T409" i="2"/>
  <c r="U409" i="2"/>
  <c r="V409" i="2"/>
  <c r="W409" i="2"/>
  <c r="X409" i="2"/>
  <c r="Y409" i="2"/>
  <c r="F411" i="2"/>
  <c r="G411" i="2"/>
  <c r="H411" i="2"/>
  <c r="I411" i="2"/>
  <c r="J411" i="2"/>
  <c r="K411" i="2"/>
  <c r="L411" i="2"/>
  <c r="M411" i="2"/>
  <c r="N411" i="2"/>
  <c r="O411" i="2"/>
  <c r="P411" i="2"/>
  <c r="Q411" i="2"/>
  <c r="R411" i="2"/>
  <c r="S411" i="2"/>
  <c r="T411" i="2"/>
  <c r="U411" i="2"/>
  <c r="V411" i="2"/>
  <c r="W411" i="2"/>
  <c r="X411" i="2"/>
  <c r="Y411" i="2"/>
  <c r="F413" i="2"/>
  <c r="G413" i="2"/>
  <c r="H413" i="2"/>
  <c r="I413" i="2"/>
  <c r="J413" i="2"/>
  <c r="K413" i="2"/>
  <c r="L413" i="2"/>
  <c r="M413" i="2"/>
  <c r="N413" i="2"/>
  <c r="O413" i="2"/>
  <c r="P413" i="2"/>
  <c r="Q413" i="2"/>
  <c r="R413" i="2"/>
  <c r="S413" i="2"/>
  <c r="T413" i="2"/>
  <c r="U413" i="2"/>
  <c r="V413" i="2"/>
  <c r="W413" i="2"/>
  <c r="X413" i="2"/>
  <c r="Y413" i="2"/>
  <c r="F415" i="2"/>
  <c r="G415" i="2"/>
  <c r="H415" i="2"/>
  <c r="I415" i="2"/>
  <c r="J415" i="2"/>
  <c r="K415" i="2"/>
  <c r="L415" i="2"/>
  <c r="M415" i="2"/>
  <c r="N415" i="2"/>
  <c r="O415" i="2"/>
  <c r="P415" i="2"/>
  <c r="Q415" i="2"/>
  <c r="R415" i="2"/>
  <c r="S415" i="2"/>
  <c r="T415" i="2"/>
  <c r="U415" i="2"/>
  <c r="V415" i="2"/>
  <c r="W415" i="2"/>
  <c r="X415" i="2"/>
  <c r="Y415" i="2"/>
  <c r="F419" i="2"/>
  <c r="G419" i="2"/>
  <c r="H419" i="2"/>
  <c r="I419" i="2"/>
  <c r="J419" i="2"/>
  <c r="K419" i="2"/>
  <c r="L419" i="2"/>
  <c r="M419" i="2"/>
  <c r="N419" i="2"/>
  <c r="O419" i="2"/>
  <c r="P419" i="2"/>
  <c r="Q419" i="2"/>
  <c r="R419" i="2"/>
  <c r="S419" i="2"/>
  <c r="T419" i="2"/>
  <c r="U419" i="2"/>
  <c r="V419" i="2"/>
  <c r="W419" i="2"/>
  <c r="X419" i="2"/>
  <c r="Y419" i="2"/>
  <c r="F421" i="2"/>
  <c r="G421" i="2"/>
  <c r="H421" i="2"/>
  <c r="I421" i="2"/>
  <c r="J421" i="2"/>
  <c r="K421" i="2"/>
  <c r="L421" i="2"/>
  <c r="M421" i="2"/>
  <c r="N421" i="2"/>
  <c r="O421" i="2"/>
  <c r="P421" i="2"/>
  <c r="Q421" i="2"/>
  <c r="R421" i="2"/>
  <c r="S421" i="2"/>
  <c r="T421" i="2"/>
  <c r="U421" i="2"/>
  <c r="V421" i="2"/>
  <c r="W421" i="2"/>
  <c r="X421" i="2"/>
  <c r="Y421" i="2"/>
  <c r="F423" i="2"/>
  <c r="G423" i="2"/>
  <c r="H423" i="2"/>
  <c r="I423" i="2"/>
  <c r="J423" i="2"/>
  <c r="K423" i="2"/>
  <c r="L423" i="2"/>
  <c r="M423" i="2"/>
  <c r="N423" i="2"/>
  <c r="O423" i="2"/>
  <c r="P423" i="2"/>
  <c r="Q423" i="2"/>
  <c r="R423" i="2"/>
  <c r="S423" i="2"/>
  <c r="T423" i="2"/>
  <c r="U423" i="2"/>
  <c r="V423" i="2"/>
  <c r="W423" i="2"/>
  <c r="X423" i="2"/>
  <c r="Y423" i="2"/>
  <c r="F426" i="2"/>
  <c r="F425" i="2" s="1"/>
  <c r="G426" i="2"/>
  <c r="G425" i="2" s="1"/>
  <c r="H426" i="2"/>
  <c r="H425" i="2" s="1"/>
  <c r="I426" i="2"/>
  <c r="I425" i="2" s="1"/>
  <c r="J426" i="2"/>
  <c r="J425" i="2" s="1"/>
  <c r="K426" i="2"/>
  <c r="K425" i="2" s="1"/>
  <c r="L426" i="2"/>
  <c r="L425" i="2" s="1"/>
  <c r="M426" i="2"/>
  <c r="M425" i="2" s="1"/>
  <c r="N426" i="2"/>
  <c r="N425" i="2" s="1"/>
  <c r="O426" i="2"/>
  <c r="O425" i="2" s="1"/>
  <c r="P426" i="2"/>
  <c r="P425" i="2" s="1"/>
  <c r="Q426" i="2"/>
  <c r="Q425" i="2" s="1"/>
  <c r="R426" i="2"/>
  <c r="R425" i="2" s="1"/>
  <c r="S426" i="2"/>
  <c r="S425" i="2" s="1"/>
  <c r="T426" i="2"/>
  <c r="T425" i="2" s="1"/>
  <c r="U426" i="2"/>
  <c r="U425" i="2" s="1"/>
  <c r="V426" i="2"/>
  <c r="V425" i="2" s="1"/>
  <c r="W426" i="2"/>
  <c r="W425" i="2" s="1"/>
  <c r="X426" i="2"/>
  <c r="X425" i="2" s="1"/>
  <c r="Y426" i="2"/>
  <c r="Y425" i="2" s="1"/>
  <c r="F430" i="2"/>
  <c r="F428" i="2" s="1"/>
  <c r="G430" i="2"/>
  <c r="G428" i="2" s="1"/>
  <c r="H430" i="2"/>
  <c r="H428" i="2" s="1"/>
  <c r="I430" i="2"/>
  <c r="I428" i="2" s="1"/>
  <c r="J430" i="2"/>
  <c r="J428" i="2" s="1"/>
  <c r="K430" i="2"/>
  <c r="K428" i="2" s="1"/>
  <c r="L430" i="2"/>
  <c r="L428" i="2" s="1"/>
  <c r="M430" i="2"/>
  <c r="M428" i="2" s="1"/>
  <c r="N430" i="2"/>
  <c r="N428" i="2" s="1"/>
  <c r="O430" i="2"/>
  <c r="O428" i="2" s="1"/>
  <c r="P430" i="2"/>
  <c r="P428" i="2" s="1"/>
  <c r="Q430" i="2"/>
  <c r="Q428" i="2" s="1"/>
  <c r="R430" i="2"/>
  <c r="R428" i="2" s="1"/>
  <c r="S430" i="2"/>
  <c r="S428" i="2" s="1"/>
  <c r="T430" i="2"/>
  <c r="T428" i="2" s="1"/>
  <c r="U430" i="2"/>
  <c r="U428" i="2" s="1"/>
  <c r="V430" i="2"/>
  <c r="V428" i="2" s="1"/>
  <c r="W430" i="2"/>
  <c r="W428" i="2" s="1"/>
  <c r="X430" i="2"/>
  <c r="X428" i="2" s="1"/>
  <c r="Y430" i="2"/>
  <c r="Y428" i="2" s="1"/>
  <c r="F433" i="2"/>
  <c r="F432" i="2" s="1"/>
  <c r="G433" i="2"/>
  <c r="G432" i="2" s="1"/>
  <c r="H433" i="2"/>
  <c r="H432" i="2" s="1"/>
  <c r="I433" i="2"/>
  <c r="I432" i="2" s="1"/>
  <c r="J433" i="2"/>
  <c r="J432" i="2" s="1"/>
  <c r="K433" i="2"/>
  <c r="K432" i="2" s="1"/>
  <c r="L433" i="2"/>
  <c r="L432" i="2" s="1"/>
  <c r="M433" i="2"/>
  <c r="M432" i="2" s="1"/>
  <c r="N433" i="2"/>
  <c r="N432" i="2" s="1"/>
  <c r="O433" i="2"/>
  <c r="O432" i="2" s="1"/>
  <c r="P433" i="2"/>
  <c r="P432" i="2" s="1"/>
  <c r="Q433" i="2"/>
  <c r="Q432" i="2" s="1"/>
  <c r="R433" i="2"/>
  <c r="R432" i="2" s="1"/>
  <c r="S433" i="2"/>
  <c r="S432" i="2" s="1"/>
  <c r="T433" i="2"/>
  <c r="T432" i="2" s="1"/>
  <c r="U433" i="2"/>
  <c r="U432" i="2" s="1"/>
  <c r="V433" i="2"/>
  <c r="V432" i="2" s="1"/>
  <c r="W433" i="2"/>
  <c r="W432" i="2" s="1"/>
  <c r="X433" i="2"/>
  <c r="X432" i="2" s="1"/>
  <c r="Y433" i="2"/>
  <c r="Y432" i="2" s="1"/>
  <c r="F438" i="2"/>
  <c r="G438" i="2"/>
  <c r="H438" i="2"/>
  <c r="I438" i="2"/>
  <c r="J438" i="2"/>
  <c r="K438" i="2"/>
  <c r="L438" i="2"/>
  <c r="M438" i="2"/>
  <c r="N438" i="2"/>
  <c r="O438" i="2"/>
  <c r="P438" i="2"/>
  <c r="Q438" i="2"/>
  <c r="R438" i="2"/>
  <c r="S438" i="2"/>
  <c r="T438" i="2"/>
  <c r="U438" i="2"/>
  <c r="V438" i="2"/>
  <c r="W438" i="2"/>
  <c r="X438" i="2"/>
  <c r="Y438" i="2"/>
  <c r="F440" i="2"/>
  <c r="G440" i="2"/>
  <c r="H440" i="2"/>
  <c r="I440" i="2"/>
  <c r="J440" i="2"/>
  <c r="K440" i="2"/>
  <c r="L440" i="2"/>
  <c r="M440" i="2"/>
  <c r="N440" i="2"/>
  <c r="O440" i="2"/>
  <c r="P440" i="2"/>
  <c r="Q440" i="2"/>
  <c r="R440" i="2"/>
  <c r="S440" i="2"/>
  <c r="T440" i="2"/>
  <c r="U440" i="2"/>
  <c r="V440" i="2"/>
  <c r="W440" i="2"/>
  <c r="X440" i="2"/>
  <c r="Y440" i="2"/>
  <c r="F442" i="2"/>
  <c r="G442" i="2"/>
  <c r="H442" i="2"/>
  <c r="I442" i="2"/>
  <c r="J442" i="2"/>
  <c r="K442" i="2"/>
  <c r="L442" i="2"/>
  <c r="M442" i="2"/>
  <c r="N442" i="2"/>
  <c r="O442" i="2"/>
  <c r="P442" i="2"/>
  <c r="Q442" i="2"/>
  <c r="R442" i="2"/>
  <c r="S442" i="2"/>
  <c r="T442" i="2"/>
  <c r="U442" i="2"/>
  <c r="V442" i="2"/>
  <c r="W442" i="2"/>
  <c r="X442" i="2"/>
  <c r="Y442" i="2"/>
  <c r="F444" i="2"/>
  <c r="G444" i="2"/>
  <c r="H444" i="2"/>
  <c r="I444" i="2"/>
  <c r="J444" i="2"/>
  <c r="K444" i="2"/>
  <c r="L444" i="2"/>
  <c r="M444" i="2"/>
  <c r="N444" i="2"/>
  <c r="O444" i="2"/>
  <c r="P444" i="2"/>
  <c r="Q444" i="2"/>
  <c r="R444" i="2"/>
  <c r="S444" i="2"/>
  <c r="T444" i="2"/>
  <c r="U444" i="2"/>
  <c r="V444" i="2"/>
  <c r="W444" i="2"/>
  <c r="X444" i="2"/>
  <c r="Y444" i="2"/>
  <c r="F447" i="2"/>
  <c r="F446" i="2" s="1"/>
  <c r="G447" i="2"/>
  <c r="G446" i="2" s="1"/>
  <c r="H447" i="2"/>
  <c r="H446" i="2" s="1"/>
  <c r="I447" i="2"/>
  <c r="I446" i="2" s="1"/>
  <c r="J447" i="2"/>
  <c r="J446" i="2" s="1"/>
  <c r="K447" i="2"/>
  <c r="K446" i="2" s="1"/>
  <c r="L447" i="2"/>
  <c r="L446" i="2" s="1"/>
  <c r="M447" i="2"/>
  <c r="M446" i="2" s="1"/>
  <c r="N447" i="2"/>
  <c r="N446" i="2" s="1"/>
  <c r="O447" i="2"/>
  <c r="O446" i="2" s="1"/>
  <c r="P447" i="2"/>
  <c r="P446" i="2" s="1"/>
  <c r="Q447" i="2"/>
  <c r="Q446" i="2" s="1"/>
  <c r="R447" i="2"/>
  <c r="R446" i="2" s="1"/>
  <c r="S447" i="2"/>
  <c r="S446" i="2" s="1"/>
  <c r="T447" i="2"/>
  <c r="T446" i="2" s="1"/>
  <c r="U447" i="2"/>
  <c r="U446" i="2" s="1"/>
  <c r="V447" i="2"/>
  <c r="V446" i="2" s="1"/>
  <c r="W447" i="2"/>
  <c r="W446" i="2" s="1"/>
  <c r="X447" i="2"/>
  <c r="X446" i="2" s="1"/>
  <c r="Y447" i="2"/>
  <c r="Y446" i="2" s="1"/>
  <c r="F450" i="2"/>
  <c r="F449" i="2" s="1"/>
  <c r="G450" i="2"/>
  <c r="G449" i="2" s="1"/>
  <c r="H450" i="2"/>
  <c r="H449" i="2" s="1"/>
  <c r="I450" i="2"/>
  <c r="I449" i="2" s="1"/>
  <c r="J450" i="2"/>
  <c r="J449" i="2" s="1"/>
  <c r="K450" i="2"/>
  <c r="K449" i="2" s="1"/>
  <c r="L450" i="2"/>
  <c r="L449" i="2" s="1"/>
  <c r="M450" i="2"/>
  <c r="M449" i="2" s="1"/>
  <c r="N450" i="2"/>
  <c r="N449" i="2" s="1"/>
  <c r="O450" i="2"/>
  <c r="O449" i="2" s="1"/>
  <c r="P450" i="2"/>
  <c r="P449" i="2" s="1"/>
  <c r="Q450" i="2"/>
  <c r="Q449" i="2" s="1"/>
  <c r="R450" i="2"/>
  <c r="R449" i="2" s="1"/>
  <c r="S450" i="2"/>
  <c r="S449" i="2" s="1"/>
  <c r="T450" i="2"/>
  <c r="T449" i="2" s="1"/>
  <c r="U450" i="2"/>
  <c r="U449" i="2" s="1"/>
  <c r="V450" i="2"/>
  <c r="V449" i="2" s="1"/>
  <c r="W450" i="2"/>
  <c r="W449" i="2" s="1"/>
  <c r="X450" i="2"/>
  <c r="X449" i="2" s="1"/>
  <c r="Y450" i="2"/>
  <c r="Y449" i="2" s="1"/>
  <c r="F454" i="2"/>
  <c r="G454" i="2"/>
  <c r="H454" i="2"/>
  <c r="I454" i="2"/>
  <c r="J454" i="2"/>
  <c r="K454" i="2"/>
  <c r="L454" i="2"/>
  <c r="M454" i="2"/>
  <c r="N454" i="2"/>
  <c r="O454" i="2"/>
  <c r="P454" i="2"/>
  <c r="Q454" i="2"/>
  <c r="R454" i="2"/>
  <c r="S454" i="2"/>
  <c r="T454" i="2"/>
  <c r="U454" i="2"/>
  <c r="V454" i="2"/>
  <c r="W454" i="2"/>
  <c r="X454" i="2"/>
  <c r="Y454" i="2"/>
  <c r="F457" i="2"/>
  <c r="G457" i="2"/>
  <c r="H457" i="2"/>
  <c r="I457" i="2"/>
  <c r="J457" i="2"/>
  <c r="K457" i="2"/>
  <c r="L457" i="2"/>
  <c r="M457" i="2"/>
  <c r="N457" i="2"/>
  <c r="O457" i="2"/>
  <c r="P457" i="2"/>
  <c r="Q457" i="2"/>
  <c r="R457" i="2"/>
  <c r="S457" i="2"/>
  <c r="T457" i="2"/>
  <c r="U457" i="2"/>
  <c r="V457" i="2"/>
  <c r="W457" i="2"/>
  <c r="X457" i="2"/>
  <c r="Y457" i="2"/>
  <c r="F459" i="2"/>
  <c r="G459" i="2"/>
  <c r="H459" i="2"/>
  <c r="I459" i="2"/>
  <c r="J459" i="2"/>
  <c r="K459" i="2"/>
  <c r="L459" i="2"/>
  <c r="M459" i="2"/>
  <c r="N459" i="2"/>
  <c r="O459" i="2"/>
  <c r="P459" i="2"/>
  <c r="Q459" i="2"/>
  <c r="R459" i="2"/>
  <c r="S459" i="2"/>
  <c r="T459" i="2"/>
  <c r="U459" i="2"/>
  <c r="V459" i="2"/>
  <c r="W459" i="2"/>
  <c r="X459" i="2"/>
  <c r="Y459" i="2"/>
  <c r="F461" i="2"/>
  <c r="G461" i="2"/>
  <c r="H461" i="2"/>
  <c r="I461" i="2"/>
  <c r="J461" i="2"/>
  <c r="K461" i="2"/>
  <c r="L461" i="2"/>
  <c r="M461" i="2"/>
  <c r="N461" i="2"/>
  <c r="O461" i="2"/>
  <c r="P461" i="2"/>
  <c r="Q461" i="2"/>
  <c r="R461" i="2"/>
  <c r="S461" i="2"/>
  <c r="T461" i="2"/>
  <c r="U461" i="2"/>
  <c r="V461" i="2"/>
  <c r="W461" i="2"/>
  <c r="X461" i="2"/>
  <c r="Y461" i="2"/>
  <c r="F463" i="2"/>
  <c r="G463" i="2"/>
  <c r="H463" i="2"/>
  <c r="I463" i="2"/>
  <c r="J463" i="2"/>
  <c r="K463" i="2"/>
  <c r="L463" i="2"/>
  <c r="M463" i="2"/>
  <c r="N463" i="2"/>
  <c r="O463" i="2"/>
  <c r="P463" i="2"/>
  <c r="Q463" i="2"/>
  <c r="R463" i="2"/>
  <c r="S463" i="2"/>
  <c r="T463" i="2"/>
  <c r="U463" i="2"/>
  <c r="V463" i="2"/>
  <c r="W463" i="2"/>
  <c r="X463" i="2"/>
  <c r="Y463" i="2"/>
  <c r="F465" i="2"/>
  <c r="G465" i="2"/>
  <c r="H465" i="2"/>
  <c r="I465" i="2"/>
  <c r="J465" i="2"/>
  <c r="K465" i="2"/>
  <c r="L465" i="2"/>
  <c r="M465" i="2"/>
  <c r="N465" i="2"/>
  <c r="O465" i="2"/>
  <c r="P465" i="2"/>
  <c r="Q465" i="2"/>
  <c r="R465" i="2"/>
  <c r="S465" i="2"/>
  <c r="T465" i="2"/>
  <c r="U465" i="2"/>
  <c r="V465" i="2"/>
  <c r="W465" i="2"/>
  <c r="X465" i="2"/>
  <c r="Y465" i="2"/>
  <c r="F467" i="2"/>
  <c r="G467" i="2"/>
  <c r="H467" i="2"/>
  <c r="I467" i="2"/>
  <c r="J467" i="2"/>
  <c r="K467" i="2"/>
  <c r="L467" i="2"/>
  <c r="M467" i="2"/>
  <c r="N467" i="2"/>
  <c r="O467" i="2"/>
  <c r="P467" i="2"/>
  <c r="Q467" i="2"/>
  <c r="R467" i="2"/>
  <c r="S467" i="2"/>
  <c r="T467" i="2"/>
  <c r="U467" i="2"/>
  <c r="V467" i="2"/>
  <c r="W467" i="2"/>
  <c r="X467" i="2"/>
  <c r="Y467" i="2"/>
  <c r="F469" i="2"/>
  <c r="G469" i="2"/>
  <c r="H469" i="2"/>
  <c r="I469" i="2"/>
  <c r="J469" i="2"/>
  <c r="K469" i="2"/>
  <c r="L469" i="2"/>
  <c r="M469" i="2"/>
  <c r="N469" i="2"/>
  <c r="O469" i="2"/>
  <c r="P469" i="2"/>
  <c r="Q469" i="2"/>
  <c r="R469" i="2"/>
  <c r="S469" i="2"/>
  <c r="T469" i="2"/>
  <c r="U469" i="2"/>
  <c r="V469" i="2"/>
  <c r="W469" i="2"/>
  <c r="X469" i="2"/>
  <c r="Y469" i="2"/>
  <c r="F471" i="2"/>
  <c r="G471" i="2"/>
  <c r="H471" i="2"/>
  <c r="I471" i="2"/>
  <c r="J471" i="2"/>
  <c r="K471" i="2"/>
  <c r="L471" i="2"/>
  <c r="M471" i="2"/>
  <c r="N471" i="2"/>
  <c r="O471" i="2"/>
  <c r="P471" i="2"/>
  <c r="Q471" i="2"/>
  <c r="R471" i="2"/>
  <c r="S471" i="2"/>
  <c r="T471" i="2"/>
  <c r="U471" i="2"/>
  <c r="V471" i="2"/>
  <c r="W471" i="2"/>
  <c r="X471" i="2"/>
  <c r="Y471" i="2"/>
  <c r="F473" i="2"/>
  <c r="G473" i="2"/>
  <c r="H473" i="2"/>
  <c r="I473" i="2"/>
  <c r="J473" i="2"/>
  <c r="K473" i="2"/>
  <c r="L473" i="2"/>
  <c r="M473" i="2"/>
  <c r="N473" i="2"/>
  <c r="O473" i="2"/>
  <c r="P473" i="2"/>
  <c r="Q473" i="2"/>
  <c r="R473" i="2"/>
  <c r="S473" i="2"/>
  <c r="T473" i="2"/>
  <c r="U473" i="2"/>
  <c r="V473" i="2"/>
  <c r="W473" i="2"/>
  <c r="X473" i="2"/>
  <c r="Y473" i="2"/>
  <c r="F475" i="2"/>
  <c r="G475" i="2"/>
  <c r="H475" i="2"/>
  <c r="I475" i="2"/>
  <c r="J475" i="2"/>
  <c r="K475" i="2"/>
  <c r="L475" i="2"/>
  <c r="M475" i="2"/>
  <c r="N475" i="2"/>
  <c r="O475" i="2"/>
  <c r="P475" i="2"/>
  <c r="Q475" i="2"/>
  <c r="R475" i="2"/>
  <c r="S475" i="2"/>
  <c r="T475" i="2"/>
  <c r="U475" i="2"/>
  <c r="V475" i="2"/>
  <c r="W475" i="2"/>
  <c r="X475" i="2"/>
  <c r="Y475" i="2"/>
  <c r="F477" i="2"/>
  <c r="G477" i="2"/>
  <c r="H477" i="2"/>
  <c r="I477" i="2"/>
  <c r="J477" i="2"/>
  <c r="K477" i="2"/>
  <c r="L477" i="2"/>
  <c r="M477" i="2"/>
  <c r="N477" i="2"/>
  <c r="O477" i="2"/>
  <c r="P477" i="2"/>
  <c r="Q477" i="2"/>
  <c r="R477" i="2"/>
  <c r="S477" i="2"/>
  <c r="T477" i="2"/>
  <c r="U477" i="2"/>
  <c r="V477" i="2"/>
  <c r="W477" i="2"/>
  <c r="X477" i="2"/>
  <c r="Y477" i="2"/>
  <c r="F479" i="2"/>
  <c r="G479" i="2"/>
  <c r="H479" i="2"/>
  <c r="I479" i="2"/>
  <c r="J479" i="2"/>
  <c r="K479" i="2"/>
  <c r="L479" i="2"/>
  <c r="M479" i="2"/>
  <c r="N479" i="2"/>
  <c r="O479" i="2"/>
  <c r="P479" i="2"/>
  <c r="Q479" i="2"/>
  <c r="R479" i="2"/>
  <c r="S479" i="2"/>
  <c r="T479" i="2"/>
  <c r="U479" i="2"/>
  <c r="V479" i="2"/>
  <c r="W479" i="2"/>
  <c r="X479" i="2"/>
  <c r="Y479" i="2"/>
  <c r="F481" i="2"/>
  <c r="G481" i="2"/>
  <c r="H481" i="2"/>
  <c r="I481" i="2"/>
  <c r="J481" i="2"/>
  <c r="K481" i="2"/>
  <c r="L481" i="2"/>
  <c r="M481" i="2"/>
  <c r="N481" i="2"/>
  <c r="O481" i="2"/>
  <c r="P481" i="2"/>
  <c r="Q481" i="2"/>
  <c r="R481" i="2"/>
  <c r="S481" i="2"/>
  <c r="T481" i="2"/>
  <c r="U481" i="2"/>
  <c r="V481" i="2"/>
  <c r="W481" i="2"/>
  <c r="X481" i="2"/>
  <c r="Y481" i="2"/>
  <c r="F483" i="2"/>
  <c r="G483" i="2"/>
  <c r="H483" i="2"/>
  <c r="I483" i="2"/>
  <c r="J483" i="2"/>
  <c r="K483" i="2"/>
  <c r="L483" i="2"/>
  <c r="M483" i="2"/>
  <c r="N483" i="2"/>
  <c r="O483" i="2"/>
  <c r="P483" i="2"/>
  <c r="Q483" i="2"/>
  <c r="R483" i="2"/>
  <c r="S483" i="2"/>
  <c r="T483" i="2"/>
  <c r="U483" i="2"/>
  <c r="V483" i="2"/>
  <c r="W483" i="2"/>
  <c r="X483" i="2"/>
  <c r="Y483" i="2"/>
  <c r="F486" i="2"/>
  <c r="F485" i="2" s="1"/>
  <c r="G486" i="2"/>
  <c r="G485" i="2" s="1"/>
  <c r="H486" i="2"/>
  <c r="H485" i="2" s="1"/>
  <c r="I486" i="2"/>
  <c r="I485" i="2" s="1"/>
  <c r="J486" i="2"/>
  <c r="J485" i="2" s="1"/>
  <c r="K486" i="2"/>
  <c r="K485" i="2" s="1"/>
  <c r="L486" i="2"/>
  <c r="L485" i="2" s="1"/>
  <c r="M486" i="2"/>
  <c r="M485" i="2" s="1"/>
  <c r="N486" i="2"/>
  <c r="N485" i="2" s="1"/>
  <c r="O486" i="2"/>
  <c r="O485" i="2" s="1"/>
  <c r="P486" i="2"/>
  <c r="P485" i="2" s="1"/>
  <c r="Q486" i="2"/>
  <c r="Q485" i="2" s="1"/>
  <c r="R486" i="2"/>
  <c r="R485" i="2" s="1"/>
  <c r="S486" i="2"/>
  <c r="S485" i="2" s="1"/>
  <c r="T486" i="2"/>
  <c r="T485" i="2" s="1"/>
  <c r="U486" i="2"/>
  <c r="U485" i="2" s="1"/>
  <c r="V486" i="2"/>
  <c r="V485" i="2" s="1"/>
  <c r="W486" i="2"/>
  <c r="W485" i="2" s="1"/>
  <c r="X486" i="2"/>
  <c r="X485" i="2" s="1"/>
  <c r="Y486" i="2"/>
  <c r="Y485" i="2" s="1"/>
  <c r="F489" i="2"/>
  <c r="F488" i="2" s="1"/>
  <c r="G489" i="2"/>
  <c r="G488" i="2" s="1"/>
  <c r="H489" i="2"/>
  <c r="H488" i="2" s="1"/>
  <c r="I489" i="2"/>
  <c r="I488" i="2" s="1"/>
  <c r="J489" i="2"/>
  <c r="J488" i="2" s="1"/>
  <c r="K489" i="2"/>
  <c r="K488" i="2" s="1"/>
  <c r="L489" i="2"/>
  <c r="L488" i="2" s="1"/>
  <c r="M489" i="2"/>
  <c r="M488" i="2" s="1"/>
  <c r="N489" i="2"/>
  <c r="N488" i="2" s="1"/>
  <c r="O489" i="2"/>
  <c r="O488" i="2" s="1"/>
  <c r="P489" i="2"/>
  <c r="P488" i="2" s="1"/>
  <c r="Q489" i="2"/>
  <c r="Q488" i="2" s="1"/>
  <c r="R489" i="2"/>
  <c r="R488" i="2" s="1"/>
  <c r="S489" i="2"/>
  <c r="S488" i="2" s="1"/>
  <c r="T489" i="2"/>
  <c r="T488" i="2" s="1"/>
  <c r="U489" i="2"/>
  <c r="U488" i="2" s="1"/>
  <c r="V489" i="2"/>
  <c r="V488" i="2" s="1"/>
  <c r="W489" i="2"/>
  <c r="W488" i="2" s="1"/>
  <c r="X489" i="2"/>
  <c r="X488" i="2" s="1"/>
  <c r="Y489" i="2"/>
  <c r="Y488" i="2" s="1"/>
  <c r="F492" i="2"/>
  <c r="G492" i="2"/>
  <c r="H492" i="2"/>
  <c r="I492" i="2"/>
  <c r="J492" i="2"/>
  <c r="K492" i="2"/>
  <c r="L492" i="2"/>
  <c r="M492" i="2"/>
  <c r="N492" i="2"/>
  <c r="O492" i="2"/>
  <c r="P492" i="2"/>
  <c r="Q492" i="2"/>
  <c r="R492" i="2"/>
  <c r="S492" i="2"/>
  <c r="T492" i="2"/>
  <c r="U492" i="2"/>
  <c r="V492" i="2"/>
  <c r="W492" i="2"/>
  <c r="X492" i="2"/>
  <c r="Y492" i="2"/>
  <c r="F494" i="2"/>
  <c r="G494" i="2"/>
  <c r="H494" i="2"/>
  <c r="I494" i="2"/>
  <c r="J494" i="2"/>
  <c r="K494" i="2"/>
  <c r="L494" i="2"/>
  <c r="M494" i="2"/>
  <c r="N494" i="2"/>
  <c r="O494" i="2"/>
  <c r="P494" i="2"/>
  <c r="Q494" i="2"/>
  <c r="R494" i="2"/>
  <c r="S494" i="2"/>
  <c r="T494" i="2"/>
  <c r="U494" i="2"/>
  <c r="V494" i="2"/>
  <c r="W494" i="2"/>
  <c r="X494" i="2"/>
  <c r="Y494" i="2"/>
  <c r="F497" i="2"/>
  <c r="G497" i="2"/>
  <c r="H497" i="2"/>
  <c r="I497" i="2"/>
  <c r="J497" i="2"/>
  <c r="K497" i="2"/>
  <c r="L497" i="2"/>
  <c r="M497" i="2"/>
  <c r="N497" i="2"/>
  <c r="O497" i="2"/>
  <c r="P497" i="2"/>
  <c r="Q497" i="2"/>
  <c r="R497" i="2"/>
  <c r="S497" i="2"/>
  <c r="T497" i="2"/>
  <c r="U497" i="2"/>
  <c r="V497" i="2"/>
  <c r="W497" i="2"/>
  <c r="X497" i="2"/>
  <c r="Y497" i="2"/>
  <c r="F499" i="2"/>
  <c r="G499" i="2"/>
  <c r="H499" i="2"/>
  <c r="H496" i="2" s="1"/>
  <c r="I499" i="2"/>
  <c r="J499" i="2"/>
  <c r="K499" i="2"/>
  <c r="L499" i="2"/>
  <c r="M499" i="2"/>
  <c r="N499" i="2"/>
  <c r="O499" i="2"/>
  <c r="P499" i="2"/>
  <c r="P496" i="2" s="1"/>
  <c r="Q499" i="2"/>
  <c r="R499" i="2"/>
  <c r="S499" i="2"/>
  <c r="T499" i="2"/>
  <c r="U499" i="2"/>
  <c r="V499" i="2"/>
  <c r="W499" i="2"/>
  <c r="X499" i="2"/>
  <c r="X496" i="2" s="1"/>
  <c r="Y499" i="2"/>
  <c r="F503" i="2"/>
  <c r="G503" i="2"/>
  <c r="H503" i="2"/>
  <c r="I503" i="2"/>
  <c r="J503" i="2"/>
  <c r="K503" i="2"/>
  <c r="L503" i="2"/>
  <c r="M503" i="2"/>
  <c r="N503" i="2"/>
  <c r="O503" i="2"/>
  <c r="P503" i="2"/>
  <c r="Q503" i="2"/>
  <c r="R503" i="2"/>
  <c r="S503" i="2"/>
  <c r="T503" i="2"/>
  <c r="U503" i="2"/>
  <c r="V503" i="2"/>
  <c r="W503" i="2"/>
  <c r="X503" i="2"/>
  <c r="Y503" i="2"/>
  <c r="F505" i="2"/>
  <c r="F502" i="2" s="1"/>
  <c r="F501" i="2" s="1"/>
  <c r="G505" i="2"/>
  <c r="G502" i="2" s="1"/>
  <c r="G501" i="2" s="1"/>
  <c r="H505" i="2"/>
  <c r="H502" i="2" s="1"/>
  <c r="H501" i="2" s="1"/>
  <c r="I505" i="2"/>
  <c r="J505" i="2"/>
  <c r="K505" i="2"/>
  <c r="L505" i="2"/>
  <c r="M505" i="2"/>
  <c r="N505" i="2"/>
  <c r="O505" i="2"/>
  <c r="O502" i="2" s="1"/>
  <c r="O501" i="2" s="1"/>
  <c r="P505" i="2"/>
  <c r="P502" i="2" s="1"/>
  <c r="P501" i="2" s="1"/>
  <c r="Q505" i="2"/>
  <c r="R505" i="2"/>
  <c r="S505" i="2"/>
  <c r="T505" i="2"/>
  <c r="U505" i="2"/>
  <c r="V505" i="2"/>
  <c r="W505" i="2"/>
  <c r="W502" i="2" s="1"/>
  <c r="W501" i="2" s="1"/>
  <c r="X505" i="2"/>
  <c r="X502" i="2" s="1"/>
  <c r="X501" i="2" s="1"/>
  <c r="Y505" i="2"/>
  <c r="F510" i="2"/>
  <c r="F509" i="2" s="1"/>
  <c r="G510" i="2"/>
  <c r="G509" i="2" s="1"/>
  <c r="H510" i="2"/>
  <c r="H509" i="2" s="1"/>
  <c r="I510" i="2"/>
  <c r="I509" i="2" s="1"/>
  <c r="J510" i="2"/>
  <c r="J509" i="2" s="1"/>
  <c r="K510" i="2"/>
  <c r="K509" i="2" s="1"/>
  <c r="L510" i="2"/>
  <c r="L509" i="2" s="1"/>
  <c r="M510" i="2"/>
  <c r="M509" i="2" s="1"/>
  <c r="N510" i="2"/>
  <c r="N509" i="2" s="1"/>
  <c r="O510" i="2"/>
  <c r="O509" i="2" s="1"/>
  <c r="P510" i="2"/>
  <c r="P509" i="2" s="1"/>
  <c r="Q510" i="2"/>
  <c r="Q509" i="2" s="1"/>
  <c r="R510" i="2"/>
  <c r="R509" i="2" s="1"/>
  <c r="S510" i="2"/>
  <c r="S509" i="2" s="1"/>
  <c r="T510" i="2"/>
  <c r="T509" i="2" s="1"/>
  <c r="U510" i="2"/>
  <c r="U509" i="2" s="1"/>
  <c r="V510" i="2"/>
  <c r="V509" i="2" s="1"/>
  <c r="W510" i="2"/>
  <c r="W509" i="2" s="1"/>
  <c r="X510" i="2"/>
  <c r="X509" i="2" s="1"/>
  <c r="Y510" i="2"/>
  <c r="Y509" i="2" s="1"/>
  <c r="F513" i="2"/>
  <c r="F512" i="2" s="1"/>
  <c r="G513" i="2"/>
  <c r="G512" i="2" s="1"/>
  <c r="H513" i="2"/>
  <c r="H512" i="2" s="1"/>
  <c r="I513" i="2"/>
  <c r="I512" i="2" s="1"/>
  <c r="J513" i="2"/>
  <c r="J512" i="2" s="1"/>
  <c r="K513" i="2"/>
  <c r="K512" i="2" s="1"/>
  <c r="L513" i="2"/>
  <c r="L512" i="2" s="1"/>
  <c r="M513" i="2"/>
  <c r="M512" i="2" s="1"/>
  <c r="N513" i="2"/>
  <c r="N512" i="2" s="1"/>
  <c r="O513" i="2"/>
  <c r="O512" i="2" s="1"/>
  <c r="P513" i="2"/>
  <c r="P512" i="2" s="1"/>
  <c r="Q513" i="2"/>
  <c r="Q512" i="2" s="1"/>
  <c r="R513" i="2"/>
  <c r="R512" i="2" s="1"/>
  <c r="S513" i="2"/>
  <c r="S512" i="2" s="1"/>
  <c r="T513" i="2"/>
  <c r="T512" i="2" s="1"/>
  <c r="U513" i="2"/>
  <c r="U512" i="2" s="1"/>
  <c r="V513" i="2"/>
  <c r="V512" i="2" s="1"/>
  <c r="W513" i="2"/>
  <c r="W512" i="2" s="1"/>
  <c r="X513" i="2"/>
  <c r="X512" i="2" s="1"/>
  <c r="Y513" i="2"/>
  <c r="Y512" i="2" s="1"/>
  <c r="F518" i="2"/>
  <c r="G518" i="2"/>
  <c r="H518" i="2"/>
  <c r="I518" i="2"/>
  <c r="J518" i="2"/>
  <c r="K518" i="2"/>
  <c r="L518" i="2"/>
  <c r="M518" i="2"/>
  <c r="N518" i="2"/>
  <c r="O518" i="2"/>
  <c r="P518" i="2"/>
  <c r="Q518" i="2"/>
  <c r="R518" i="2"/>
  <c r="S518" i="2"/>
  <c r="T518" i="2"/>
  <c r="U518" i="2"/>
  <c r="V518" i="2"/>
  <c r="W518" i="2"/>
  <c r="X518" i="2"/>
  <c r="Y518" i="2"/>
  <c r="F520" i="2"/>
  <c r="G520" i="2"/>
  <c r="H520" i="2"/>
  <c r="I520" i="2"/>
  <c r="J520" i="2"/>
  <c r="K520" i="2"/>
  <c r="L520" i="2"/>
  <c r="M520" i="2"/>
  <c r="N520" i="2"/>
  <c r="O520" i="2"/>
  <c r="P520" i="2"/>
  <c r="Q520" i="2"/>
  <c r="R520" i="2"/>
  <c r="S520" i="2"/>
  <c r="T520" i="2"/>
  <c r="U520" i="2"/>
  <c r="V520" i="2"/>
  <c r="W520" i="2"/>
  <c r="X520" i="2"/>
  <c r="Y520" i="2"/>
  <c r="F523" i="2"/>
  <c r="F522" i="2" s="1"/>
  <c r="G523" i="2"/>
  <c r="G522" i="2" s="1"/>
  <c r="H523" i="2"/>
  <c r="H522" i="2" s="1"/>
  <c r="I523" i="2"/>
  <c r="I522" i="2" s="1"/>
  <c r="J523" i="2"/>
  <c r="J522" i="2" s="1"/>
  <c r="K523" i="2"/>
  <c r="K522" i="2" s="1"/>
  <c r="L523" i="2"/>
  <c r="L522" i="2" s="1"/>
  <c r="M523" i="2"/>
  <c r="M522" i="2" s="1"/>
  <c r="N523" i="2"/>
  <c r="N522" i="2" s="1"/>
  <c r="O523" i="2"/>
  <c r="O522" i="2" s="1"/>
  <c r="P523" i="2"/>
  <c r="P522" i="2" s="1"/>
  <c r="Q523" i="2"/>
  <c r="Q522" i="2" s="1"/>
  <c r="R523" i="2"/>
  <c r="R522" i="2" s="1"/>
  <c r="S523" i="2"/>
  <c r="S522" i="2" s="1"/>
  <c r="T523" i="2"/>
  <c r="T522" i="2" s="1"/>
  <c r="U523" i="2"/>
  <c r="U522" i="2" s="1"/>
  <c r="V523" i="2"/>
  <c r="V522" i="2" s="1"/>
  <c r="W523" i="2"/>
  <c r="W522" i="2" s="1"/>
  <c r="X523" i="2"/>
  <c r="X522" i="2" s="1"/>
  <c r="Y523" i="2"/>
  <c r="Y522" i="2" s="1"/>
  <c r="F527" i="2"/>
  <c r="F526" i="2" s="1"/>
  <c r="G527" i="2"/>
  <c r="G526" i="2" s="1"/>
  <c r="H527" i="2"/>
  <c r="H526" i="2" s="1"/>
  <c r="I527" i="2"/>
  <c r="I526" i="2" s="1"/>
  <c r="J527" i="2"/>
  <c r="J526" i="2" s="1"/>
  <c r="K527" i="2"/>
  <c r="K526" i="2" s="1"/>
  <c r="L527" i="2"/>
  <c r="L526" i="2" s="1"/>
  <c r="M527" i="2"/>
  <c r="M526" i="2" s="1"/>
  <c r="N527" i="2"/>
  <c r="N526" i="2" s="1"/>
  <c r="O527" i="2"/>
  <c r="O526" i="2" s="1"/>
  <c r="P527" i="2"/>
  <c r="P526" i="2" s="1"/>
  <c r="Q527" i="2"/>
  <c r="Q526" i="2" s="1"/>
  <c r="R527" i="2"/>
  <c r="R526" i="2" s="1"/>
  <c r="S527" i="2"/>
  <c r="S526" i="2" s="1"/>
  <c r="T527" i="2"/>
  <c r="T526" i="2" s="1"/>
  <c r="U527" i="2"/>
  <c r="U526" i="2" s="1"/>
  <c r="V527" i="2"/>
  <c r="V526" i="2" s="1"/>
  <c r="W527" i="2"/>
  <c r="W526" i="2" s="1"/>
  <c r="X527" i="2"/>
  <c r="X526" i="2" s="1"/>
  <c r="Y527" i="2"/>
  <c r="Y526" i="2" s="1"/>
  <c r="F532" i="2"/>
  <c r="F531" i="2" s="1"/>
  <c r="G532" i="2"/>
  <c r="G531" i="2" s="1"/>
  <c r="H532" i="2"/>
  <c r="H531" i="2" s="1"/>
  <c r="I532" i="2"/>
  <c r="I531" i="2" s="1"/>
  <c r="J532" i="2"/>
  <c r="J531" i="2" s="1"/>
  <c r="K532" i="2"/>
  <c r="K531" i="2" s="1"/>
  <c r="L532" i="2"/>
  <c r="L531" i="2" s="1"/>
  <c r="M532" i="2"/>
  <c r="M531" i="2" s="1"/>
  <c r="N532" i="2"/>
  <c r="N531" i="2" s="1"/>
  <c r="O532" i="2"/>
  <c r="O531" i="2" s="1"/>
  <c r="P532" i="2"/>
  <c r="P531" i="2" s="1"/>
  <c r="Q532" i="2"/>
  <c r="Q531" i="2" s="1"/>
  <c r="R532" i="2"/>
  <c r="R531" i="2" s="1"/>
  <c r="S532" i="2"/>
  <c r="S531" i="2" s="1"/>
  <c r="T532" i="2"/>
  <c r="T531" i="2" s="1"/>
  <c r="U532" i="2"/>
  <c r="U531" i="2" s="1"/>
  <c r="V532" i="2"/>
  <c r="V531" i="2" s="1"/>
  <c r="W532" i="2"/>
  <c r="W531" i="2" s="1"/>
  <c r="X532" i="2"/>
  <c r="X531" i="2" s="1"/>
  <c r="Y532" i="2"/>
  <c r="Y531" i="2" s="1"/>
  <c r="F539" i="2"/>
  <c r="F538" i="2" s="1"/>
  <c r="G539" i="2"/>
  <c r="G538" i="2" s="1"/>
  <c r="H539" i="2"/>
  <c r="H538" i="2" s="1"/>
  <c r="I539" i="2"/>
  <c r="I538" i="2" s="1"/>
  <c r="J539" i="2"/>
  <c r="J538" i="2" s="1"/>
  <c r="K539" i="2"/>
  <c r="K538" i="2" s="1"/>
  <c r="L539" i="2"/>
  <c r="L538" i="2" s="1"/>
  <c r="M539" i="2"/>
  <c r="M538" i="2" s="1"/>
  <c r="N539" i="2"/>
  <c r="N538" i="2" s="1"/>
  <c r="O539" i="2"/>
  <c r="O538" i="2" s="1"/>
  <c r="P539" i="2"/>
  <c r="P538" i="2" s="1"/>
  <c r="Q539" i="2"/>
  <c r="Q538" i="2" s="1"/>
  <c r="R539" i="2"/>
  <c r="R538" i="2" s="1"/>
  <c r="S539" i="2"/>
  <c r="S538" i="2" s="1"/>
  <c r="T539" i="2"/>
  <c r="T538" i="2" s="1"/>
  <c r="U539" i="2"/>
  <c r="U538" i="2" s="1"/>
  <c r="V539" i="2"/>
  <c r="V538" i="2" s="1"/>
  <c r="W539" i="2"/>
  <c r="W538" i="2" s="1"/>
  <c r="X539" i="2"/>
  <c r="X538" i="2" s="1"/>
  <c r="Y539" i="2"/>
  <c r="Y538" i="2" s="1"/>
  <c r="F547" i="2"/>
  <c r="G547" i="2"/>
  <c r="H547" i="2"/>
  <c r="I547" i="2"/>
  <c r="J547" i="2"/>
  <c r="K547" i="2"/>
  <c r="L547" i="2"/>
  <c r="M547" i="2"/>
  <c r="N547" i="2"/>
  <c r="O547" i="2"/>
  <c r="P547" i="2"/>
  <c r="Q547" i="2"/>
  <c r="R547" i="2"/>
  <c r="S547" i="2"/>
  <c r="T547" i="2"/>
  <c r="U547" i="2"/>
  <c r="V547" i="2"/>
  <c r="W547" i="2"/>
  <c r="X547" i="2"/>
  <c r="Y547" i="2"/>
  <c r="F554" i="2"/>
  <c r="G554" i="2"/>
  <c r="H554" i="2"/>
  <c r="I554" i="2"/>
  <c r="J554" i="2"/>
  <c r="K554" i="2"/>
  <c r="L554" i="2"/>
  <c r="M554" i="2"/>
  <c r="N554" i="2"/>
  <c r="O554" i="2"/>
  <c r="P554" i="2"/>
  <c r="Q554" i="2"/>
  <c r="R554" i="2"/>
  <c r="S554" i="2"/>
  <c r="T554" i="2"/>
  <c r="U554" i="2"/>
  <c r="V554" i="2"/>
  <c r="W554" i="2"/>
  <c r="X554" i="2"/>
  <c r="Y554" i="2"/>
  <c r="F559" i="2"/>
  <c r="G559" i="2"/>
  <c r="H559" i="2"/>
  <c r="I559" i="2"/>
  <c r="J559" i="2"/>
  <c r="K559" i="2"/>
  <c r="L559" i="2"/>
  <c r="M559" i="2"/>
  <c r="N559" i="2"/>
  <c r="O559" i="2"/>
  <c r="P559" i="2"/>
  <c r="Q559" i="2"/>
  <c r="R559" i="2"/>
  <c r="S559" i="2"/>
  <c r="T559" i="2"/>
  <c r="U559" i="2"/>
  <c r="V559" i="2"/>
  <c r="W559" i="2"/>
  <c r="X559" i="2"/>
  <c r="Y559" i="2"/>
  <c r="F564" i="2"/>
  <c r="G564" i="2"/>
  <c r="H564" i="2"/>
  <c r="I564" i="2"/>
  <c r="J564" i="2"/>
  <c r="K564" i="2"/>
  <c r="L564" i="2"/>
  <c r="M564" i="2"/>
  <c r="N564" i="2"/>
  <c r="O564" i="2"/>
  <c r="P564" i="2"/>
  <c r="Q564" i="2"/>
  <c r="R564" i="2"/>
  <c r="S564" i="2"/>
  <c r="T564" i="2"/>
  <c r="U564" i="2"/>
  <c r="V564" i="2"/>
  <c r="W564" i="2"/>
  <c r="X564" i="2"/>
  <c r="Y564" i="2"/>
  <c r="F566" i="2"/>
  <c r="G566" i="2"/>
  <c r="H566" i="2"/>
  <c r="I566" i="2"/>
  <c r="J566" i="2"/>
  <c r="K566" i="2"/>
  <c r="L566" i="2"/>
  <c r="M566" i="2"/>
  <c r="N566" i="2"/>
  <c r="O566" i="2"/>
  <c r="P566" i="2"/>
  <c r="Q566" i="2"/>
  <c r="R566" i="2"/>
  <c r="S566" i="2"/>
  <c r="T566" i="2"/>
  <c r="U566" i="2"/>
  <c r="V566" i="2"/>
  <c r="W566" i="2"/>
  <c r="X566" i="2"/>
  <c r="Y566" i="2"/>
  <c r="F568" i="2"/>
  <c r="G568" i="2"/>
  <c r="H568" i="2"/>
  <c r="I568" i="2"/>
  <c r="J568" i="2"/>
  <c r="K568" i="2"/>
  <c r="L568" i="2"/>
  <c r="M568" i="2"/>
  <c r="N568" i="2"/>
  <c r="O568" i="2"/>
  <c r="P568" i="2"/>
  <c r="Q568" i="2"/>
  <c r="R568" i="2"/>
  <c r="S568" i="2"/>
  <c r="T568" i="2"/>
  <c r="U568" i="2"/>
  <c r="V568" i="2"/>
  <c r="W568" i="2"/>
  <c r="X568" i="2"/>
  <c r="Y568" i="2"/>
  <c r="F572" i="2"/>
  <c r="G572" i="2"/>
  <c r="H572" i="2"/>
  <c r="I572" i="2"/>
  <c r="J572" i="2"/>
  <c r="K572" i="2"/>
  <c r="L572" i="2"/>
  <c r="M572" i="2"/>
  <c r="N572" i="2"/>
  <c r="O572" i="2"/>
  <c r="P572" i="2"/>
  <c r="Q572" i="2"/>
  <c r="R572" i="2"/>
  <c r="S572" i="2"/>
  <c r="T572" i="2"/>
  <c r="U572" i="2"/>
  <c r="V572" i="2"/>
  <c r="W572" i="2"/>
  <c r="X572" i="2"/>
  <c r="Y572" i="2"/>
  <c r="F574" i="2"/>
  <c r="G574" i="2"/>
  <c r="H574" i="2"/>
  <c r="I574" i="2"/>
  <c r="J574" i="2"/>
  <c r="K574" i="2"/>
  <c r="L574" i="2"/>
  <c r="M574" i="2"/>
  <c r="N574" i="2"/>
  <c r="O574" i="2"/>
  <c r="P574" i="2"/>
  <c r="Q574" i="2"/>
  <c r="R574" i="2"/>
  <c r="S574" i="2"/>
  <c r="T574" i="2"/>
  <c r="U574" i="2"/>
  <c r="V574" i="2"/>
  <c r="W574" i="2"/>
  <c r="X574" i="2"/>
  <c r="Y574" i="2"/>
  <c r="F577" i="2"/>
  <c r="G577" i="2"/>
  <c r="H577" i="2"/>
  <c r="I577" i="2"/>
  <c r="J577" i="2"/>
  <c r="K577" i="2"/>
  <c r="L577" i="2"/>
  <c r="M577" i="2"/>
  <c r="N577" i="2"/>
  <c r="O577" i="2"/>
  <c r="P577" i="2"/>
  <c r="Q577" i="2"/>
  <c r="R577" i="2"/>
  <c r="S577" i="2"/>
  <c r="T577" i="2"/>
  <c r="U577" i="2"/>
  <c r="V577" i="2"/>
  <c r="W577" i="2"/>
  <c r="X577" i="2"/>
  <c r="Y577" i="2"/>
  <c r="F579" i="2"/>
  <c r="G579" i="2"/>
  <c r="H579" i="2"/>
  <c r="I579" i="2"/>
  <c r="J579" i="2"/>
  <c r="K579" i="2"/>
  <c r="L579" i="2"/>
  <c r="M579" i="2"/>
  <c r="N579" i="2"/>
  <c r="O579" i="2"/>
  <c r="P579" i="2"/>
  <c r="Q579" i="2"/>
  <c r="R579" i="2"/>
  <c r="S579" i="2"/>
  <c r="T579" i="2"/>
  <c r="U579" i="2"/>
  <c r="V579" i="2"/>
  <c r="W579" i="2"/>
  <c r="X579" i="2"/>
  <c r="Y579" i="2"/>
  <c r="F581" i="2"/>
  <c r="G581" i="2"/>
  <c r="H581" i="2"/>
  <c r="I581" i="2"/>
  <c r="J581" i="2"/>
  <c r="K581" i="2"/>
  <c r="L581" i="2"/>
  <c r="M581" i="2"/>
  <c r="N581" i="2"/>
  <c r="O581" i="2"/>
  <c r="P581" i="2"/>
  <c r="Q581" i="2"/>
  <c r="R581" i="2"/>
  <c r="S581" i="2"/>
  <c r="T581" i="2"/>
  <c r="U581" i="2"/>
  <c r="V581" i="2"/>
  <c r="W581" i="2"/>
  <c r="X581" i="2"/>
  <c r="Y581" i="2"/>
  <c r="F583" i="2"/>
  <c r="G583" i="2"/>
  <c r="H583" i="2"/>
  <c r="I583" i="2"/>
  <c r="J583" i="2"/>
  <c r="K583" i="2"/>
  <c r="L583" i="2"/>
  <c r="M583" i="2"/>
  <c r="N583" i="2"/>
  <c r="O583" i="2"/>
  <c r="P583" i="2"/>
  <c r="Q583" i="2"/>
  <c r="R583" i="2"/>
  <c r="S583" i="2"/>
  <c r="T583" i="2"/>
  <c r="U583" i="2"/>
  <c r="V583" i="2"/>
  <c r="W583" i="2"/>
  <c r="X583" i="2"/>
  <c r="Y583" i="2"/>
  <c r="F586" i="2"/>
  <c r="G586" i="2"/>
  <c r="H586" i="2"/>
  <c r="I586" i="2"/>
  <c r="J586" i="2"/>
  <c r="K586" i="2"/>
  <c r="L586" i="2"/>
  <c r="M586" i="2"/>
  <c r="N586" i="2"/>
  <c r="O586" i="2"/>
  <c r="P586" i="2"/>
  <c r="Q586" i="2"/>
  <c r="R586" i="2"/>
  <c r="S586" i="2"/>
  <c r="T586" i="2"/>
  <c r="U586" i="2"/>
  <c r="V586" i="2"/>
  <c r="W586" i="2"/>
  <c r="X586" i="2"/>
  <c r="Y586" i="2"/>
  <c r="F589" i="2"/>
  <c r="G589" i="2"/>
  <c r="H589" i="2"/>
  <c r="I589" i="2"/>
  <c r="J589" i="2"/>
  <c r="K589" i="2"/>
  <c r="L589" i="2"/>
  <c r="M589" i="2"/>
  <c r="N589" i="2"/>
  <c r="O589" i="2"/>
  <c r="P589" i="2"/>
  <c r="Q589" i="2"/>
  <c r="R589" i="2"/>
  <c r="S589" i="2"/>
  <c r="T589" i="2"/>
  <c r="U589" i="2"/>
  <c r="V589" i="2"/>
  <c r="W589" i="2"/>
  <c r="X589" i="2"/>
  <c r="Y589" i="2"/>
  <c r="F591" i="2"/>
  <c r="G591" i="2"/>
  <c r="H591" i="2"/>
  <c r="I591" i="2"/>
  <c r="J591" i="2"/>
  <c r="K591" i="2"/>
  <c r="L591" i="2"/>
  <c r="M591" i="2"/>
  <c r="N591" i="2"/>
  <c r="O591" i="2"/>
  <c r="P591" i="2"/>
  <c r="Q591" i="2"/>
  <c r="R591" i="2"/>
  <c r="S591" i="2"/>
  <c r="T591" i="2"/>
  <c r="U591" i="2"/>
  <c r="V591" i="2"/>
  <c r="W591" i="2"/>
  <c r="X591" i="2"/>
  <c r="Y591" i="2"/>
  <c r="F593" i="2"/>
  <c r="G593" i="2"/>
  <c r="H593" i="2"/>
  <c r="I593" i="2"/>
  <c r="J593" i="2"/>
  <c r="K593" i="2"/>
  <c r="L593" i="2"/>
  <c r="M593" i="2"/>
  <c r="N593" i="2"/>
  <c r="O593" i="2"/>
  <c r="P593" i="2"/>
  <c r="Q593" i="2"/>
  <c r="R593" i="2"/>
  <c r="S593" i="2"/>
  <c r="T593" i="2"/>
  <c r="U593" i="2"/>
  <c r="V593" i="2"/>
  <c r="W593" i="2"/>
  <c r="X593" i="2"/>
  <c r="Y593" i="2"/>
  <c r="F595" i="2"/>
  <c r="G595" i="2"/>
  <c r="H595" i="2"/>
  <c r="I595" i="2"/>
  <c r="J595" i="2"/>
  <c r="K595" i="2"/>
  <c r="L595" i="2"/>
  <c r="M595" i="2"/>
  <c r="N595" i="2"/>
  <c r="O595" i="2"/>
  <c r="P595" i="2"/>
  <c r="Q595" i="2"/>
  <c r="R595" i="2"/>
  <c r="S595" i="2"/>
  <c r="T595" i="2"/>
  <c r="U595" i="2"/>
  <c r="V595" i="2"/>
  <c r="W595" i="2"/>
  <c r="X595" i="2"/>
  <c r="Y595" i="2"/>
  <c r="F597" i="2"/>
  <c r="G597" i="2"/>
  <c r="H597" i="2"/>
  <c r="I597" i="2"/>
  <c r="J597" i="2"/>
  <c r="K597" i="2"/>
  <c r="L597" i="2"/>
  <c r="M597" i="2"/>
  <c r="N597" i="2"/>
  <c r="O597" i="2"/>
  <c r="P597" i="2"/>
  <c r="Q597" i="2"/>
  <c r="R597" i="2"/>
  <c r="S597" i="2"/>
  <c r="T597" i="2"/>
  <c r="U597" i="2"/>
  <c r="V597" i="2"/>
  <c r="W597" i="2"/>
  <c r="X597" i="2"/>
  <c r="Y597" i="2"/>
  <c r="F599" i="2"/>
  <c r="G599" i="2"/>
  <c r="H599" i="2"/>
  <c r="I599" i="2"/>
  <c r="J599" i="2"/>
  <c r="K599" i="2"/>
  <c r="L599" i="2"/>
  <c r="M599" i="2"/>
  <c r="N599" i="2"/>
  <c r="O599" i="2"/>
  <c r="P599" i="2"/>
  <c r="Q599" i="2"/>
  <c r="R599" i="2"/>
  <c r="S599" i="2"/>
  <c r="T599" i="2"/>
  <c r="U599" i="2"/>
  <c r="V599" i="2"/>
  <c r="W599" i="2"/>
  <c r="X599" i="2"/>
  <c r="Y599" i="2"/>
  <c r="F602" i="2"/>
  <c r="F601" i="2" s="1"/>
  <c r="G602" i="2"/>
  <c r="G601" i="2" s="1"/>
  <c r="H602" i="2"/>
  <c r="H601" i="2" s="1"/>
  <c r="I602" i="2"/>
  <c r="I601" i="2" s="1"/>
  <c r="J602" i="2"/>
  <c r="J601" i="2" s="1"/>
  <c r="K602" i="2"/>
  <c r="K601" i="2" s="1"/>
  <c r="L602" i="2"/>
  <c r="L601" i="2" s="1"/>
  <c r="M602" i="2"/>
  <c r="M601" i="2" s="1"/>
  <c r="N602" i="2"/>
  <c r="N601" i="2" s="1"/>
  <c r="O602" i="2"/>
  <c r="O601" i="2" s="1"/>
  <c r="P602" i="2"/>
  <c r="P601" i="2" s="1"/>
  <c r="Q602" i="2"/>
  <c r="Q601" i="2" s="1"/>
  <c r="R602" i="2"/>
  <c r="R601" i="2" s="1"/>
  <c r="S602" i="2"/>
  <c r="S601" i="2" s="1"/>
  <c r="T602" i="2"/>
  <c r="T601" i="2" s="1"/>
  <c r="U602" i="2"/>
  <c r="U601" i="2" s="1"/>
  <c r="V602" i="2"/>
  <c r="V601" i="2" s="1"/>
  <c r="W602" i="2"/>
  <c r="W601" i="2" s="1"/>
  <c r="X602" i="2"/>
  <c r="X601" i="2" s="1"/>
  <c r="Y602" i="2"/>
  <c r="Y601" i="2" s="1"/>
  <c r="F606" i="2"/>
  <c r="F605" i="2" s="1"/>
  <c r="G606" i="2"/>
  <c r="G605" i="2" s="1"/>
  <c r="H606" i="2"/>
  <c r="H605" i="2" s="1"/>
  <c r="I606" i="2"/>
  <c r="I605" i="2" s="1"/>
  <c r="J606" i="2"/>
  <c r="J605" i="2" s="1"/>
  <c r="K606" i="2"/>
  <c r="K605" i="2" s="1"/>
  <c r="L606" i="2"/>
  <c r="L605" i="2" s="1"/>
  <c r="M606" i="2"/>
  <c r="M605" i="2" s="1"/>
  <c r="N606" i="2"/>
  <c r="N605" i="2" s="1"/>
  <c r="O606" i="2"/>
  <c r="O605" i="2" s="1"/>
  <c r="P606" i="2"/>
  <c r="P605" i="2" s="1"/>
  <c r="Q606" i="2"/>
  <c r="Q605" i="2" s="1"/>
  <c r="R606" i="2"/>
  <c r="R605" i="2" s="1"/>
  <c r="S606" i="2"/>
  <c r="S605" i="2" s="1"/>
  <c r="T606" i="2"/>
  <c r="T605" i="2" s="1"/>
  <c r="U606" i="2"/>
  <c r="U605" i="2" s="1"/>
  <c r="V606" i="2"/>
  <c r="V605" i="2" s="1"/>
  <c r="W606" i="2"/>
  <c r="W605" i="2" s="1"/>
  <c r="X606" i="2"/>
  <c r="X605" i="2" s="1"/>
  <c r="Y606" i="2"/>
  <c r="Y605" i="2" s="1"/>
  <c r="F610" i="2"/>
  <c r="G610" i="2"/>
  <c r="H610" i="2"/>
  <c r="I610" i="2"/>
  <c r="J610" i="2"/>
  <c r="K610" i="2"/>
  <c r="L610" i="2"/>
  <c r="M610" i="2"/>
  <c r="N610" i="2"/>
  <c r="O610" i="2"/>
  <c r="P610" i="2"/>
  <c r="Q610" i="2"/>
  <c r="R610" i="2"/>
  <c r="S610" i="2"/>
  <c r="T610" i="2"/>
  <c r="U610" i="2"/>
  <c r="V610" i="2"/>
  <c r="W610" i="2"/>
  <c r="X610" i="2"/>
  <c r="Y610" i="2"/>
  <c r="F612" i="2"/>
  <c r="G612" i="2"/>
  <c r="H612" i="2"/>
  <c r="I612" i="2"/>
  <c r="I608" i="2" s="1"/>
  <c r="J612" i="2"/>
  <c r="J608" i="2" s="1"/>
  <c r="K612" i="2"/>
  <c r="L612" i="2"/>
  <c r="M612" i="2"/>
  <c r="N612" i="2"/>
  <c r="O612" i="2"/>
  <c r="P612" i="2"/>
  <c r="Q612" i="2"/>
  <c r="Q608" i="2" s="1"/>
  <c r="R612" i="2"/>
  <c r="R608" i="2" s="1"/>
  <c r="S612" i="2"/>
  <c r="T612" i="2"/>
  <c r="U612" i="2"/>
  <c r="V612" i="2"/>
  <c r="W612" i="2"/>
  <c r="X612" i="2"/>
  <c r="Y612" i="2"/>
  <c r="Y608" i="2" s="1"/>
  <c r="F619" i="2"/>
  <c r="F618" i="2" s="1"/>
  <c r="G619" i="2"/>
  <c r="G618" i="2" s="1"/>
  <c r="H619" i="2"/>
  <c r="H618" i="2" s="1"/>
  <c r="I619" i="2"/>
  <c r="I618" i="2" s="1"/>
  <c r="J619" i="2"/>
  <c r="J618" i="2" s="1"/>
  <c r="K619" i="2"/>
  <c r="K618" i="2" s="1"/>
  <c r="L619" i="2"/>
  <c r="L618" i="2" s="1"/>
  <c r="M619" i="2"/>
  <c r="M618" i="2" s="1"/>
  <c r="N619" i="2"/>
  <c r="N618" i="2" s="1"/>
  <c r="O619" i="2"/>
  <c r="O618" i="2" s="1"/>
  <c r="P619" i="2"/>
  <c r="P618" i="2" s="1"/>
  <c r="Q619" i="2"/>
  <c r="Q618" i="2" s="1"/>
  <c r="R619" i="2"/>
  <c r="R618" i="2" s="1"/>
  <c r="S619" i="2"/>
  <c r="S618" i="2" s="1"/>
  <c r="T619" i="2"/>
  <c r="T618" i="2" s="1"/>
  <c r="U619" i="2"/>
  <c r="U618" i="2" s="1"/>
  <c r="V619" i="2"/>
  <c r="V618" i="2" s="1"/>
  <c r="W619" i="2"/>
  <c r="W618" i="2" s="1"/>
  <c r="X619" i="2"/>
  <c r="X618" i="2" s="1"/>
  <c r="Y619" i="2"/>
  <c r="Y618" i="2" s="1"/>
  <c r="F622" i="2"/>
  <c r="F621" i="2" s="1"/>
  <c r="G622" i="2"/>
  <c r="G621" i="2" s="1"/>
  <c r="H622" i="2"/>
  <c r="H621" i="2" s="1"/>
  <c r="I622" i="2"/>
  <c r="I621" i="2" s="1"/>
  <c r="J622" i="2"/>
  <c r="J621" i="2" s="1"/>
  <c r="K622" i="2"/>
  <c r="K621" i="2" s="1"/>
  <c r="L622" i="2"/>
  <c r="L621" i="2" s="1"/>
  <c r="M622" i="2"/>
  <c r="M621" i="2" s="1"/>
  <c r="N622" i="2"/>
  <c r="N621" i="2" s="1"/>
  <c r="O622" i="2"/>
  <c r="O621" i="2" s="1"/>
  <c r="P622" i="2"/>
  <c r="P621" i="2" s="1"/>
  <c r="Q622" i="2"/>
  <c r="Q621" i="2" s="1"/>
  <c r="R622" i="2"/>
  <c r="R621" i="2" s="1"/>
  <c r="S622" i="2"/>
  <c r="S621" i="2" s="1"/>
  <c r="T622" i="2"/>
  <c r="T621" i="2" s="1"/>
  <c r="U622" i="2"/>
  <c r="U621" i="2" s="1"/>
  <c r="V622" i="2"/>
  <c r="V621" i="2" s="1"/>
  <c r="W622" i="2"/>
  <c r="W621" i="2" s="1"/>
  <c r="X622" i="2"/>
  <c r="X621" i="2" s="1"/>
  <c r="Y622" i="2"/>
  <c r="Y621" i="2" s="1"/>
  <c r="F625" i="2"/>
  <c r="G625" i="2"/>
  <c r="H625" i="2"/>
  <c r="I625" i="2"/>
  <c r="J625" i="2"/>
  <c r="K625" i="2"/>
  <c r="L625" i="2"/>
  <c r="M625" i="2"/>
  <c r="N625" i="2"/>
  <c r="O625" i="2"/>
  <c r="P625" i="2"/>
  <c r="Q625" i="2"/>
  <c r="R625" i="2"/>
  <c r="S625" i="2"/>
  <c r="T625" i="2"/>
  <c r="U625" i="2"/>
  <c r="V625" i="2"/>
  <c r="W625" i="2"/>
  <c r="X625" i="2"/>
  <c r="Y625" i="2"/>
  <c r="F627" i="2"/>
  <c r="G627" i="2"/>
  <c r="H627" i="2"/>
  <c r="I627" i="2"/>
  <c r="J627" i="2"/>
  <c r="K627" i="2"/>
  <c r="L627" i="2"/>
  <c r="M627" i="2"/>
  <c r="N627" i="2"/>
  <c r="O627" i="2"/>
  <c r="P627" i="2"/>
  <c r="Q627" i="2"/>
  <c r="R627" i="2"/>
  <c r="S627" i="2"/>
  <c r="T627" i="2"/>
  <c r="U627" i="2"/>
  <c r="V627" i="2"/>
  <c r="W627" i="2"/>
  <c r="X627" i="2"/>
  <c r="Y627" i="2"/>
  <c r="F629" i="2"/>
  <c r="G629" i="2"/>
  <c r="H629" i="2"/>
  <c r="I629" i="2"/>
  <c r="J629" i="2"/>
  <c r="K629" i="2"/>
  <c r="L629" i="2"/>
  <c r="M629" i="2"/>
  <c r="N629" i="2"/>
  <c r="O629" i="2"/>
  <c r="P629" i="2"/>
  <c r="Q629" i="2"/>
  <c r="R629" i="2"/>
  <c r="S629" i="2"/>
  <c r="T629" i="2"/>
  <c r="U629" i="2"/>
  <c r="V629" i="2"/>
  <c r="W629" i="2"/>
  <c r="X629" i="2"/>
  <c r="Y629" i="2"/>
  <c r="F631" i="2"/>
  <c r="G631" i="2"/>
  <c r="H631" i="2"/>
  <c r="I631" i="2"/>
  <c r="J631" i="2"/>
  <c r="K631" i="2"/>
  <c r="L631" i="2"/>
  <c r="M631" i="2"/>
  <c r="N631" i="2"/>
  <c r="O631" i="2"/>
  <c r="P631" i="2"/>
  <c r="Q631" i="2"/>
  <c r="R631" i="2"/>
  <c r="S631" i="2"/>
  <c r="T631" i="2"/>
  <c r="U631" i="2"/>
  <c r="V631" i="2"/>
  <c r="W631" i="2"/>
  <c r="X631" i="2"/>
  <c r="Y631" i="2"/>
  <c r="F633" i="2"/>
  <c r="G633" i="2"/>
  <c r="H633" i="2"/>
  <c r="I633" i="2"/>
  <c r="J633" i="2"/>
  <c r="K633" i="2"/>
  <c r="L633" i="2"/>
  <c r="M633" i="2"/>
  <c r="N633" i="2"/>
  <c r="O633" i="2"/>
  <c r="P633" i="2"/>
  <c r="Q633" i="2"/>
  <c r="R633" i="2"/>
  <c r="S633" i="2"/>
  <c r="T633" i="2"/>
  <c r="U633" i="2"/>
  <c r="V633" i="2"/>
  <c r="W633" i="2"/>
  <c r="X633" i="2"/>
  <c r="Y633" i="2"/>
  <c r="F635" i="2"/>
  <c r="G635" i="2"/>
  <c r="H635" i="2"/>
  <c r="I635" i="2"/>
  <c r="J635" i="2"/>
  <c r="K635" i="2"/>
  <c r="L635" i="2"/>
  <c r="M635" i="2"/>
  <c r="N635" i="2"/>
  <c r="O635" i="2"/>
  <c r="P635" i="2"/>
  <c r="Q635" i="2"/>
  <c r="R635" i="2"/>
  <c r="S635" i="2"/>
  <c r="T635" i="2"/>
  <c r="U635" i="2"/>
  <c r="V635" i="2"/>
  <c r="W635" i="2"/>
  <c r="X635" i="2"/>
  <c r="Y635" i="2"/>
  <c r="F637" i="2"/>
  <c r="G637" i="2"/>
  <c r="H637" i="2"/>
  <c r="I637" i="2"/>
  <c r="J637" i="2"/>
  <c r="K637" i="2"/>
  <c r="L637" i="2"/>
  <c r="M637" i="2"/>
  <c r="N637" i="2"/>
  <c r="O637" i="2"/>
  <c r="P637" i="2"/>
  <c r="Q637" i="2"/>
  <c r="R637" i="2"/>
  <c r="S637" i="2"/>
  <c r="T637" i="2"/>
  <c r="U637" i="2"/>
  <c r="V637" i="2"/>
  <c r="W637" i="2"/>
  <c r="X637" i="2"/>
  <c r="Y637" i="2"/>
  <c r="F640" i="2"/>
  <c r="G640" i="2"/>
  <c r="H640" i="2"/>
  <c r="I640" i="2"/>
  <c r="J640" i="2"/>
  <c r="K640" i="2"/>
  <c r="L640" i="2"/>
  <c r="M640" i="2"/>
  <c r="N640" i="2"/>
  <c r="O640" i="2"/>
  <c r="P640" i="2"/>
  <c r="Q640" i="2"/>
  <c r="R640" i="2"/>
  <c r="S640" i="2"/>
  <c r="T640" i="2"/>
  <c r="U640" i="2"/>
  <c r="V640" i="2"/>
  <c r="W640" i="2"/>
  <c r="X640" i="2"/>
  <c r="Y640" i="2"/>
  <c r="F643" i="2"/>
  <c r="G643" i="2"/>
  <c r="H643" i="2"/>
  <c r="I643" i="2"/>
  <c r="J643" i="2"/>
  <c r="K643" i="2"/>
  <c r="L643" i="2"/>
  <c r="M643" i="2"/>
  <c r="N643" i="2"/>
  <c r="O643" i="2"/>
  <c r="P643" i="2"/>
  <c r="Q643" i="2"/>
  <c r="R643" i="2"/>
  <c r="S643" i="2"/>
  <c r="T643" i="2"/>
  <c r="U643" i="2"/>
  <c r="V643" i="2"/>
  <c r="W643" i="2"/>
  <c r="X643" i="2"/>
  <c r="Y643" i="2"/>
  <c r="F646" i="2"/>
  <c r="G646" i="2"/>
  <c r="H646" i="2"/>
  <c r="I646" i="2"/>
  <c r="J646" i="2"/>
  <c r="K646" i="2"/>
  <c r="L646" i="2"/>
  <c r="M646" i="2"/>
  <c r="N646" i="2"/>
  <c r="O646" i="2"/>
  <c r="P646" i="2"/>
  <c r="Q646" i="2"/>
  <c r="R646" i="2"/>
  <c r="S646" i="2"/>
  <c r="T646" i="2"/>
  <c r="U646" i="2"/>
  <c r="V646" i="2"/>
  <c r="W646" i="2"/>
  <c r="X646" i="2"/>
  <c r="Y646" i="2"/>
  <c r="F648" i="2"/>
  <c r="G648" i="2"/>
  <c r="H648" i="2"/>
  <c r="I648" i="2"/>
  <c r="J648" i="2"/>
  <c r="K648" i="2"/>
  <c r="L648" i="2"/>
  <c r="M648" i="2"/>
  <c r="N648" i="2"/>
  <c r="O648" i="2"/>
  <c r="P648" i="2"/>
  <c r="Q648" i="2"/>
  <c r="R648" i="2"/>
  <c r="S648" i="2"/>
  <c r="T648" i="2"/>
  <c r="U648" i="2"/>
  <c r="V648" i="2"/>
  <c r="W648" i="2"/>
  <c r="X648" i="2"/>
  <c r="Y648" i="2"/>
  <c r="F650" i="2"/>
  <c r="G650" i="2"/>
  <c r="H650" i="2"/>
  <c r="I650" i="2"/>
  <c r="J650" i="2"/>
  <c r="K650" i="2"/>
  <c r="L650" i="2"/>
  <c r="M650" i="2"/>
  <c r="N650" i="2"/>
  <c r="O650" i="2"/>
  <c r="P650" i="2"/>
  <c r="Q650" i="2"/>
  <c r="R650" i="2"/>
  <c r="S650" i="2"/>
  <c r="T650" i="2"/>
  <c r="U650" i="2"/>
  <c r="V650" i="2"/>
  <c r="W650" i="2"/>
  <c r="X650" i="2"/>
  <c r="Y650" i="2"/>
  <c r="F652" i="2"/>
  <c r="G652" i="2"/>
  <c r="H652" i="2"/>
  <c r="I652" i="2"/>
  <c r="J652" i="2"/>
  <c r="K652" i="2"/>
  <c r="L652" i="2"/>
  <c r="M652" i="2"/>
  <c r="N652" i="2"/>
  <c r="O652" i="2"/>
  <c r="P652" i="2"/>
  <c r="Q652" i="2"/>
  <c r="R652" i="2"/>
  <c r="S652" i="2"/>
  <c r="T652" i="2"/>
  <c r="U652" i="2"/>
  <c r="V652" i="2"/>
  <c r="W652" i="2"/>
  <c r="X652" i="2"/>
  <c r="Y652" i="2"/>
  <c r="F654" i="2"/>
  <c r="G654" i="2"/>
  <c r="H654" i="2"/>
  <c r="I654" i="2"/>
  <c r="J654" i="2"/>
  <c r="K654" i="2"/>
  <c r="L654" i="2"/>
  <c r="M654" i="2"/>
  <c r="N654" i="2"/>
  <c r="O654" i="2"/>
  <c r="P654" i="2"/>
  <c r="Q654" i="2"/>
  <c r="R654" i="2"/>
  <c r="S654" i="2"/>
  <c r="T654" i="2"/>
  <c r="U654" i="2"/>
  <c r="V654" i="2"/>
  <c r="W654" i="2"/>
  <c r="X654" i="2"/>
  <c r="Y654" i="2"/>
  <c r="F656" i="2"/>
  <c r="G656" i="2"/>
  <c r="H656" i="2"/>
  <c r="I656" i="2"/>
  <c r="J656" i="2"/>
  <c r="K656" i="2"/>
  <c r="L656" i="2"/>
  <c r="M656" i="2"/>
  <c r="N656" i="2"/>
  <c r="O656" i="2"/>
  <c r="P656" i="2"/>
  <c r="Q656" i="2"/>
  <c r="R656" i="2"/>
  <c r="S656" i="2"/>
  <c r="T656" i="2"/>
  <c r="U656" i="2"/>
  <c r="V656" i="2"/>
  <c r="W656" i="2"/>
  <c r="X656" i="2"/>
  <c r="Y656" i="2"/>
  <c r="F658" i="2"/>
  <c r="G658" i="2"/>
  <c r="H658" i="2"/>
  <c r="I658" i="2"/>
  <c r="J658" i="2"/>
  <c r="K658" i="2"/>
  <c r="L658" i="2"/>
  <c r="M658" i="2"/>
  <c r="N658" i="2"/>
  <c r="O658" i="2"/>
  <c r="P658" i="2"/>
  <c r="Q658" i="2"/>
  <c r="R658" i="2"/>
  <c r="S658" i="2"/>
  <c r="T658" i="2"/>
  <c r="U658" i="2"/>
  <c r="V658" i="2"/>
  <c r="W658" i="2"/>
  <c r="X658" i="2"/>
  <c r="Y658" i="2"/>
  <c r="F660" i="2"/>
  <c r="G660" i="2"/>
  <c r="H660" i="2"/>
  <c r="I660" i="2"/>
  <c r="J660" i="2"/>
  <c r="K660" i="2"/>
  <c r="L660" i="2"/>
  <c r="M660" i="2"/>
  <c r="N660" i="2"/>
  <c r="O660" i="2"/>
  <c r="P660" i="2"/>
  <c r="Q660" i="2"/>
  <c r="R660" i="2"/>
  <c r="S660" i="2"/>
  <c r="T660" i="2"/>
  <c r="U660" i="2"/>
  <c r="V660" i="2"/>
  <c r="W660" i="2"/>
  <c r="X660" i="2"/>
  <c r="Y660" i="2"/>
  <c r="F662" i="2"/>
  <c r="G662" i="2"/>
  <c r="H662" i="2"/>
  <c r="I662" i="2"/>
  <c r="J662" i="2"/>
  <c r="K662" i="2"/>
  <c r="L662" i="2"/>
  <c r="M662" i="2"/>
  <c r="N662" i="2"/>
  <c r="O662" i="2"/>
  <c r="P662" i="2"/>
  <c r="Q662" i="2"/>
  <c r="R662" i="2"/>
  <c r="S662" i="2"/>
  <c r="T662" i="2"/>
  <c r="U662" i="2"/>
  <c r="V662" i="2"/>
  <c r="W662" i="2"/>
  <c r="X662" i="2"/>
  <c r="Y662" i="2"/>
  <c r="F664" i="2"/>
  <c r="G664" i="2"/>
  <c r="H664" i="2"/>
  <c r="I664" i="2"/>
  <c r="J664" i="2"/>
  <c r="K664" i="2"/>
  <c r="L664" i="2"/>
  <c r="M664" i="2"/>
  <c r="N664" i="2"/>
  <c r="O664" i="2"/>
  <c r="P664" i="2"/>
  <c r="Q664" i="2"/>
  <c r="R664" i="2"/>
  <c r="S664" i="2"/>
  <c r="T664" i="2"/>
  <c r="U664" i="2"/>
  <c r="V664" i="2"/>
  <c r="W664" i="2"/>
  <c r="X664" i="2"/>
  <c r="Y664" i="2"/>
  <c r="F666" i="2"/>
  <c r="G666" i="2"/>
  <c r="H666" i="2"/>
  <c r="I666" i="2"/>
  <c r="J666" i="2"/>
  <c r="K666" i="2"/>
  <c r="L666" i="2"/>
  <c r="M666" i="2"/>
  <c r="N666" i="2"/>
  <c r="O666" i="2"/>
  <c r="P666" i="2"/>
  <c r="Q666" i="2"/>
  <c r="R666" i="2"/>
  <c r="S666" i="2"/>
  <c r="T666" i="2"/>
  <c r="U666" i="2"/>
  <c r="V666" i="2"/>
  <c r="W666" i="2"/>
  <c r="X666" i="2"/>
  <c r="Y666" i="2"/>
  <c r="F668" i="2"/>
  <c r="G668" i="2"/>
  <c r="H668" i="2"/>
  <c r="I668" i="2"/>
  <c r="J668" i="2"/>
  <c r="K668" i="2"/>
  <c r="L668" i="2"/>
  <c r="M668" i="2"/>
  <c r="N668" i="2"/>
  <c r="O668" i="2"/>
  <c r="P668" i="2"/>
  <c r="Q668" i="2"/>
  <c r="R668" i="2"/>
  <c r="S668" i="2"/>
  <c r="T668" i="2"/>
  <c r="U668" i="2"/>
  <c r="V668" i="2"/>
  <c r="W668" i="2"/>
  <c r="X668" i="2"/>
  <c r="Y668" i="2"/>
  <c r="F670" i="2"/>
  <c r="G670" i="2"/>
  <c r="H670" i="2"/>
  <c r="I670" i="2"/>
  <c r="J670" i="2"/>
  <c r="K670" i="2"/>
  <c r="L670" i="2"/>
  <c r="M670" i="2"/>
  <c r="N670" i="2"/>
  <c r="O670" i="2"/>
  <c r="P670" i="2"/>
  <c r="Q670" i="2"/>
  <c r="R670" i="2"/>
  <c r="S670" i="2"/>
  <c r="T670" i="2"/>
  <c r="U670" i="2"/>
  <c r="V670" i="2"/>
  <c r="W670" i="2"/>
  <c r="X670" i="2"/>
  <c r="Y670" i="2"/>
  <c r="F672" i="2"/>
  <c r="G672" i="2"/>
  <c r="H672" i="2"/>
  <c r="I672" i="2"/>
  <c r="J672" i="2"/>
  <c r="K672" i="2"/>
  <c r="L672" i="2"/>
  <c r="M672" i="2"/>
  <c r="N672" i="2"/>
  <c r="O672" i="2"/>
  <c r="P672" i="2"/>
  <c r="Q672" i="2"/>
  <c r="R672" i="2"/>
  <c r="S672" i="2"/>
  <c r="T672" i="2"/>
  <c r="U672" i="2"/>
  <c r="V672" i="2"/>
  <c r="W672" i="2"/>
  <c r="X672" i="2"/>
  <c r="Y672" i="2"/>
  <c r="F674" i="2"/>
  <c r="G674" i="2"/>
  <c r="H674" i="2"/>
  <c r="I674" i="2"/>
  <c r="J674" i="2"/>
  <c r="K674" i="2"/>
  <c r="L674" i="2"/>
  <c r="M674" i="2"/>
  <c r="N674" i="2"/>
  <c r="O674" i="2"/>
  <c r="P674" i="2"/>
  <c r="Q674" i="2"/>
  <c r="R674" i="2"/>
  <c r="S674" i="2"/>
  <c r="T674" i="2"/>
  <c r="U674" i="2"/>
  <c r="V674" i="2"/>
  <c r="W674" i="2"/>
  <c r="X674" i="2"/>
  <c r="Y674" i="2"/>
  <c r="F676" i="2"/>
  <c r="G676" i="2"/>
  <c r="H676" i="2"/>
  <c r="I676" i="2"/>
  <c r="J676" i="2"/>
  <c r="K676" i="2"/>
  <c r="L676" i="2"/>
  <c r="M676" i="2"/>
  <c r="N676" i="2"/>
  <c r="O676" i="2"/>
  <c r="P676" i="2"/>
  <c r="Q676" i="2"/>
  <c r="R676" i="2"/>
  <c r="S676" i="2"/>
  <c r="T676" i="2"/>
  <c r="U676" i="2"/>
  <c r="V676" i="2"/>
  <c r="W676" i="2"/>
  <c r="X676" i="2"/>
  <c r="Y676" i="2"/>
  <c r="F678" i="2"/>
  <c r="G678" i="2"/>
  <c r="H678" i="2"/>
  <c r="I678" i="2"/>
  <c r="J678" i="2"/>
  <c r="K678" i="2"/>
  <c r="L678" i="2"/>
  <c r="M678" i="2"/>
  <c r="N678" i="2"/>
  <c r="O678" i="2"/>
  <c r="P678" i="2"/>
  <c r="Q678" i="2"/>
  <c r="R678" i="2"/>
  <c r="S678" i="2"/>
  <c r="T678" i="2"/>
  <c r="U678" i="2"/>
  <c r="V678" i="2"/>
  <c r="W678" i="2"/>
  <c r="X678" i="2"/>
  <c r="Y678" i="2"/>
  <c r="F680" i="2"/>
  <c r="G680" i="2"/>
  <c r="H680" i="2"/>
  <c r="I680" i="2"/>
  <c r="J680" i="2"/>
  <c r="K680" i="2"/>
  <c r="L680" i="2"/>
  <c r="M680" i="2"/>
  <c r="N680" i="2"/>
  <c r="O680" i="2"/>
  <c r="P680" i="2"/>
  <c r="Q680" i="2"/>
  <c r="R680" i="2"/>
  <c r="S680" i="2"/>
  <c r="T680" i="2"/>
  <c r="U680" i="2"/>
  <c r="V680" i="2"/>
  <c r="W680" i="2"/>
  <c r="X680" i="2"/>
  <c r="Y680" i="2"/>
  <c r="F682" i="2"/>
  <c r="G682" i="2"/>
  <c r="H682" i="2"/>
  <c r="I682" i="2"/>
  <c r="J682" i="2"/>
  <c r="K682" i="2"/>
  <c r="L682" i="2"/>
  <c r="M682" i="2"/>
  <c r="N682" i="2"/>
  <c r="O682" i="2"/>
  <c r="P682" i="2"/>
  <c r="Q682" i="2"/>
  <c r="R682" i="2"/>
  <c r="S682" i="2"/>
  <c r="T682" i="2"/>
  <c r="U682" i="2"/>
  <c r="V682" i="2"/>
  <c r="W682" i="2"/>
  <c r="X682" i="2"/>
  <c r="Y682" i="2"/>
  <c r="F684" i="2"/>
  <c r="G684" i="2"/>
  <c r="H684" i="2"/>
  <c r="I684" i="2"/>
  <c r="J684" i="2"/>
  <c r="K684" i="2"/>
  <c r="L684" i="2"/>
  <c r="M684" i="2"/>
  <c r="N684" i="2"/>
  <c r="O684" i="2"/>
  <c r="P684" i="2"/>
  <c r="Q684" i="2"/>
  <c r="R684" i="2"/>
  <c r="S684" i="2"/>
  <c r="T684" i="2"/>
  <c r="U684" i="2"/>
  <c r="V684" i="2"/>
  <c r="W684" i="2"/>
  <c r="X684" i="2"/>
  <c r="Y684" i="2"/>
  <c r="F686" i="2"/>
  <c r="G686" i="2"/>
  <c r="H686" i="2"/>
  <c r="I686" i="2"/>
  <c r="J686" i="2"/>
  <c r="K686" i="2"/>
  <c r="L686" i="2"/>
  <c r="M686" i="2"/>
  <c r="N686" i="2"/>
  <c r="O686" i="2"/>
  <c r="P686" i="2"/>
  <c r="Q686" i="2"/>
  <c r="R686" i="2"/>
  <c r="S686" i="2"/>
  <c r="T686" i="2"/>
  <c r="U686" i="2"/>
  <c r="V686" i="2"/>
  <c r="W686" i="2"/>
  <c r="X686" i="2"/>
  <c r="Y686" i="2"/>
  <c r="F688" i="2"/>
  <c r="G688" i="2"/>
  <c r="H688" i="2"/>
  <c r="I688" i="2"/>
  <c r="J688" i="2"/>
  <c r="K688" i="2"/>
  <c r="L688" i="2"/>
  <c r="M688" i="2"/>
  <c r="N688" i="2"/>
  <c r="O688" i="2"/>
  <c r="P688" i="2"/>
  <c r="Q688" i="2"/>
  <c r="R688" i="2"/>
  <c r="S688" i="2"/>
  <c r="T688" i="2"/>
  <c r="U688" i="2"/>
  <c r="V688" i="2"/>
  <c r="W688" i="2"/>
  <c r="X688" i="2"/>
  <c r="Y688" i="2"/>
  <c r="F690" i="2"/>
  <c r="G690" i="2"/>
  <c r="H690" i="2"/>
  <c r="I690" i="2"/>
  <c r="J690" i="2"/>
  <c r="K690" i="2"/>
  <c r="L690" i="2"/>
  <c r="M690" i="2"/>
  <c r="N690" i="2"/>
  <c r="O690" i="2"/>
  <c r="P690" i="2"/>
  <c r="Q690" i="2"/>
  <c r="R690" i="2"/>
  <c r="S690" i="2"/>
  <c r="T690" i="2"/>
  <c r="U690" i="2"/>
  <c r="V690" i="2"/>
  <c r="W690" i="2"/>
  <c r="X690" i="2"/>
  <c r="Y690" i="2"/>
  <c r="F692" i="2"/>
  <c r="G692" i="2"/>
  <c r="H692" i="2"/>
  <c r="I692" i="2"/>
  <c r="J692" i="2"/>
  <c r="K692" i="2"/>
  <c r="L692" i="2"/>
  <c r="M692" i="2"/>
  <c r="N692" i="2"/>
  <c r="O692" i="2"/>
  <c r="P692" i="2"/>
  <c r="Q692" i="2"/>
  <c r="R692" i="2"/>
  <c r="S692" i="2"/>
  <c r="T692" i="2"/>
  <c r="U692" i="2"/>
  <c r="V692" i="2"/>
  <c r="W692" i="2"/>
  <c r="X692" i="2"/>
  <c r="Y692" i="2"/>
  <c r="F694" i="2"/>
  <c r="G694" i="2"/>
  <c r="H694" i="2"/>
  <c r="I694" i="2"/>
  <c r="J694" i="2"/>
  <c r="K694" i="2"/>
  <c r="L694" i="2"/>
  <c r="M694" i="2"/>
  <c r="N694" i="2"/>
  <c r="O694" i="2"/>
  <c r="P694" i="2"/>
  <c r="Q694" i="2"/>
  <c r="R694" i="2"/>
  <c r="S694" i="2"/>
  <c r="T694" i="2"/>
  <c r="U694" i="2"/>
  <c r="V694" i="2"/>
  <c r="W694" i="2"/>
  <c r="X694" i="2"/>
  <c r="Y694" i="2"/>
  <c r="F696" i="2"/>
  <c r="G696" i="2"/>
  <c r="H696" i="2"/>
  <c r="I696" i="2"/>
  <c r="J696" i="2"/>
  <c r="K696" i="2"/>
  <c r="L696" i="2"/>
  <c r="M696" i="2"/>
  <c r="N696" i="2"/>
  <c r="O696" i="2"/>
  <c r="P696" i="2"/>
  <c r="Q696" i="2"/>
  <c r="R696" i="2"/>
  <c r="S696" i="2"/>
  <c r="T696" i="2"/>
  <c r="U696" i="2"/>
  <c r="V696" i="2"/>
  <c r="W696" i="2"/>
  <c r="X696" i="2"/>
  <c r="Y696" i="2"/>
  <c r="F698" i="2"/>
  <c r="G698" i="2"/>
  <c r="H698" i="2"/>
  <c r="I698" i="2"/>
  <c r="J698" i="2"/>
  <c r="K698" i="2"/>
  <c r="L698" i="2"/>
  <c r="M698" i="2"/>
  <c r="N698" i="2"/>
  <c r="O698" i="2"/>
  <c r="P698" i="2"/>
  <c r="Q698" i="2"/>
  <c r="R698" i="2"/>
  <c r="S698" i="2"/>
  <c r="T698" i="2"/>
  <c r="U698" i="2"/>
  <c r="V698" i="2"/>
  <c r="W698" i="2"/>
  <c r="X698" i="2"/>
  <c r="Y698" i="2"/>
  <c r="F700" i="2"/>
  <c r="G700" i="2"/>
  <c r="H700" i="2"/>
  <c r="I700" i="2"/>
  <c r="J700" i="2"/>
  <c r="K700" i="2"/>
  <c r="L700" i="2"/>
  <c r="M700" i="2"/>
  <c r="N700" i="2"/>
  <c r="O700" i="2"/>
  <c r="P700" i="2"/>
  <c r="Q700" i="2"/>
  <c r="R700" i="2"/>
  <c r="S700" i="2"/>
  <c r="T700" i="2"/>
  <c r="U700" i="2"/>
  <c r="V700" i="2"/>
  <c r="W700" i="2"/>
  <c r="X700" i="2"/>
  <c r="Y700" i="2"/>
  <c r="F702" i="2"/>
  <c r="G702" i="2"/>
  <c r="H702" i="2"/>
  <c r="I702" i="2"/>
  <c r="J702" i="2"/>
  <c r="K702" i="2"/>
  <c r="L702" i="2"/>
  <c r="M702" i="2"/>
  <c r="N702" i="2"/>
  <c r="O702" i="2"/>
  <c r="P702" i="2"/>
  <c r="Q702" i="2"/>
  <c r="R702" i="2"/>
  <c r="S702" i="2"/>
  <c r="T702" i="2"/>
  <c r="U702" i="2"/>
  <c r="V702" i="2"/>
  <c r="W702" i="2"/>
  <c r="X702" i="2"/>
  <c r="Y702" i="2"/>
  <c r="F704" i="2"/>
  <c r="G704" i="2"/>
  <c r="H704" i="2"/>
  <c r="I704" i="2"/>
  <c r="J704" i="2"/>
  <c r="K704" i="2"/>
  <c r="L704" i="2"/>
  <c r="M704" i="2"/>
  <c r="N704" i="2"/>
  <c r="O704" i="2"/>
  <c r="P704" i="2"/>
  <c r="Q704" i="2"/>
  <c r="R704" i="2"/>
  <c r="S704" i="2"/>
  <c r="T704" i="2"/>
  <c r="U704" i="2"/>
  <c r="V704" i="2"/>
  <c r="W704" i="2"/>
  <c r="X704" i="2"/>
  <c r="Y704" i="2"/>
  <c r="F706" i="2"/>
  <c r="G706" i="2"/>
  <c r="H706" i="2"/>
  <c r="I706" i="2"/>
  <c r="J706" i="2"/>
  <c r="K706" i="2"/>
  <c r="L706" i="2"/>
  <c r="M706" i="2"/>
  <c r="N706" i="2"/>
  <c r="O706" i="2"/>
  <c r="P706" i="2"/>
  <c r="Q706" i="2"/>
  <c r="R706" i="2"/>
  <c r="S706" i="2"/>
  <c r="T706" i="2"/>
  <c r="U706" i="2"/>
  <c r="V706" i="2"/>
  <c r="W706" i="2"/>
  <c r="X706" i="2"/>
  <c r="Y706" i="2"/>
  <c r="F708" i="2"/>
  <c r="G708" i="2"/>
  <c r="H708" i="2"/>
  <c r="I708" i="2"/>
  <c r="J708" i="2"/>
  <c r="K708" i="2"/>
  <c r="L708" i="2"/>
  <c r="M708" i="2"/>
  <c r="N708" i="2"/>
  <c r="O708" i="2"/>
  <c r="P708" i="2"/>
  <c r="Q708" i="2"/>
  <c r="R708" i="2"/>
  <c r="S708" i="2"/>
  <c r="T708" i="2"/>
  <c r="U708" i="2"/>
  <c r="V708" i="2"/>
  <c r="W708" i="2"/>
  <c r="X708" i="2"/>
  <c r="Y708" i="2"/>
  <c r="F710" i="2"/>
  <c r="G710" i="2"/>
  <c r="H710" i="2"/>
  <c r="I710" i="2"/>
  <c r="J710" i="2"/>
  <c r="K710" i="2"/>
  <c r="L710" i="2"/>
  <c r="M710" i="2"/>
  <c r="N710" i="2"/>
  <c r="O710" i="2"/>
  <c r="P710" i="2"/>
  <c r="Q710" i="2"/>
  <c r="R710" i="2"/>
  <c r="S710" i="2"/>
  <c r="T710" i="2"/>
  <c r="U710" i="2"/>
  <c r="V710" i="2"/>
  <c r="W710" i="2"/>
  <c r="X710" i="2"/>
  <c r="Y710" i="2"/>
  <c r="F712" i="2"/>
  <c r="G712" i="2"/>
  <c r="H712" i="2"/>
  <c r="I712" i="2"/>
  <c r="J712" i="2"/>
  <c r="K712" i="2"/>
  <c r="L712" i="2"/>
  <c r="M712" i="2"/>
  <c r="N712" i="2"/>
  <c r="O712" i="2"/>
  <c r="P712" i="2"/>
  <c r="Q712" i="2"/>
  <c r="R712" i="2"/>
  <c r="S712" i="2"/>
  <c r="T712" i="2"/>
  <c r="U712" i="2"/>
  <c r="V712" i="2"/>
  <c r="W712" i="2"/>
  <c r="X712" i="2"/>
  <c r="Y712" i="2"/>
  <c r="F715" i="2"/>
  <c r="F714" i="2" s="1"/>
  <c r="G715" i="2"/>
  <c r="G714" i="2" s="1"/>
  <c r="H715" i="2"/>
  <c r="H714" i="2" s="1"/>
  <c r="I715" i="2"/>
  <c r="I714" i="2" s="1"/>
  <c r="J715" i="2"/>
  <c r="J714" i="2" s="1"/>
  <c r="K715" i="2"/>
  <c r="K714" i="2" s="1"/>
  <c r="L715" i="2"/>
  <c r="L714" i="2" s="1"/>
  <c r="M715" i="2"/>
  <c r="M714" i="2" s="1"/>
  <c r="N715" i="2"/>
  <c r="N714" i="2" s="1"/>
  <c r="O715" i="2"/>
  <c r="O714" i="2" s="1"/>
  <c r="P715" i="2"/>
  <c r="P714" i="2" s="1"/>
  <c r="Q715" i="2"/>
  <c r="Q714" i="2" s="1"/>
  <c r="R715" i="2"/>
  <c r="R714" i="2" s="1"/>
  <c r="S715" i="2"/>
  <c r="S714" i="2" s="1"/>
  <c r="T715" i="2"/>
  <c r="T714" i="2" s="1"/>
  <c r="U715" i="2"/>
  <c r="U714" i="2" s="1"/>
  <c r="V715" i="2"/>
  <c r="V714" i="2" s="1"/>
  <c r="W715" i="2"/>
  <c r="W714" i="2" s="1"/>
  <c r="X715" i="2"/>
  <c r="X714" i="2" s="1"/>
  <c r="Y715" i="2"/>
  <c r="Y714" i="2" s="1"/>
  <c r="F718" i="2"/>
  <c r="G718" i="2"/>
  <c r="H718" i="2"/>
  <c r="I718" i="2"/>
  <c r="J718" i="2"/>
  <c r="K718" i="2"/>
  <c r="L718" i="2"/>
  <c r="M718" i="2"/>
  <c r="N718" i="2"/>
  <c r="O718" i="2"/>
  <c r="P718" i="2"/>
  <c r="Q718" i="2"/>
  <c r="R718" i="2"/>
  <c r="S718" i="2"/>
  <c r="T718" i="2"/>
  <c r="U718" i="2"/>
  <c r="V718" i="2"/>
  <c r="W718" i="2"/>
  <c r="X718" i="2"/>
  <c r="Y718" i="2"/>
  <c r="F720" i="2"/>
  <c r="G720" i="2"/>
  <c r="H720" i="2"/>
  <c r="I720" i="2"/>
  <c r="J720" i="2"/>
  <c r="K720" i="2"/>
  <c r="L720" i="2"/>
  <c r="M720" i="2"/>
  <c r="N720" i="2"/>
  <c r="O720" i="2"/>
  <c r="P720" i="2"/>
  <c r="Q720" i="2"/>
  <c r="R720" i="2"/>
  <c r="S720" i="2"/>
  <c r="T720" i="2"/>
  <c r="U720" i="2"/>
  <c r="V720" i="2"/>
  <c r="W720" i="2"/>
  <c r="X720" i="2"/>
  <c r="Y720" i="2"/>
  <c r="F722" i="2"/>
  <c r="G722" i="2"/>
  <c r="H722" i="2"/>
  <c r="I722" i="2"/>
  <c r="J722" i="2"/>
  <c r="K722" i="2"/>
  <c r="L722" i="2"/>
  <c r="M722" i="2"/>
  <c r="N722" i="2"/>
  <c r="O722" i="2"/>
  <c r="P722" i="2"/>
  <c r="Q722" i="2"/>
  <c r="R722" i="2"/>
  <c r="S722" i="2"/>
  <c r="T722" i="2"/>
  <c r="U722" i="2"/>
  <c r="V722" i="2"/>
  <c r="W722" i="2"/>
  <c r="X722" i="2"/>
  <c r="Y722" i="2"/>
  <c r="F724" i="2"/>
  <c r="G724" i="2"/>
  <c r="H724" i="2"/>
  <c r="I724" i="2"/>
  <c r="J724" i="2"/>
  <c r="K724" i="2"/>
  <c r="L724" i="2"/>
  <c r="M724" i="2"/>
  <c r="N724" i="2"/>
  <c r="O724" i="2"/>
  <c r="P724" i="2"/>
  <c r="Q724" i="2"/>
  <c r="R724" i="2"/>
  <c r="S724" i="2"/>
  <c r="T724" i="2"/>
  <c r="U724" i="2"/>
  <c r="V724" i="2"/>
  <c r="W724" i="2"/>
  <c r="X724" i="2"/>
  <c r="Y724" i="2"/>
  <c r="F726" i="2"/>
  <c r="G726" i="2"/>
  <c r="H726" i="2"/>
  <c r="I726" i="2"/>
  <c r="J726" i="2"/>
  <c r="K726" i="2"/>
  <c r="L726" i="2"/>
  <c r="M726" i="2"/>
  <c r="N726" i="2"/>
  <c r="O726" i="2"/>
  <c r="P726" i="2"/>
  <c r="Q726" i="2"/>
  <c r="R726" i="2"/>
  <c r="S726" i="2"/>
  <c r="T726" i="2"/>
  <c r="U726" i="2"/>
  <c r="V726" i="2"/>
  <c r="W726" i="2"/>
  <c r="X726" i="2"/>
  <c r="Y726" i="2"/>
  <c r="F728" i="2"/>
  <c r="G728" i="2"/>
  <c r="H728" i="2"/>
  <c r="I728" i="2"/>
  <c r="J728" i="2"/>
  <c r="K728" i="2"/>
  <c r="L728" i="2"/>
  <c r="M728" i="2"/>
  <c r="N728" i="2"/>
  <c r="O728" i="2"/>
  <c r="P728" i="2"/>
  <c r="Q728" i="2"/>
  <c r="R728" i="2"/>
  <c r="S728" i="2"/>
  <c r="T728" i="2"/>
  <c r="U728" i="2"/>
  <c r="V728" i="2"/>
  <c r="W728" i="2"/>
  <c r="X728" i="2"/>
  <c r="Y728" i="2"/>
  <c r="F730" i="2"/>
  <c r="G730" i="2"/>
  <c r="H730" i="2"/>
  <c r="I730" i="2"/>
  <c r="J730" i="2"/>
  <c r="K730" i="2"/>
  <c r="L730" i="2"/>
  <c r="M730" i="2"/>
  <c r="N730" i="2"/>
  <c r="O730" i="2"/>
  <c r="P730" i="2"/>
  <c r="Q730" i="2"/>
  <c r="R730" i="2"/>
  <c r="S730" i="2"/>
  <c r="T730" i="2"/>
  <c r="U730" i="2"/>
  <c r="V730" i="2"/>
  <c r="W730" i="2"/>
  <c r="X730" i="2"/>
  <c r="Y730" i="2"/>
  <c r="F732" i="2"/>
  <c r="G732" i="2"/>
  <c r="H732" i="2"/>
  <c r="I732" i="2"/>
  <c r="J732" i="2"/>
  <c r="K732" i="2"/>
  <c r="L732" i="2"/>
  <c r="M732" i="2"/>
  <c r="N732" i="2"/>
  <c r="O732" i="2"/>
  <c r="P732" i="2"/>
  <c r="Q732" i="2"/>
  <c r="R732" i="2"/>
  <c r="S732" i="2"/>
  <c r="T732" i="2"/>
  <c r="U732" i="2"/>
  <c r="V732" i="2"/>
  <c r="W732" i="2"/>
  <c r="X732" i="2"/>
  <c r="Y732" i="2"/>
  <c r="F734" i="2"/>
  <c r="G734" i="2"/>
  <c r="H734" i="2"/>
  <c r="I734" i="2"/>
  <c r="J734" i="2"/>
  <c r="K734" i="2"/>
  <c r="L734" i="2"/>
  <c r="M734" i="2"/>
  <c r="N734" i="2"/>
  <c r="O734" i="2"/>
  <c r="P734" i="2"/>
  <c r="Q734" i="2"/>
  <c r="R734" i="2"/>
  <c r="S734" i="2"/>
  <c r="T734" i="2"/>
  <c r="U734" i="2"/>
  <c r="V734" i="2"/>
  <c r="W734" i="2"/>
  <c r="X734" i="2"/>
  <c r="Y734" i="2"/>
  <c r="F736" i="2"/>
  <c r="G736" i="2"/>
  <c r="H736" i="2"/>
  <c r="I736" i="2"/>
  <c r="J736" i="2"/>
  <c r="K736" i="2"/>
  <c r="L736" i="2"/>
  <c r="M736" i="2"/>
  <c r="N736" i="2"/>
  <c r="O736" i="2"/>
  <c r="P736" i="2"/>
  <c r="Q736" i="2"/>
  <c r="R736" i="2"/>
  <c r="S736" i="2"/>
  <c r="T736" i="2"/>
  <c r="U736" i="2"/>
  <c r="V736" i="2"/>
  <c r="W736" i="2"/>
  <c r="X736" i="2"/>
  <c r="Y736" i="2"/>
  <c r="F738" i="2"/>
  <c r="G738" i="2"/>
  <c r="H738" i="2"/>
  <c r="I738" i="2"/>
  <c r="J738" i="2"/>
  <c r="K738" i="2"/>
  <c r="L738" i="2"/>
  <c r="M738" i="2"/>
  <c r="N738" i="2"/>
  <c r="O738" i="2"/>
  <c r="P738" i="2"/>
  <c r="Q738" i="2"/>
  <c r="R738" i="2"/>
  <c r="S738" i="2"/>
  <c r="T738" i="2"/>
  <c r="U738" i="2"/>
  <c r="V738" i="2"/>
  <c r="W738" i="2"/>
  <c r="X738" i="2"/>
  <c r="Y738" i="2"/>
  <c r="F740" i="2"/>
  <c r="G740" i="2"/>
  <c r="H740" i="2"/>
  <c r="I740" i="2"/>
  <c r="J740" i="2"/>
  <c r="K740" i="2"/>
  <c r="L740" i="2"/>
  <c r="M740" i="2"/>
  <c r="N740" i="2"/>
  <c r="O740" i="2"/>
  <c r="P740" i="2"/>
  <c r="Q740" i="2"/>
  <c r="R740" i="2"/>
  <c r="S740" i="2"/>
  <c r="T740" i="2"/>
  <c r="U740" i="2"/>
  <c r="V740" i="2"/>
  <c r="W740" i="2"/>
  <c r="X740" i="2"/>
  <c r="Y740" i="2"/>
  <c r="F742" i="2"/>
  <c r="G742" i="2"/>
  <c r="H742" i="2"/>
  <c r="I742" i="2"/>
  <c r="J742" i="2"/>
  <c r="K742" i="2"/>
  <c r="L742" i="2"/>
  <c r="M742" i="2"/>
  <c r="N742" i="2"/>
  <c r="O742" i="2"/>
  <c r="P742" i="2"/>
  <c r="Q742" i="2"/>
  <c r="R742" i="2"/>
  <c r="S742" i="2"/>
  <c r="T742" i="2"/>
  <c r="U742" i="2"/>
  <c r="V742" i="2"/>
  <c r="W742" i="2"/>
  <c r="X742" i="2"/>
  <c r="Y742" i="2"/>
  <c r="F746" i="2"/>
  <c r="F745" i="2" s="1"/>
  <c r="G746" i="2"/>
  <c r="G745" i="2" s="1"/>
  <c r="H746" i="2"/>
  <c r="H745" i="2" s="1"/>
  <c r="I746" i="2"/>
  <c r="I745" i="2" s="1"/>
  <c r="J746" i="2"/>
  <c r="J745" i="2" s="1"/>
  <c r="K746" i="2"/>
  <c r="K745" i="2" s="1"/>
  <c r="L746" i="2"/>
  <c r="L745" i="2" s="1"/>
  <c r="M746" i="2"/>
  <c r="M745" i="2" s="1"/>
  <c r="N746" i="2"/>
  <c r="N745" i="2" s="1"/>
  <c r="O746" i="2"/>
  <c r="O745" i="2" s="1"/>
  <c r="P746" i="2"/>
  <c r="P745" i="2" s="1"/>
  <c r="Q746" i="2"/>
  <c r="Q745" i="2" s="1"/>
  <c r="R746" i="2"/>
  <c r="R745" i="2" s="1"/>
  <c r="S746" i="2"/>
  <c r="S745" i="2" s="1"/>
  <c r="T746" i="2"/>
  <c r="T745" i="2" s="1"/>
  <c r="U746" i="2"/>
  <c r="U745" i="2" s="1"/>
  <c r="V746" i="2"/>
  <c r="V745" i="2" s="1"/>
  <c r="W746" i="2"/>
  <c r="W745" i="2" s="1"/>
  <c r="X746" i="2"/>
  <c r="X745" i="2" s="1"/>
  <c r="Y746" i="2"/>
  <c r="Y745" i="2" s="1"/>
  <c r="F749" i="2"/>
  <c r="F748" i="2" s="1"/>
  <c r="G749" i="2"/>
  <c r="G748" i="2" s="1"/>
  <c r="H749" i="2"/>
  <c r="H748" i="2" s="1"/>
  <c r="I749" i="2"/>
  <c r="I748" i="2" s="1"/>
  <c r="J749" i="2"/>
  <c r="J748" i="2" s="1"/>
  <c r="K749" i="2"/>
  <c r="K748" i="2" s="1"/>
  <c r="L749" i="2"/>
  <c r="L748" i="2" s="1"/>
  <c r="M749" i="2"/>
  <c r="M748" i="2" s="1"/>
  <c r="N749" i="2"/>
  <c r="N748" i="2" s="1"/>
  <c r="O749" i="2"/>
  <c r="O748" i="2" s="1"/>
  <c r="P749" i="2"/>
  <c r="P748" i="2" s="1"/>
  <c r="Q749" i="2"/>
  <c r="Q748" i="2" s="1"/>
  <c r="R749" i="2"/>
  <c r="R748" i="2" s="1"/>
  <c r="S749" i="2"/>
  <c r="S748" i="2" s="1"/>
  <c r="T749" i="2"/>
  <c r="T748" i="2" s="1"/>
  <c r="U749" i="2"/>
  <c r="U748" i="2" s="1"/>
  <c r="V749" i="2"/>
  <c r="V748" i="2" s="1"/>
  <c r="W749" i="2"/>
  <c r="W748" i="2" s="1"/>
  <c r="X749" i="2"/>
  <c r="X748" i="2" s="1"/>
  <c r="Y749" i="2"/>
  <c r="Y748" i="2" s="1"/>
  <c r="F752" i="2"/>
  <c r="F751" i="2" s="1"/>
  <c r="G752" i="2"/>
  <c r="G751" i="2" s="1"/>
  <c r="H752" i="2"/>
  <c r="H751" i="2" s="1"/>
  <c r="I752" i="2"/>
  <c r="I751" i="2" s="1"/>
  <c r="J752" i="2"/>
  <c r="J751" i="2" s="1"/>
  <c r="K752" i="2"/>
  <c r="K751" i="2" s="1"/>
  <c r="L752" i="2"/>
  <c r="L751" i="2" s="1"/>
  <c r="M752" i="2"/>
  <c r="M751" i="2" s="1"/>
  <c r="N752" i="2"/>
  <c r="N751" i="2" s="1"/>
  <c r="O752" i="2"/>
  <c r="O751" i="2" s="1"/>
  <c r="P752" i="2"/>
  <c r="P751" i="2" s="1"/>
  <c r="Q752" i="2"/>
  <c r="Q751" i="2" s="1"/>
  <c r="R752" i="2"/>
  <c r="R751" i="2" s="1"/>
  <c r="S752" i="2"/>
  <c r="S751" i="2" s="1"/>
  <c r="T752" i="2"/>
  <c r="T751" i="2" s="1"/>
  <c r="U752" i="2"/>
  <c r="U751" i="2" s="1"/>
  <c r="V752" i="2"/>
  <c r="V751" i="2" s="1"/>
  <c r="W752" i="2"/>
  <c r="W751" i="2" s="1"/>
  <c r="X752" i="2"/>
  <c r="X751" i="2" s="1"/>
  <c r="Y752" i="2"/>
  <c r="Y751" i="2" s="1"/>
  <c r="F755" i="2"/>
  <c r="G755" i="2"/>
  <c r="H755" i="2"/>
  <c r="I755" i="2"/>
  <c r="J755" i="2"/>
  <c r="K755" i="2"/>
  <c r="L755" i="2"/>
  <c r="M755" i="2"/>
  <c r="N755" i="2"/>
  <c r="O755" i="2"/>
  <c r="P755" i="2"/>
  <c r="Q755" i="2"/>
  <c r="R755" i="2"/>
  <c r="S755" i="2"/>
  <c r="T755" i="2"/>
  <c r="U755" i="2"/>
  <c r="V755" i="2"/>
  <c r="W755" i="2"/>
  <c r="X755" i="2"/>
  <c r="Y755" i="2"/>
  <c r="F757" i="2"/>
  <c r="G757" i="2"/>
  <c r="H757" i="2"/>
  <c r="I757" i="2"/>
  <c r="J757" i="2"/>
  <c r="K757" i="2"/>
  <c r="L757" i="2"/>
  <c r="M757" i="2"/>
  <c r="N757" i="2"/>
  <c r="O757" i="2"/>
  <c r="P757" i="2"/>
  <c r="Q757" i="2"/>
  <c r="R757" i="2"/>
  <c r="S757" i="2"/>
  <c r="T757" i="2"/>
  <c r="U757" i="2"/>
  <c r="V757" i="2"/>
  <c r="W757" i="2"/>
  <c r="X757" i="2"/>
  <c r="Y757" i="2"/>
  <c r="F759" i="2"/>
  <c r="G759" i="2"/>
  <c r="H759" i="2"/>
  <c r="I759" i="2"/>
  <c r="J759" i="2"/>
  <c r="K759" i="2"/>
  <c r="L759" i="2"/>
  <c r="M759" i="2"/>
  <c r="N759" i="2"/>
  <c r="O759" i="2"/>
  <c r="P759" i="2"/>
  <c r="Q759" i="2"/>
  <c r="R759" i="2"/>
  <c r="S759" i="2"/>
  <c r="T759" i="2"/>
  <c r="U759" i="2"/>
  <c r="V759" i="2"/>
  <c r="W759" i="2"/>
  <c r="X759" i="2"/>
  <c r="Y759" i="2"/>
  <c r="F761" i="2"/>
  <c r="G761" i="2"/>
  <c r="H761" i="2"/>
  <c r="I761" i="2"/>
  <c r="J761" i="2"/>
  <c r="K761" i="2"/>
  <c r="L761" i="2"/>
  <c r="M761" i="2"/>
  <c r="N761" i="2"/>
  <c r="O761" i="2"/>
  <c r="P761" i="2"/>
  <c r="Q761" i="2"/>
  <c r="R761" i="2"/>
  <c r="S761" i="2"/>
  <c r="T761" i="2"/>
  <c r="U761" i="2"/>
  <c r="V761" i="2"/>
  <c r="W761" i="2"/>
  <c r="X761" i="2"/>
  <c r="Y761" i="2"/>
  <c r="F765" i="2"/>
  <c r="F764" i="2" s="1"/>
  <c r="F763" i="2" s="1"/>
  <c r="G765" i="2"/>
  <c r="G764" i="2" s="1"/>
  <c r="G763" i="2" s="1"/>
  <c r="H765" i="2"/>
  <c r="H764" i="2" s="1"/>
  <c r="H763" i="2" s="1"/>
  <c r="I765" i="2"/>
  <c r="I764" i="2" s="1"/>
  <c r="I763" i="2" s="1"/>
  <c r="J765" i="2"/>
  <c r="J764" i="2" s="1"/>
  <c r="J763" i="2" s="1"/>
  <c r="K765" i="2"/>
  <c r="K764" i="2" s="1"/>
  <c r="K763" i="2" s="1"/>
  <c r="L765" i="2"/>
  <c r="L764" i="2" s="1"/>
  <c r="L763" i="2" s="1"/>
  <c r="M765" i="2"/>
  <c r="M764" i="2" s="1"/>
  <c r="M763" i="2" s="1"/>
  <c r="N765" i="2"/>
  <c r="N764" i="2" s="1"/>
  <c r="N763" i="2" s="1"/>
  <c r="O765" i="2"/>
  <c r="O764" i="2" s="1"/>
  <c r="O763" i="2" s="1"/>
  <c r="P765" i="2"/>
  <c r="P764" i="2" s="1"/>
  <c r="P763" i="2" s="1"/>
  <c r="Q765" i="2"/>
  <c r="Q764" i="2" s="1"/>
  <c r="Q763" i="2" s="1"/>
  <c r="R765" i="2"/>
  <c r="R764" i="2" s="1"/>
  <c r="R763" i="2" s="1"/>
  <c r="S765" i="2"/>
  <c r="S764" i="2" s="1"/>
  <c r="S763" i="2" s="1"/>
  <c r="T765" i="2"/>
  <c r="T764" i="2" s="1"/>
  <c r="T763" i="2" s="1"/>
  <c r="U765" i="2"/>
  <c r="U764" i="2" s="1"/>
  <c r="U763" i="2" s="1"/>
  <c r="V765" i="2"/>
  <c r="V764" i="2" s="1"/>
  <c r="V763" i="2" s="1"/>
  <c r="W765" i="2"/>
  <c r="W764" i="2" s="1"/>
  <c r="W763" i="2" s="1"/>
  <c r="X765" i="2"/>
  <c r="X764" i="2" s="1"/>
  <c r="X763" i="2" s="1"/>
  <c r="Y765" i="2"/>
  <c r="Y764" i="2" s="1"/>
  <c r="Y763" i="2" s="1"/>
  <c r="F769" i="2"/>
  <c r="F768" i="2" s="1"/>
  <c r="F767" i="2" s="1"/>
  <c r="G769" i="2"/>
  <c r="G768" i="2" s="1"/>
  <c r="G767" i="2" s="1"/>
  <c r="H769" i="2"/>
  <c r="H768" i="2" s="1"/>
  <c r="H767" i="2" s="1"/>
  <c r="I769" i="2"/>
  <c r="I768" i="2" s="1"/>
  <c r="I767" i="2" s="1"/>
  <c r="J769" i="2"/>
  <c r="J768" i="2" s="1"/>
  <c r="J767" i="2" s="1"/>
  <c r="K769" i="2"/>
  <c r="K768" i="2" s="1"/>
  <c r="K767" i="2" s="1"/>
  <c r="L769" i="2"/>
  <c r="L768" i="2" s="1"/>
  <c r="L767" i="2" s="1"/>
  <c r="M769" i="2"/>
  <c r="M768" i="2" s="1"/>
  <c r="M767" i="2" s="1"/>
  <c r="N769" i="2"/>
  <c r="N768" i="2" s="1"/>
  <c r="N767" i="2" s="1"/>
  <c r="O769" i="2"/>
  <c r="O768" i="2" s="1"/>
  <c r="O767" i="2" s="1"/>
  <c r="P769" i="2"/>
  <c r="P768" i="2" s="1"/>
  <c r="P767" i="2" s="1"/>
  <c r="Q769" i="2"/>
  <c r="Q768" i="2" s="1"/>
  <c r="Q767" i="2" s="1"/>
  <c r="R769" i="2"/>
  <c r="R768" i="2" s="1"/>
  <c r="R767" i="2" s="1"/>
  <c r="S769" i="2"/>
  <c r="S768" i="2" s="1"/>
  <c r="S767" i="2" s="1"/>
  <c r="T769" i="2"/>
  <c r="T768" i="2" s="1"/>
  <c r="T767" i="2" s="1"/>
  <c r="U769" i="2"/>
  <c r="U768" i="2" s="1"/>
  <c r="U767" i="2" s="1"/>
  <c r="V769" i="2"/>
  <c r="V768" i="2" s="1"/>
  <c r="V767" i="2" s="1"/>
  <c r="W769" i="2"/>
  <c r="W768" i="2" s="1"/>
  <c r="W767" i="2" s="1"/>
  <c r="X769" i="2"/>
  <c r="X768" i="2" s="1"/>
  <c r="X767" i="2" s="1"/>
  <c r="Y769" i="2"/>
  <c r="Y768" i="2" s="1"/>
  <c r="Y767" i="2" s="1"/>
  <c r="F778" i="2"/>
  <c r="G778" i="2"/>
  <c r="H778" i="2"/>
  <c r="I778" i="2"/>
  <c r="J778" i="2"/>
  <c r="K778" i="2"/>
  <c r="L778" i="2"/>
  <c r="M778" i="2"/>
  <c r="N778" i="2"/>
  <c r="O778" i="2"/>
  <c r="P778" i="2"/>
  <c r="Q778" i="2"/>
  <c r="R778" i="2"/>
  <c r="S778" i="2"/>
  <c r="T778" i="2"/>
  <c r="U778" i="2"/>
  <c r="V778" i="2"/>
  <c r="W778" i="2"/>
  <c r="X778" i="2"/>
  <c r="Y778" i="2"/>
  <c r="F780" i="2"/>
  <c r="G780" i="2"/>
  <c r="H780" i="2"/>
  <c r="I780" i="2"/>
  <c r="J780" i="2"/>
  <c r="K780" i="2"/>
  <c r="L780" i="2"/>
  <c r="M780" i="2"/>
  <c r="N780" i="2"/>
  <c r="O780" i="2"/>
  <c r="P780" i="2"/>
  <c r="Q780" i="2"/>
  <c r="R780" i="2"/>
  <c r="S780" i="2"/>
  <c r="T780" i="2"/>
  <c r="U780" i="2"/>
  <c r="V780" i="2"/>
  <c r="W780" i="2"/>
  <c r="X780" i="2"/>
  <c r="Y780" i="2"/>
  <c r="F782" i="2"/>
  <c r="G782" i="2"/>
  <c r="H782" i="2"/>
  <c r="I782" i="2"/>
  <c r="J782" i="2"/>
  <c r="K782" i="2"/>
  <c r="L782" i="2"/>
  <c r="M782" i="2"/>
  <c r="N782" i="2"/>
  <c r="O782" i="2"/>
  <c r="P782" i="2"/>
  <c r="Q782" i="2"/>
  <c r="R782" i="2"/>
  <c r="S782" i="2"/>
  <c r="T782" i="2"/>
  <c r="U782" i="2"/>
  <c r="V782" i="2"/>
  <c r="W782" i="2"/>
  <c r="X782" i="2"/>
  <c r="Y782" i="2"/>
  <c r="F784" i="2"/>
  <c r="G784" i="2"/>
  <c r="H784" i="2"/>
  <c r="I784" i="2"/>
  <c r="J784" i="2"/>
  <c r="K784" i="2"/>
  <c r="L784" i="2"/>
  <c r="M784" i="2"/>
  <c r="N784" i="2"/>
  <c r="O784" i="2"/>
  <c r="P784" i="2"/>
  <c r="Q784" i="2"/>
  <c r="R784" i="2"/>
  <c r="S784" i="2"/>
  <c r="T784" i="2"/>
  <c r="U784" i="2"/>
  <c r="V784" i="2"/>
  <c r="W784" i="2"/>
  <c r="X784" i="2"/>
  <c r="Y784" i="2"/>
  <c r="F786" i="2"/>
  <c r="G786" i="2"/>
  <c r="H786" i="2"/>
  <c r="I786" i="2"/>
  <c r="J786" i="2"/>
  <c r="K786" i="2"/>
  <c r="L786" i="2"/>
  <c r="M786" i="2"/>
  <c r="N786" i="2"/>
  <c r="O786" i="2"/>
  <c r="P786" i="2"/>
  <c r="Q786" i="2"/>
  <c r="R786" i="2"/>
  <c r="S786" i="2"/>
  <c r="T786" i="2"/>
  <c r="U786" i="2"/>
  <c r="V786" i="2"/>
  <c r="W786" i="2"/>
  <c r="X786" i="2"/>
  <c r="Y786" i="2"/>
  <c r="F788" i="2"/>
  <c r="G788" i="2"/>
  <c r="H788" i="2"/>
  <c r="I788" i="2"/>
  <c r="J788" i="2"/>
  <c r="K788" i="2"/>
  <c r="L788" i="2"/>
  <c r="M788" i="2"/>
  <c r="N788" i="2"/>
  <c r="O788" i="2"/>
  <c r="P788" i="2"/>
  <c r="Q788" i="2"/>
  <c r="R788" i="2"/>
  <c r="S788" i="2"/>
  <c r="T788" i="2"/>
  <c r="U788" i="2"/>
  <c r="V788" i="2"/>
  <c r="W788" i="2"/>
  <c r="X788" i="2"/>
  <c r="Y788" i="2"/>
  <c r="F790" i="2"/>
  <c r="G790" i="2"/>
  <c r="H790" i="2"/>
  <c r="I790" i="2"/>
  <c r="J790" i="2"/>
  <c r="K790" i="2"/>
  <c r="L790" i="2"/>
  <c r="M790" i="2"/>
  <c r="N790" i="2"/>
  <c r="O790" i="2"/>
  <c r="P790" i="2"/>
  <c r="Q790" i="2"/>
  <c r="R790" i="2"/>
  <c r="S790" i="2"/>
  <c r="T790" i="2"/>
  <c r="U790" i="2"/>
  <c r="V790" i="2"/>
  <c r="W790" i="2"/>
  <c r="X790" i="2"/>
  <c r="Y790" i="2"/>
  <c r="F792" i="2"/>
  <c r="G792" i="2"/>
  <c r="H792" i="2"/>
  <c r="I792" i="2"/>
  <c r="J792" i="2"/>
  <c r="K792" i="2"/>
  <c r="L792" i="2"/>
  <c r="M792" i="2"/>
  <c r="N792" i="2"/>
  <c r="O792" i="2"/>
  <c r="P792" i="2"/>
  <c r="Q792" i="2"/>
  <c r="R792" i="2"/>
  <c r="S792" i="2"/>
  <c r="T792" i="2"/>
  <c r="U792" i="2"/>
  <c r="V792" i="2"/>
  <c r="W792" i="2"/>
  <c r="X792" i="2"/>
  <c r="Y792" i="2"/>
  <c r="F794" i="2"/>
  <c r="G794" i="2"/>
  <c r="H794" i="2"/>
  <c r="I794" i="2"/>
  <c r="J794" i="2"/>
  <c r="K794" i="2"/>
  <c r="L794" i="2"/>
  <c r="M794" i="2"/>
  <c r="N794" i="2"/>
  <c r="O794" i="2"/>
  <c r="P794" i="2"/>
  <c r="Q794" i="2"/>
  <c r="R794" i="2"/>
  <c r="S794" i="2"/>
  <c r="T794" i="2"/>
  <c r="U794" i="2"/>
  <c r="V794" i="2"/>
  <c r="W794" i="2"/>
  <c r="X794" i="2"/>
  <c r="Y794" i="2"/>
  <c r="F796" i="2"/>
  <c r="G796" i="2"/>
  <c r="H796" i="2"/>
  <c r="I796" i="2"/>
  <c r="J796" i="2"/>
  <c r="K796" i="2"/>
  <c r="L796" i="2"/>
  <c r="M796" i="2"/>
  <c r="N796" i="2"/>
  <c r="O796" i="2"/>
  <c r="P796" i="2"/>
  <c r="Q796" i="2"/>
  <c r="R796" i="2"/>
  <c r="S796" i="2"/>
  <c r="T796" i="2"/>
  <c r="U796" i="2"/>
  <c r="V796" i="2"/>
  <c r="W796" i="2"/>
  <c r="X796" i="2"/>
  <c r="Y796" i="2"/>
  <c r="F798" i="2"/>
  <c r="G798" i="2"/>
  <c r="H798" i="2"/>
  <c r="I798" i="2"/>
  <c r="J798" i="2"/>
  <c r="K798" i="2"/>
  <c r="L798" i="2"/>
  <c r="M798" i="2"/>
  <c r="N798" i="2"/>
  <c r="O798" i="2"/>
  <c r="P798" i="2"/>
  <c r="Q798" i="2"/>
  <c r="R798" i="2"/>
  <c r="S798" i="2"/>
  <c r="T798" i="2"/>
  <c r="U798" i="2"/>
  <c r="V798" i="2"/>
  <c r="W798" i="2"/>
  <c r="X798" i="2"/>
  <c r="Y798" i="2"/>
  <c r="F800" i="2"/>
  <c r="G800" i="2"/>
  <c r="H800" i="2"/>
  <c r="I800" i="2"/>
  <c r="J800" i="2"/>
  <c r="K800" i="2"/>
  <c r="L800" i="2"/>
  <c r="M800" i="2"/>
  <c r="N800" i="2"/>
  <c r="O800" i="2"/>
  <c r="P800" i="2"/>
  <c r="Q800" i="2"/>
  <c r="R800" i="2"/>
  <c r="S800" i="2"/>
  <c r="T800" i="2"/>
  <c r="U800" i="2"/>
  <c r="V800" i="2"/>
  <c r="W800" i="2"/>
  <c r="X800" i="2"/>
  <c r="Y800" i="2"/>
  <c r="F802" i="2"/>
  <c r="G802" i="2"/>
  <c r="H802" i="2"/>
  <c r="I802" i="2"/>
  <c r="J802" i="2"/>
  <c r="K802" i="2"/>
  <c r="L802" i="2"/>
  <c r="M802" i="2"/>
  <c r="N802" i="2"/>
  <c r="O802" i="2"/>
  <c r="P802" i="2"/>
  <c r="Q802" i="2"/>
  <c r="R802" i="2"/>
  <c r="S802" i="2"/>
  <c r="T802" i="2"/>
  <c r="U802" i="2"/>
  <c r="V802" i="2"/>
  <c r="W802" i="2"/>
  <c r="X802" i="2"/>
  <c r="Y802" i="2"/>
  <c r="F804" i="2"/>
  <c r="G804" i="2"/>
  <c r="H804" i="2"/>
  <c r="I804" i="2"/>
  <c r="J804" i="2"/>
  <c r="K804" i="2"/>
  <c r="L804" i="2"/>
  <c r="M804" i="2"/>
  <c r="N804" i="2"/>
  <c r="O804" i="2"/>
  <c r="P804" i="2"/>
  <c r="Q804" i="2"/>
  <c r="R804" i="2"/>
  <c r="S804" i="2"/>
  <c r="T804" i="2"/>
  <c r="U804" i="2"/>
  <c r="V804" i="2"/>
  <c r="W804" i="2"/>
  <c r="X804" i="2"/>
  <c r="Y804" i="2"/>
  <c r="F806" i="2"/>
  <c r="G806" i="2"/>
  <c r="H806" i="2"/>
  <c r="I806" i="2"/>
  <c r="J806" i="2"/>
  <c r="K806" i="2"/>
  <c r="L806" i="2"/>
  <c r="M806" i="2"/>
  <c r="N806" i="2"/>
  <c r="O806" i="2"/>
  <c r="P806" i="2"/>
  <c r="Q806" i="2"/>
  <c r="R806" i="2"/>
  <c r="S806" i="2"/>
  <c r="T806" i="2"/>
  <c r="U806" i="2"/>
  <c r="V806" i="2"/>
  <c r="W806" i="2"/>
  <c r="X806" i="2"/>
  <c r="Y806" i="2"/>
  <c r="F808" i="2"/>
  <c r="G808" i="2"/>
  <c r="H808" i="2"/>
  <c r="I808" i="2"/>
  <c r="J808" i="2"/>
  <c r="K808" i="2"/>
  <c r="L808" i="2"/>
  <c r="M808" i="2"/>
  <c r="N808" i="2"/>
  <c r="O808" i="2"/>
  <c r="P808" i="2"/>
  <c r="Q808" i="2"/>
  <c r="R808" i="2"/>
  <c r="S808" i="2"/>
  <c r="T808" i="2"/>
  <c r="U808" i="2"/>
  <c r="V808" i="2"/>
  <c r="W808" i="2"/>
  <c r="X808" i="2"/>
  <c r="Y808" i="2"/>
  <c r="F812" i="2"/>
  <c r="F811" i="2" s="1"/>
  <c r="G812" i="2"/>
  <c r="G811" i="2" s="1"/>
  <c r="H812" i="2"/>
  <c r="H811" i="2" s="1"/>
  <c r="I812" i="2"/>
  <c r="I811" i="2" s="1"/>
  <c r="J812" i="2"/>
  <c r="J811" i="2" s="1"/>
  <c r="K812" i="2"/>
  <c r="K811" i="2" s="1"/>
  <c r="L812" i="2"/>
  <c r="L811" i="2" s="1"/>
  <c r="M812" i="2"/>
  <c r="M811" i="2" s="1"/>
  <c r="N812" i="2"/>
  <c r="N811" i="2" s="1"/>
  <c r="O812" i="2"/>
  <c r="O811" i="2" s="1"/>
  <c r="P812" i="2"/>
  <c r="P811" i="2" s="1"/>
  <c r="Q812" i="2"/>
  <c r="Q811" i="2" s="1"/>
  <c r="R812" i="2"/>
  <c r="R811" i="2" s="1"/>
  <c r="S812" i="2"/>
  <c r="S811" i="2" s="1"/>
  <c r="T812" i="2"/>
  <c r="T811" i="2" s="1"/>
  <c r="U812" i="2"/>
  <c r="U811" i="2" s="1"/>
  <c r="V812" i="2"/>
  <c r="V811" i="2" s="1"/>
  <c r="W812" i="2"/>
  <c r="W811" i="2" s="1"/>
  <c r="X812" i="2"/>
  <c r="X811" i="2" s="1"/>
  <c r="Y812" i="2"/>
  <c r="Y811" i="2" s="1"/>
  <c r="F815" i="2"/>
  <c r="G815" i="2"/>
  <c r="H815" i="2"/>
  <c r="I815" i="2"/>
  <c r="J815" i="2"/>
  <c r="K815" i="2"/>
  <c r="L815" i="2"/>
  <c r="M815" i="2"/>
  <c r="N815" i="2"/>
  <c r="O815" i="2"/>
  <c r="P815" i="2"/>
  <c r="Q815" i="2"/>
  <c r="R815" i="2"/>
  <c r="S815" i="2"/>
  <c r="T815" i="2"/>
  <c r="U815" i="2"/>
  <c r="V815" i="2"/>
  <c r="W815" i="2"/>
  <c r="X815" i="2"/>
  <c r="Y815" i="2"/>
  <c r="F817" i="2"/>
  <c r="F814" i="2" s="1"/>
  <c r="G817" i="2"/>
  <c r="G814" i="2" s="1"/>
  <c r="H817" i="2"/>
  <c r="I817" i="2"/>
  <c r="J817" i="2"/>
  <c r="K817" i="2"/>
  <c r="L817" i="2"/>
  <c r="M817" i="2"/>
  <c r="N817" i="2"/>
  <c r="N814" i="2" s="1"/>
  <c r="O817" i="2"/>
  <c r="O814" i="2" s="1"/>
  <c r="P817" i="2"/>
  <c r="Q817" i="2"/>
  <c r="R817" i="2"/>
  <c r="S817" i="2"/>
  <c r="T817" i="2"/>
  <c r="U817" i="2"/>
  <c r="V817" i="2"/>
  <c r="V814" i="2" s="1"/>
  <c r="W817" i="2"/>
  <c r="W814" i="2" s="1"/>
  <c r="X817" i="2"/>
  <c r="Y817" i="2"/>
  <c r="F821" i="2"/>
  <c r="G821" i="2"/>
  <c r="H821" i="2"/>
  <c r="I821" i="2"/>
  <c r="J821" i="2"/>
  <c r="K821" i="2"/>
  <c r="L821" i="2"/>
  <c r="M821" i="2"/>
  <c r="N821" i="2"/>
  <c r="O821" i="2"/>
  <c r="P821" i="2"/>
  <c r="Q821" i="2"/>
  <c r="R821" i="2"/>
  <c r="S821" i="2"/>
  <c r="T821" i="2"/>
  <c r="U821" i="2"/>
  <c r="V821" i="2"/>
  <c r="W821" i="2"/>
  <c r="X821" i="2"/>
  <c r="Y821" i="2"/>
  <c r="F823" i="2"/>
  <c r="G823" i="2"/>
  <c r="H823" i="2"/>
  <c r="H820" i="2" s="1"/>
  <c r="H819" i="2" s="1"/>
  <c r="I823" i="2"/>
  <c r="I820" i="2" s="1"/>
  <c r="I819" i="2" s="1"/>
  <c r="J823" i="2"/>
  <c r="K823" i="2"/>
  <c r="L823" i="2"/>
  <c r="M823" i="2"/>
  <c r="N823" i="2"/>
  <c r="O823" i="2"/>
  <c r="P823" i="2"/>
  <c r="P820" i="2" s="1"/>
  <c r="P819" i="2" s="1"/>
  <c r="Q823" i="2"/>
  <c r="Q820" i="2" s="1"/>
  <c r="Q819" i="2" s="1"/>
  <c r="R823" i="2"/>
  <c r="S823" i="2"/>
  <c r="T823" i="2"/>
  <c r="U823" i="2"/>
  <c r="V823" i="2"/>
  <c r="W823" i="2"/>
  <c r="X823" i="2"/>
  <c r="X820" i="2" s="1"/>
  <c r="X819" i="2" s="1"/>
  <c r="Y823" i="2"/>
  <c r="Y820" i="2" s="1"/>
  <c r="Y819" i="2" s="1"/>
  <c r="C832" i="2"/>
  <c r="D832" i="2"/>
  <c r="E832" i="2"/>
  <c r="F832" i="2"/>
  <c r="G832" i="2"/>
  <c r="H832" i="2"/>
  <c r="I832" i="2"/>
  <c r="I846" i="2" s="1"/>
  <c r="J832" i="2"/>
  <c r="K832" i="2"/>
  <c r="L832" i="2"/>
  <c r="M832" i="2"/>
  <c r="N832" i="2"/>
  <c r="O832" i="2"/>
  <c r="P832" i="2"/>
  <c r="Q832" i="2"/>
  <c r="Q846" i="2" s="1"/>
  <c r="R832" i="2"/>
  <c r="S832" i="2"/>
  <c r="T832" i="2"/>
  <c r="U832" i="2"/>
  <c r="V832" i="2"/>
  <c r="C844" i="2"/>
  <c r="D844" i="2"/>
  <c r="E844" i="2"/>
  <c r="E846" i="2" s="1"/>
  <c r="F844" i="2"/>
  <c r="F846" i="2" s="1"/>
  <c r="G844" i="2"/>
  <c r="H844" i="2"/>
  <c r="I844" i="2"/>
  <c r="J844" i="2"/>
  <c r="K844" i="2"/>
  <c r="L844" i="2"/>
  <c r="M844" i="2"/>
  <c r="M846" i="2" s="1"/>
  <c r="N844" i="2"/>
  <c r="N846" i="2" s="1"/>
  <c r="O844" i="2"/>
  <c r="P844" i="2"/>
  <c r="Q844" i="2"/>
  <c r="R844" i="2"/>
  <c r="S844" i="2"/>
  <c r="T844" i="2"/>
  <c r="U844" i="2"/>
  <c r="U846" i="2" s="1"/>
  <c r="V844" i="2"/>
  <c r="V846" i="2" s="1"/>
  <c r="I508" i="2" l="1"/>
  <c r="I491" i="2"/>
  <c r="H58" i="2"/>
  <c r="H57" i="2" s="1"/>
  <c r="L48" i="2"/>
  <c r="O48" i="2"/>
  <c r="X608" i="2"/>
  <c r="P608" i="2"/>
  <c r="X312" i="2"/>
  <c r="T228" i="2"/>
  <c r="T175" i="2"/>
  <c r="T174" i="2" s="1"/>
  <c r="P58" i="2"/>
  <c r="P57" i="2" s="1"/>
  <c r="P48" i="2"/>
  <c r="R58" i="2"/>
  <c r="R57" i="2" s="1"/>
  <c r="H608" i="2"/>
  <c r="P312" i="2"/>
  <c r="L228" i="2"/>
  <c r="L227" i="2" s="1"/>
  <c r="X175" i="2"/>
  <c r="X174" i="2" s="1"/>
  <c r="X48" i="2"/>
  <c r="R846" i="2"/>
  <c r="I777" i="2"/>
  <c r="I776" i="2" s="1"/>
  <c r="H846" i="2"/>
  <c r="S204" i="2"/>
  <c r="R338" i="2"/>
  <c r="T608" i="2"/>
  <c r="T604" i="2" s="1"/>
  <c r="L608" i="2"/>
  <c r="Y525" i="2"/>
  <c r="Q525" i="2"/>
  <c r="I525" i="2"/>
  <c r="Y48" i="2"/>
  <c r="W608" i="2"/>
  <c r="O608" i="2"/>
  <c r="G608" i="2"/>
  <c r="Y496" i="2"/>
  <c r="S346" i="2"/>
  <c r="S345" i="2" s="1"/>
  <c r="W180" i="2"/>
  <c r="O180" i="2"/>
  <c r="G180" i="2"/>
  <c r="P175" i="2"/>
  <c r="P174" i="2" s="1"/>
  <c r="H175" i="2"/>
  <c r="H174" i="2" s="1"/>
  <c r="H48" i="2"/>
  <c r="S517" i="2"/>
  <c r="K517" i="2"/>
  <c r="T496" i="2"/>
  <c r="L496" i="2"/>
  <c r="R418" i="2"/>
  <c r="J418" i="2"/>
  <c r="V333" i="2"/>
  <c r="F333" i="2"/>
  <c r="W175" i="2"/>
  <c r="W174" i="2" s="1"/>
  <c r="O175" i="2"/>
  <c r="O174" i="2" s="1"/>
  <c r="G175" i="2"/>
  <c r="G174" i="2" s="1"/>
  <c r="G48" i="2"/>
  <c r="S502" i="2"/>
  <c r="S501" i="2" s="1"/>
  <c r="K502" i="2"/>
  <c r="K501" i="2" s="1"/>
  <c r="S491" i="2"/>
  <c r="K491" i="2"/>
  <c r="I353" i="2"/>
  <c r="K228" i="2"/>
  <c r="F175" i="2"/>
  <c r="F174" i="2" s="1"/>
  <c r="J58" i="2"/>
  <c r="J57" i="2" s="1"/>
  <c r="R502" i="2"/>
  <c r="R501" i="2" s="1"/>
  <c r="J502" i="2"/>
  <c r="J501" i="2" s="1"/>
  <c r="R491" i="2"/>
  <c r="R228" i="2"/>
  <c r="G846" i="2"/>
  <c r="R814" i="2"/>
  <c r="J814" i="2"/>
  <c r="N810" i="2"/>
  <c r="V608" i="2"/>
  <c r="S525" i="2"/>
  <c r="V346" i="2"/>
  <c r="V345" i="2" s="1"/>
  <c r="U608" i="2"/>
  <c r="M608" i="2"/>
  <c r="R525" i="2"/>
  <c r="H312" i="2"/>
  <c r="O558" i="2"/>
  <c r="Q814" i="2"/>
  <c r="I814" i="2"/>
  <c r="S608" i="2"/>
  <c r="K608" i="2"/>
  <c r="U585" i="2"/>
  <c r="U558" i="2"/>
  <c r="W508" i="2"/>
  <c r="O508" i="2"/>
  <c r="Y502" i="2"/>
  <c r="Y501" i="2" s="1"/>
  <c r="Q502" i="2"/>
  <c r="Q501" i="2" s="1"/>
  <c r="I502" i="2"/>
  <c r="I501" i="2" s="1"/>
  <c r="M333" i="2"/>
  <c r="I312" i="2"/>
  <c r="U175" i="2"/>
  <c r="U174" i="2" s="1"/>
  <c r="Y158" i="2"/>
  <c r="Q158" i="2"/>
  <c r="I158" i="2"/>
  <c r="N121" i="2"/>
  <c r="T89" i="2"/>
  <c r="T88" i="2" s="1"/>
  <c r="K558" i="2"/>
  <c r="Q384" i="2"/>
  <c r="N338" i="2"/>
  <c r="V508" i="2"/>
  <c r="N508" i="2"/>
  <c r="F508" i="2"/>
  <c r="L491" i="2"/>
  <c r="X491" i="2"/>
  <c r="P491" i="2"/>
  <c r="H491" i="2"/>
  <c r="H214" i="2"/>
  <c r="H213" i="2" s="1"/>
  <c r="R204" i="2"/>
  <c r="J204" i="2"/>
  <c r="L163" i="2"/>
  <c r="O89" i="2"/>
  <c r="O88" i="2" s="1"/>
  <c r="G89" i="2"/>
  <c r="G88" i="2" s="1"/>
  <c r="S89" i="2"/>
  <c r="S88" i="2" s="1"/>
  <c r="K89" i="2"/>
  <c r="K88" i="2" s="1"/>
  <c r="X64" i="2"/>
  <c r="X63" i="2" s="1"/>
  <c r="X58" i="2"/>
  <c r="X57" i="2" s="1"/>
  <c r="U717" i="2"/>
  <c r="W558" i="2"/>
  <c r="P846" i="2"/>
  <c r="V517" i="2"/>
  <c r="V515" i="2" s="1"/>
  <c r="N517" i="2"/>
  <c r="N515" i="2" s="1"/>
  <c r="F517" i="2"/>
  <c r="F515" i="2" s="1"/>
  <c r="W496" i="2"/>
  <c r="G214" i="2"/>
  <c r="G213" i="2" s="1"/>
  <c r="P121" i="2"/>
  <c r="N89" i="2"/>
  <c r="N88" i="2" s="1"/>
  <c r="W64" i="2"/>
  <c r="O64" i="2"/>
  <c r="G64" i="2"/>
  <c r="I384" i="2"/>
  <c r="V585" i="2"/>
  <c r="O846" i="2"/>
  <c r="V545" i="2"/>
  <c r="V537" i="2" s="1"/>
  <c r="N545" i="2"/>
  <c r="N537" i="2" s="1"/>
  <c r="F545" i="2"/>
  <c r="F537" i="2" s="1"/>
  <c r="R545" i="2"/>
  <c r="R537" i="2" s="1"/>
  <c r="J545" i="2"/>
  <c r="J537" i="2" s="1"/>
  <c r="T508" i="2"/>
  <c r="L508" i="2"/>
  <c r="V496" i="2"/>
  <c r="N496" i="2"/>
  <c r="F496" i="2"/>
  <c r="U346" i="2"/>
  <c r="U345" i="2" s="1"/>
  <c r="J338" i="2"/>
  <c r="J333" i="2"/>
  <c r="J312" i="2"/>
  <c r="V175" i="2"/>
  <c r="V174" i="2" s="1"/>
  <c r="N175" i="2"/>
  <c r="N174" i="2" s="1"/>
  <c r="R175" i="2"/>
  <c r="R174" i="2" s="1"/>
  <c r="J175" i="2"/>
  <c r="J174" i="2" s="1"/>
  <c r="V158" i="2"/>
  <c r="R140" i="2"/>
  <c r="R139" i="2" s="1"/>
  <c r="J140" i="2"/>
  <c r="J139" i="2" s="1"/>
  <c r="U89" i="2"/>
  <c r="U88" i="2" s="1"/>
  <c r="M89" i="2"/>
  <c r="M88" i="2" s="1"/>
  <c r="R64" i="2"/>
  <c r="J64" i="2"/>
  <c r="Q777" i="2"/>
  <c r="Q776" i="2" s="1"/>
  <c r="V140" i="2"/>
  <c r="V139" i="2" s="1"/>
  <c r="J846" i="2"/>
  <c r="U820" i="2"/>
  <c r="U819" i="2" s="1"/>
  <c r="M820" i="2"/>
  <c r="M819" i="2" s="1"/>
  <c r="Q545" i="2"/>
  <c r="I545" i="2"/>
  <c r="T525" i="2"/>
  <c r="L525" i="2"/>
  <c r="M502" i="2"/>
  <c r="M501" i="2" s="1"/>
  <c r="U496" i="2"/>
  <c r="M496" i="2"/>
  <c r="U491" i="2"/>
  <c r="U453" i="2"/>
  <c r="U452" i="2" s="1"/>
  <c r="Y333" i="2"/>
  <c r="Q333" i="2"/>
  <c r="I333" i="2"/>
  <c r="X180" i="2"/>
  <c r="P180" i="2"/>
  <c r="H180" i="2"/>
  <c r="N717" i="2"/>
  <c r="N322" i="2"/>
  <c r="H558" i="2"/>
  <c r="V624" i="2"/>
  <c r="S558" i="2"/>
  <c r="G558" i="2"/>
  <c r="J525" i="2"/>
  <c r="V99" i="2"/>
  <c r="F99" i="2"/>
  <c r="R717" i="2"/>
  <c r="F322" i="2"/>
  <c r="O754" i="2"/>
  <c r="O744" i="2" s="1"/>
  <c r="P558" i="2"/>
  <c r="R624" i="2"/>
  <c r="R604" i="2" s="1"/>
  <c r="N585" i="2"/>
  <c r="M585" i="2"/>
  <c r="Y508" i="2"/>
  <c r="I453" i="2"/>
  <c r="M453" i="2"/>
  <c r="T163" i="2"/>
  <c r="J717" i="2"/>
  <c r="V322" i="2"/>
  <c r="U11" i="2"/>
  <c r="U10" i="2" s="1"/>
  <c r="X558" i="2"/>
  <c r="T11" i="2"/>
  <c r="Q810" i="2"/>
  <c r="X777" i="2"/>
  <c r="X776" i="2" s="1"/>
  <c r="P777" i="2"/>
  <c r="P776" i="2" s="1"/>
  <c r="T777" i="2"/>
  <c r="T776" i="2" s="1"/>
  <c r="L777" i="2"/>
  <c r="L776" i="2" s="1"/>
  <c r="L453" i="2"/>
  <c r="L452" i="2" s="1"/>
  <c r="Q437" i="2"/>
  <c r="I437" i="2"/>
  <c r="I435" i="2" s="1"/>
  <c r="J322" i="2"/>
  <c r="T558" i="2"/>
  <c r="J624" i="2"/>
  <c r="H777" i="2"/>
  <c r="H776" i="2" s="1"/>
  <c r="G508" i="2"/>
  <c r="F717" i="2"/>
  <c r="M11" i="2"/>
  <c r="M10" i="2" s="1"/>
  <c r="G754" i="2"/>
  <c r="G744" i="2" s="1"/>
  <c r="L11" i="2"/>
  <c r="L10" i="2" s="1"/>
  <c r="N624" i="2"/>
  <c r="I496" i="2"/>
  <c r="V717" i="2"/>
  <c r="W754" i="2"/>
  <c r="W744" i="2" s="1"/>
  <c r="L558" i="2"/>
  <c r="K525" i="2"/>
  <c r="F624" i="2"/>
  <c r="F585" i="2"/>
  <c r="V810" i="2"/>
  <c r="F810" i="2"/>
  <c r="S717" i="2"/>
  <c r="K717" i="2"/>
  <c r="M508" i="2"/>
  <c r="M717" i="2"/>
  <c r="F558" i="2"/>
  <c r="I322" i="2"/>
  <c r="T820" i="2"/>
  <c r="T819" i="2" s="1"/>
  <c r="L820" i="2"/>
  <c r="L819" i="2" s="1"/>
  <c r="X754" i="2"/>
  <c r="X744" i="2" s="1"/>
  <c r="P754" i="2"/>
  <c r="P744" i="2" s="1"/>
  <c r="H754" i="2"/>
  <c r="H744" i="2" s="1"/>
  <c r="T754" i="2"/>
  <c r="T744" i="2" s="1"/>
  <c r="L754" i="2"/>
  <c r="L744" i="2" s="1"/>
  <c r="T717" i="2"/>
  <c r="L717" i="2"/>
  <c r="X717" i="2"/>
  <c r="P717" i="2"/>
  <c r="H717" i="2"/>
  <c r="T624" i="2"/>
  <c r="L624" i="2"/>
  <c r="X624" i="2"/>
  <c r="P624" i="2"/>
  <c r="H624" i="2"/>
  <c r="Y576" i="2"/>
  <c r="Q576" i="2"/>
  <c r="I576" i="2"/>
  <c r="X525" i="2"/>
  <c r="P525" i="2"/>
  <c r="H525" i="2"/>
  <c r="R517" i="2"/>
  <c r="R515" i="2" s="1"/>
  <c r="J517" i="2"/>
  <c r="J515" i="2" s="1"/>
  <c r="S496" i="2"/>
  <c r="K496" i="2"/>
  <c r="W491" i="2"/>
  <c r="O491" i="2"/>
  <c r="G491" i="2"/>
  <c r="S437" i="2"/>
  <c r="S435" i="2" s="1"/>
  <c r="K437" i="2"/>
  <c r="W437" i="2"/>
  <c r="W435" i="2" s="1"/>
  <c r="O437" i="2"/>
  <c r="O435" i="2" s="1"/>
  <c r="G437" i="2"/>
  <c r="G435" i="2" s="1"/>
  <c r="S227" i="2"/>
  <c r="K227" i="2"/>
  <c r="W228" i="2"/>
  <c r="W227" i="2" s="1"/>
  <c r="O228" i="2"/>
  <c r="O227" i="2" s="1"/>
  <c r="G228" i="2"/>
  <c r="G227" i="2" s="1"/>
  <c r="T204" i="2"/>
  <c r="M204" i="2"/>
  <c r="R777" i="2"/>
  <c r="R776" i="2" s="1"/>
  <c r="Q754" i="2"/>
  <c r="M624" i="2"/>
  <c r="M604" i="2" s="1"/>
  <c r="V576" i="2"/>
  <c r="V558" i="2"/>
  <c r="M525" i="2"/>
  <c r="Q322" i="2"/>
  <c r="X228" i="2"/>
  <c r="T846" i="2"/>
  <c r="L846" i="2"/>
  <c r="D846" i="2"/>
  <c r="W820" i="2"/>
  <c r="W819" i="2" s="1"/>
  <c r="O820" i="2"/>
  <c r="O819" i="2" s="1"/>
  <c r="G820" i="2"/>
  <c r="G819" i="2" s="1"/>
  <c r="S820" i="2"/>
  <c r="S819" i="2" s="1"/>
  <c r="K820" i="2"/>
  <c r="K819" i="2" s="1"/>
  <c r="S754" i="2"/>
  <c r="S744" i="2" s="1"/>
  <c r="K754" i="2"/>
  <c r="K744" i="2" s="1"/>
  <c r="W717" i="2"/>
  <c r="O717" i="2"/>
  <c r="G717" i="2"/>
  <c r="S624" i="2"/>
  <c r="K624" i="2"/>
  <c r="W624" i="2"/>
  <c r="O624" i="2"/>
  <c r="G624" i="2"/>
  <c r="R585" i="2"/>
  <c r="J585" i="2"/>
  <c r="X576" i="2"/>
  <c r="P576" i="2"/>
  <c r="H576" i="2"/>
  <c r="T576" i="2"/>
  <c r="T557" i="2" s="1"/>
  <c r="L576" i="2"/>
  <c r="Y545" i="2"/>
  <c r="Y537" i="2" s="1"/>
  <c r="U545" i="2"/>
  <c r="U537" i="2" s="1"/>
  <c r="M545" i="2"/>
  <c r="M537" i="2" s="1"/>
  <c r="M517" i="2"/>
  <c r="M515" i="2" s="1"/>
  <c r="Y517" i="2"/>
  <c r="Y515" i="2" s="1"/>
  <c r="Q517" i="2"/>
  <c r="Q515" i="2" s="1"/>
  <c r="I517" i="2"/>
  <c r="I515" i="2" s="1"/>
  <c r="R496" i="2"/>
  <c r="J496" i="2"/>
  <c r="V491" i="2"/>
  <c r="N491" i="2"/>
  <c r="F491" i="2"/>
  <c r="N418" i="2"/>
  <c r="T353" i="2"/>
  <c r="L353" i="2"/>
  <c r="R227" i="2"/>
  <c r="Q214" i="2"/>
  <c r="Q213" i="2" s="1"/>
  <c r="V58" i="2"/>
  <c r="V57" i="2" s="1"/>
  <c r="Y754" i="2"/>
  <c r="Y744" i="2" s="1"/>
  <c r="U624" i="2"/>
  <c r="Y322" i="2"/>
  <c r="S846" i="2"/>
  <c r="C846" i="2"/>
  <c r="V820" i="2"/>
  <c r="V819" i="2" s="1"/>
  <c r="N820" i="2"/>
  <c r="N819" i="2" s="1"/>
  <c r="F820" i="2"/>
  <c r="F819" i="2" s="1"/>
  <c r="R820" i="2"/>
  <c r="R819" i="2" s="1"/>
  <c r="J820" i="2"/>
  <c r="J819" i="2" s="1"/>
  <c r="Y814" i="2"/>
  <c r="U814" i="2"/>
  <c r="U810" i="2" s="1"/>
  <c r="M814" i="2"/>
  <c r="M810" i="2" s="1"/>
  <c r="S777" i="2"/>
  <c r="S776" i="2" s="1"/>
  <c r="K777" i="2"/>
  <c r="K776" i="2" s="1"/>
  <c r="W777" i="2"/>
  <c r="W776" i="2" s="1"/>
  <c r="O777" i="2"/>
  <c r="O776" i="2" s="1"/>
  <c r="G777" i="2"/>
  <c r="G776" i="2" s="1"/>
  <c r="V754" i="2"/>
  <c r="N754" i="2"/>
  <c r="N744" i="2" s="1"/>
  <c r="F754" i="2"/>
  <c r="F744" i="2" s="1"/>
  <c r="R754" i="2"/>
  <c r="R744" i="2" s="1"/>
  <c r="J754" i="2"/>
  <c r="J744" i="2" s="1"/>
  <c r="W576" i="2"/>
  <c r="O576" i="2"/>
  <c r="G576" i="2"/>
  <c r="S576" i="2"/>
  <c r="K576" i="2"/>
  <c r="X545" i="2"/>
  <c r="X537" i="2" s="1"/>
  <c r="P545" i="2"/>
  <c r="P537" i="2" s="1"/>
  <c r="H545" i="2"/>
  <c r="T545" i="2"/>
  <c r="L545" i="2"/>
  <c r="L537" i="2" s="1"/>
  <c r="V525" i="2"/>
  <c r="N525" i="2"/>
  <c r="F525" i="2"/>
  <c r="T517" i="2"/>
  <c r="L517" i="2"/>
  <c r="L515" i="2" s="1"/>
  <c r="X517" i="2"/>
  <c r="X515" i="2" s="1"/>
  <c r="P517" i="2"/>
  <c r="P515" i="2" s="1"/>
  <c r="H517" i="2"/>
  <c r="V502" i="2"/>
  <c r="V501" i="2" s="1"/>
  <c r="N502" i="2"/>
  <c r="N501" i="2" s="1"/>
  <c r="Q496" i="2"/>
  <c r="Y491" i="2"/>
  <c r="M491" i="2"/>
  <c r="Y384" i="2"/>
  <c r="S353" i="2"/>
  <c r="K353" i="2"/>
  <c r="V312" i="2"/>
  <c r="N312" i="2"/>
  <c r="F312" i="2"/>
  <c r="M263" i="2"/>
  <c r="M180" i="2"/>
  <c r="T48" i="2"/>
  <c r="V777" i="2"/>
  <c r="V776" i="2" s="1"/>
  <c r="F777" i="2"/>
  <c r="F776" i="2" s="1"/>
  <c r="J777" i="2"/>
  <c r="J776" i="2" s="1"/>
  <c r="I754" i="2"/>
  <c r="I744" i="2" s="1"/>
  <c r="N576" i="2"/>
  <c r="N558" i="2"/>
  <c r="N557" i="2" s="1"/>
  <c r="L437" i="2"/>
  <c r="L435" i="2" s="1"/>
  <c r="T227" i="2"/>
  <c r="H228" i="2"/>
  <c r="K846" i="2"/>
  <c r="X814" i="2"/>
  <c r="X810" i="2" s="1"/>
  <c r="P814" i="2"/>
  <c r="P810" i="2" s="1"/>
  <c r="H814" i="2"/>
  <c r="H810" i="2" s="1"/>
  <c r="T814" i="2"/>
  <c r="T810" i="2" s="1"/>
  <c r="L814" i="2"/>
  <c r="L810" i="2" s="1"/>
  <c r="R810" i="2"/>
  <c r="J810" i="2"/>
  <c r="T585" i="2"/>
  <c r="L585" i="2"/>
  <c r="X585" i="2"/>
  <c r="P585" i="2"/>
  <c r="H585" i="2"/>
  <c r="F576" i="2"/>
  <c r="F557" i="2" s="1"/>
  <c r="R576" i="2"/>
  <c r="J576" i="2"/>
  <c r="R558" i="2"/>
  <c r="W545" i="2"/>
  <c r="W537" i="2" s="1"/>
  <c r="O545" i="2"/>
  <c r="O537" i="2" s="1"/>
  <c r="G545" i="2"/>
  <c r="G537" i="2" s="1"/>
  <c r="S545" i="2"/>
  <c r="S537" i="2" s="1"/>
  <c r="K545" i="2"/>
  <c r="K537" i="2" s="1"/>
  <c r="W517" i="2"/>
  <c r="W515" i="2" s="1"/>
  <c r="O517" i="2"/>
  <c r="O515" i="2" s="1"/>
  <c r="G517" i="2"/>
  <c r="R508" i="2"/>
  <c r="J508" i="2"/>
  <c r="U502" i="2"/>
  <c r="U501" i="2" s="1"/>
  <c r="T491" i="2"/>
  <c r="S453" i="2"/>
  <c r="K453" i="2"/>
  <c r="W453" i="2"/>
  <c r="O453" i="2"/>
  <c r="G453" i="2"/>
  <c r="T437" i="2"/>
  <c r="T435" i="2" s="1"/>
  <c r="T418" i="2"/>
  <c r="L418" i="2"/>
  <c r="T384" i="2"/>
  <c r="L384" i="2"/>
  <c r="R353" i="2"/>
  <c r="X338" i="2"/>
  <c r="P338" i="2"/>
  <c r="H338" i="2"/>
  <c r="Y204" i="2"/>
  <c r="L180" i="2"/>
  <c r="N140" i="2"/>
  <c r="N139" i="2" s="1"/>
  <c r="F140" i="2"/>
  <c r="F139" i="2" s="1"/>
  <c r="N777" i="2"/>
  <c r="N776" i="2" s="1"/>
  <c r="M754" i="2"/>
  <c r="M744" i="2" s="1"/>
  <c r="J558" i="2"/>
  <c r="P228" i="2"/>
  <c r="S814" i="2"/>
  <c r="S810" i="2" s="1"/>
  <c r="K814" i="2"/>
  <c r="K810" i="2" s="1"/>
  <c r="Y777" i="2"/>
  <c r="Y776" i="2" s="1"/>
  <c r="N608" i="2"/>
  <c r="F608" i="2"/>
  <c r="S585" i="2"/>
  <c r="K585" i="2"/>
  <c r="W585" i="2"/>
  <c r="O585" i="2"/>
  <c r="G585" i="2"/>
  <c r="M558" i="2"/>
  <c r="Q508" i="2"/>
  <c r="T502" i="2"/>
  <c r="T501" i="2" s="1"/>
  <c r="L502" i="2"/>
  <c r="L501" i="2" s="1"/>
  <c r="O496" i="2"/>
  <c r="G496" i="2"/>
  <c r="R453" i="2"/>
  <c r="J453" i="2"/>
  <c r="V453" i="2"/>
  <c r="N453" i="2"/>
  <c r="F453" i="2"/>
  <c r="W338" i="2"/>
  <c r="O338" i="2"/>
  <c r="G338" i="2"/>
  <c r="S180" i="2"/>
  <c r="U140" i="2"/>
  <c r="U139" i="2" s="1"/>
  <c r="M140" i="2"/>
  <c r="M139" i="2" s="1"/>
  <c r="S99" i="2"/>
  <c r="K99" i="2"/>
  <c r="W99" i="2"/>
  <c r="O99" i="2"/>
  <c r="G99" i="2"/>
  <c r="T346" i="2"/>
  <c r="T345" i="2" s="1"/>
  <c r="L346" i="2"/>
  <c r="L345" i="2" s="1"/>
  <c r="V338" i="2"/>
  <c r="F338" i="2"/>
  <c r="X333" i="2"/>
  <c r="P333" i="2"/>
  <c r="H333" i="2"/>
  <c r="T322" i="2"/>
  <c r="L322" i="2"/>
  <c r="Y312" i="2"/>
  <c r="Q312" i="2"/>
  <c r="T263" i="2"/>
  <c r="L263" i="2"/>
  <c r="X263" i="2"/>
  <c r="P263" i="2"/>
  <c r="H263" i="2"/>
  <c r="H262" i="2" s="1"/>
  <c r="V180" i="2"/>
  <c r="N180" i="2"/>
  <c r="F180" i="2"/>
  <c r="W163" i="2"/>
  <c r="O163" i="2"/>
  <c r="G163" i="2"/>
  <c r="W158" i="2"/>
  <c r="O158" i="2"/>
  <c r="O157" i="2" s="1"/>
  <c r="G158" i="2"/>
  <c r="G157" i="2" s="1"/>
  <c r="Y99" i="2"/>
  <c r="Q99" i="2"/>
  <c r="I99" i="2"/>
  <c r="U99" i="2"/>
  <c r="M99" i="2"/>
  <c r="J89" i="2"/>
  <c r="J88" i="2" s="1"/>
  <c r="V64" i="2"/>
  <c r="V63" i="2" s="1"/>
  <c r="N64" i="2"/>
  <c r="N63" i="2" s="1"/>
  <c r="F64" i="2"/>
  <c r="F63" i="2" s="1"/>
  <c r="S11" i="2"/>
  <c r="K11" i="2"/>
  <c r="R437" i="2"/>
  <c r="J437" i="2"/>
  <c r="J435" i="2" s="1"/>
  <c r="V437" i="2"/>
  <c r="V435" i="2" s="1"/>
  <c r="N437" i="2"/>
  <c r="N435" i="2" s="1"/>
  <c r="F437" i="2"/>
  <c r="F435" i="2" s="1"/>
  <c r="S384" i="2"/>
  <c r="K384" i="2"/>
  <c r="K346" i="2"/>
  <c r="K345" i="2" s="1"/>
  <c r="W333" i="2"/>
  <c r="O333" i="2"/>
  <c r="G333" i="2"/>
  <c r="S322" i="2"/>
  <c r="K322" i="2"/>
  <c r="T312" i="2"/>
  <c r="L312" i="2"/>
  <c r="S263" i="2"/>
  <c r="K263" i="2"/>
  <c r="W263" i="2"/>
  <c r="O263" i="2"/>
  <c r="G263" i="2"/>
  <c r="O214" i="2"/>
  <c r="O213" i="2" s="1"/>
  <c r="M175" i="2"/>
  <c r="M174" i="2" s="1"/>
  <c r="V163" i="2"/>
  <c r="N158" i="2"/>
  <c r="F158" i="2"/>
  <c r="S140" i="2"/>
  <c r="S139" i="2" s="1"/>
  <c r="K140" i="2"/>
  <c r="K139" i="2" s="1"/>
  <c r="W121" i="2"/>
  <c r="W95" i="2" s="1"/>
  <c r="O121" i="2"/>
  <c r="O95" i="2" s="1"/>
  <c r="G121" i="2"/>
  <c r="Y89" i="2"/>
  <c r="Y88" i="2" s="1"/>
  <c r="Q89" i="2"/>
  <c r="Q88" i="2" s="1"/>
  <c r="I89" i="2"/>
  <c r="I88" i="2" s="1"/>
  <c r="Y63" i="2"/>
  <c r="Q63" i="2"/>
  <c r="I63" i="2"/>
  <c r="U64" i="2"/>
  <c r="U63" i="2" s="1"/>
  <c r="M64" i="2"/>
  <c r="M63" i="2" s="1"/>
  <c r="W58" i="2"/>
  <c r="W57" i="2" s="1"/>
  <c r="O58" i="2"/>
  <c r="O57" i="2" s="1"/>
  <c r="G58" i="2"/>
  <c r="G57" i="2" s="1"/>
  <c r="R11" i="2"/>
  <c r="J11" i="2"/>
  <c r="U437" i="2"/>
  <c r="U435" i="2" s="1"/>
  <c r="Y437" i="2"/>
  <c r="M437" i="2"/>
  <c r="M435" i="2" s="1"/>
  <c r="X353" i="2"/>
  <c r="P353" i="2"/>
  <c r="H353" i="2"/>
  <c r="N346" i="2"/>
  <c r="N345" i="2" s="1"/>
  <c r="R346" i="2"/>
  <c r="R345" i="2" s="1"/>
  <c r="J346" i="2"/>
  <c r="J345" i="2" s="1"/>
  <c r="T338" i="2"/>
  <c r="L338" i="2"/>
  <c r="R333" i="2"/>
  <c r="N333" i="2"/>
  <c r="R322" i="2"/>
  <c r="W312" i="2"/>
  <c r="O312" i="2"/>
  <c r="G312" i="2"/>
  <c r="S312" i="2"/>
  <c r="K312" i="2"/>
  <c r="N263" i="2"/>
  <c r="W204" i="2"/>
  <c r="O204" i="2"/>
  <c r="G204" i="2"/>
  <c r="Y163" i="2"/>
  <c r="Q163" i="2"/>
  <c r="Q157" i="2" s="1"/>
  <c r="I163" i="2"/>
  <c r="V121" i="2"/>
  <c r="V95" i="2" s="1"/>
  <c r="F121" i="2"/>
  <c r="F95" i="2" s="1"/>
  <c r="L89" i="2"/>
  <c r="L88" i="2" s="1"/>
  <c r="X89" i="2"/>
  <c r="X88" i="2" s="1"/>
  <c r="P89" i="2"/>
  <c r="P88" i="2" s="1"/>
  <c r="H89" i="2"/>
  <c r="H88" i="2" s="1"/>
  <c r="P64" i="2"/>
  <c r="P63" i="2" s="1"/>
  <c r="H64" i="2"/>
  <c r="H63" i="2" s="1"/>
  <c r="T64" i="2"/>
  <c r="T63" i="2" s="1"/>
  <c r="L64" i="2"/>
  <c r="L63" i="2" s="1"/>
  <c r="N58" i="2"/>
  <c r="N57" i="2" s="1"/>
  <c r="F58" i="2"/>
  <c r="F57" i="2" s="1"/>
  <c r="Y11" i="2"/>
  <c r="Y10" i="2" s="1"/>
  <c r="Q11" i="2"/>
  <c r="I11" i="2"/>
  <c r="U418" i="2"/>
  <c r="M418" i="2"/>
  <c r="W353" i="2"/>
  <c r="O353" i="2"/>
  <c r="G353" i="2"/>
  <c r="M346" i="2"/>
  <c r="M345" i="2" s="1"/>
  <c r="Y346" i="2"/>
  <c r="Y345" i="2" s="1"/>
  <c r="Q346" i="2"/>
  <c r="Q345" i="2" s="1"/>
  <c r="I346" i="2"/>
  <c r="I345" i="2" s="1"/>
  <c r="S338" i="2"/>
  <c r="K338" i="2"/>
  <c r="R312" i="2"/>
  <c r="Y214" i="2"/>
  <c r="I214" i="2"/>
  <c r="I213" i="2" s="1"/>
  <c r="X158" i="2"/>
  <c r="P158" i="2"/>
  <c r="H158" i="2"/>
  <c r="T158" i="2"/>
  <c r="L158" i="2"/>
  <c r="L157" i="2" s="1"/>
  <c r="Y140" i="2"/>
  <c r="Y139" i="2" s="1"/>
  <c r="Q140" i="2"/>
  <c r="Q139" i="2" s="1"/>
  <c r="I140" i="2"/>
  <c r="I139" i="2" s="1"/>
  <c r="Y121" i="2"/>
  <c r="Q121" i="2"/>
  <c r="Q95" i="2" s="1"/>
  <c r="I121" i="2"/>
  <c r="U121" i="2"/>
  <c r="M121" i="2"/>
  <c r="R99" i="2"/>
  <c r="W89" i="2"/>
  <c r="W88" i="2" s="1"/>
  <c r="S64" i="2"/>
  <c r="K64" i="2"/>
  <c r="K63" i="2" s="1"/>
  <c r="Y58" i="2"/>
  <c r="Y57" i="2" s="1"/>
  <c r="Q58" i="2"/>
  <c r="Q57" i="2" s="1"/>
  <c r="I58" i="2"/>
  <c r="I57" i="2" s="1"/>
  <c r="U58" i="2"/>
  <c r="U57" i="2" s="1"/>
  <c r="M58" i="2"/>
  <c r="M57" i="2" s="1"/>
  <c r="S48" i="2"/>
  <c r="K48" i="2"/>
  <c r="J491" i="2"/>
  <c r="Y453" i="2"/>
  <c r="Q453" i="2"/>
  <c r="Q435" i="2"/>
  <c r="X418" i="2"/>
  <c r="P418" i="2"/>
  <c r="H418" i="2"/>
  <c r="X384" i="2"/>
  <c r="X352" i="2" s="1"/>
  <c r="P384" i="2"/>
  <c r="H384" i="2"/>
  <c r="H352" i="2" s="1"/>
  <c r="F353" i="2"/>
  <c r="X346" i="2"/>
  <c r="X345" i="2" s="1"/>
  <c r="P346" i="2"/>
  <c r="P345" i="2" s="1"/>
  <c r="H346" i="2"/>
  <c r="H345" i="2" s="1"/>
  <c r="T333" i="2"/>
  <c r="L333" i="2"/>
  <c r="X322" i="2"/>
  <c r="P322" i="2"/>
  <c r="P262" i="2" s="1"/>
  <c r="P261" i="2" s="1"/>
  <c r="H322" i="2"/>
  <c r="V228" i="2"/>
  <c r="V227" i="2" s="1"/>
  <c r="N228" i="2"/>
  <c r="N227" i="2" s="1"/>
  <c r="F228" i="2"/>
  <c r="F227" i="2" s="1"/>
  <c r="X214" i="2"/>
  <c r="X213" i="2" s="1"/>
  <c r="P214" i="2"/>
  <c r="P213" i="2" s="1"/>
  <c r="R180" i="2"/>
  <c r="J180" i="2"/>
  <c r="S163" i="2"/>
  <c r="K163" i="2"/>
  <c r="S158" i="2"/>
  <c r="K158" i="2"/>
  <c r="X121" i="2"/>
  <c r="H121" i="2"/>
  <c r="V89" i="2"/>
  <c r="V88" i="2" s="1"/>
  <c r="F89" i="2"/>
  <c r="F88" i="2" s="1"/>
  <c r="T58" i="2"/>
  <c r="T57" i="2" s="1"/>
  <c r="L58" i="2"/>
  <c r="L57" i="2" s="1"/>
  <c r="R48" i="2"/>
  <c r="J48" i="2"/>
  <c r="W11" i="2"/>
  <c r="O11" i="2"/>
  <c r="O10" i="2" s="1"/>
  <c r="G11" i="2"/>
  <c r="G10" i="2" s="1"/>
  <c r="Q491" i="2"/>
  <c r="S418" i="2"/>
  <c r="K418" i="2"/>
  <c r="G384" i="2"/>
  <c r="Y353" i="2"/>
  <c r="Q353" i="2"/>
  <c r="W346" i="2"/>
  <c r="W345" i="2" s="1"/>
  <c r="O346" i="2"/>
  <c r="O345" i="2" s="1"/>
  <c r="G346" i="2"/>
  <c r="G345" i="2" s="1"/>
  <c r="S333" i="2"/>
  <c r="K333" i="2"/>
  <c r="W322" i="2"/>
  <c r="W262" i="2" s="1"/>
  <c r="O322" i="2"/>
  <c r="G322" i="2"/>
  <c r="U228" i="2"/>
  <c r="U227" i="2" s="1"/>
  <c r="M228" i="2"/>
  <c r="M227" i="2" s="1"/>
  <c r="W214" i="2"/>
  <c r="W213" i="2" s="1"/>
  <c r="Y180" i="2"/>
  <c r="Q180" i="2"/>
  <c r="I180" i="2"/>
  <c r="Y175" i="2"/>
  <c r="Y174" i="2" s="1"/>
  <c r="Q175" i="2"/>
  <c r="Q174" i="2" s="1"/>
  <c r="I175" i="2"/>
  <c r="I174" i="2" s="1"/>
  <c r="J163" i="2"/>
  <c r="W140" i="2"/>
  <c r="W139" i="2" s="1"/>
  <c r="O140" i="2"/>
  <c r="O139" i="2" s="1"/>
  <c r="G140" i="2"/>
  <c r="G139" i="2" s="1"/>
  <c r="S121" i="2"/>
  <c r="K121" i="2"/>
  <c r="S58" i="2"/>
  <c r="S57" i="2" s="1"/>
  <c r="K58" i="2"/>
  <c r="K57" i="2" s="1"/>
  <c r="Q48" i="2"/>
  <c r="I48" i="2"/>
  <c r="V11" i="2"/>
  <c r="V10" i="2" s="1"/>
  <c r="N11" i="2"/>
  <c r="N10" i="2" s="1"/>
  <c r="F11" i="2"/>
  <c r="F10" i="2" s="1"/>
  <c r="Y810" i="2"/>
  <c r="Q537" i="2"/>
  <c r="W525" i="2"/>
  <c r="O525" i="2"/>
  <c r="G525" i="2"/>
  <c r="U517" i="2"/>
  <c r="U515" i="2" s="1"/>
  <c r="U754" i="2"/>
  <c r="U744" i="2" s="1"/>
  <c r="I810" i="2"/>
  <c r="W810" i="2"/>
  <c r="G810" i="2"/>
  <c r="V744" i="2"/>
  <c r="Y435" i="2"/>
  <c r="Q744" i="2"/>
  <c r="Y558" i="2"/>
  <c r="R384" i="2"/>
  <c r="Y717" i="2"/>
  <c r="Q717" i="2"/>
  <c r="I717" i="2"/>
  <c r="U576" i="2"/>
  <c r="M576" i="2"/>
  <c r="T453" i="2"/>
  <c r="X453" i="2"/>
  <c r="P453" i="2"/>
  <c r="H453" i="2"/>
  <c r="H452" i="2" s="1"/>
  <c r="Q558" i="2"/>
  <c r="U525" i="2"/>
  <c r="Y624" i="2"/>
  <c r="Y604" i="2" s="1"/>
  <c r="Q624" i="2"/>
  <c r="I624" i="2"/>
  <c r="H604" i="2"/>
  <c r="W557" i="2"/>
  <c r="I537" i="2"/>
  <c r="I558" i="2"/>
  <c r="O810" i="2"/>
  <c r="U777" i="2"/>
  <c r="U776" i="2" s="1"/>
  <c r="M777" i="2"/>
  <c r="M776" i="2" s="1"/>
  <c r="Y585" i="2"/>
  <c r="Q585" i="2"/>
  <c r="I585" i="2"/>
  <c r="T537" i="2"/>
  <c r="H537" i="2"/>
  <c r="T515" i="2"/>
  <c r="H515" i="2"/>
  <c r="U508" i="2"/>
  <c r="N384" i="2"/>
  <c r="M338" i="2"/>
  <c r="F418" i="2"/>
  <c r="G515" i="2"/>
  <c r="X508" i="2"/>
  <c r="H508" i="2"/>
  <c r="V263" i="2"/>
  <c r="F263" i="2"/>
  <c r="Y213" i="2"/>
  <c r="V418" i="2"/>
  <c r="K515" i="2"/>
  <c r="S508" i="2"/>
  <c r="K508" i="2"/>
  <c r="X437" i="2"/>
  <c r="X435" i="2" s="1"/>
  <c r="P437" i="2"/>
  <c r="P435" i="2" s="1"/>
  <c r="H437" i="2"/>
  <c r="H435" i="2" s="1"/>
  <c r="W384" i="2"/>
  <c r="O384" i="2"/>
  <c r="V353" i="2"/>
  <c r="N353" i="2"/>
  <c r="F346" i="2"/>
  <c r="F345" i="2" s="1"/>
  <c r="X99" i="2"/>
  <c r="X95" i="2" s="1"/>
  <c r="P99" i="2"/>
  <c r="H99" i="2"/>
  <c r="T99" i="2"/>
  <c r="L99" i="2"/>
  <c r="J384" i="2"/>
  <c r="K435" i="2"/>
  <c r="F384" i="2"/>
  <c r="J228" i="2"/>
  <c r="J227" i="2" s="1"/>
  <c r="R435" i="2"/>
  <c r="U338" i="2"/>
  <c r="P508" i="2"/>
  <c r="Y418" i="2"/>
  <c r="Q418" i="2"/>
  <c r="Q352" i="2" s="1"/>
  <c r="I418" i="2"/>
  <c r="R263" i="2"/>
  <c r="J263" i="2"/>
  <c r="V384" i="2"/>
  <c r="S515" i="2"/>
  <c r="J353" i="2"/>
  <c r="J352" i="2" s="1"/>
  <c r="U263" i="2"/>
  <c r="Y263" i="2"/>
  <c r="Q263" i="2"/>
  <c r="I263" i="2"/>
  <c r="U353" i="2"/>
  <c r="M353" i="2"/>
  <c r="Y228" i="2"/>
  <c r="Y227" i="2" s="1"/>
  <c r="Q228" i="2"/>
  <c r="Q227" i="2" s="1"/>
  <c r="I228" i="2"/>
  <c r="I227" i="2" s="1"/>
  <c r="V214" i="2"/>
  <c r="V213" i="2" s="1"/>
  <c r="N214" i="2"/>
  <c r="N213" i="2" s="1"/>
  <c r="F214" i="2"/>
  <c r="F213" i="2" s="1"/>
  <c r="Q204" i="2"/>
  <c r="I204" i="2"/>
  <c r="T140" i="2"/>
  <c r="T139" i="2" s="1"/>
  <c r="L140" i="2"/>
  <c r="L139" i="2" s="1"/>
  <c r="X140" i="2"/>
  <c r="X139" i="2" s="1"/>
  <c r="P140" i="2"/>
  <c r="P139" i="2" s="1"/>
  <c r="H140" i="2"/>
  <c r="H139" i="2" s="1"/>
  <c r="W418" i="2"/>
  <c r="O418" i="2"/>
  <c r="G418" i="2"/>
  <c r="G352" i="2" s="1"/>
  <c r="U322" i="2"/>
  <c r="M322" i="2"/>
  <c r="U312" i="2"/>
  <c r="M312" i="2"/>
  <c r="X227" i="2"/>
  <c r="P227" i="2"/>
  <c r="H227" i="2"/>
  <c r="U214" i="2"/>
  <c r="U213" i="2" s="1"/>
  <c r="M214" i="2"/>
  <c r="M213" i="2" s="1"/>
  <c r="X204" i="2"/>
  <c r="H204" i="2"/>
  <c r="R121" i="2"/>
  <c r="J121" i="2"/>
  <c r="U384" i="2"/>
  <c r="M384" i="2"/>
  <c r="R214" i="2"/>
  <c r="R213" i="2" s="1"/>
  <c r="J214" i="2"/>
  <c r="J213" i="2" s="1"/>
  <c r="R163" i="2"/>
  <c r="N163" i="2"/>
  <c r="F163" i="2"/>
  <c r="F157" i="2" s="1"/>
  <c r="U163" i="2"/>
  <c r="U157" i="2" s="1"/>
  <c r="M163" i="2"/>
  <c r="M157" i="2" s="1"/>
  <c r="T214" i="2"/>
  <c r="T213" i="2" s="1"/>
  <c r="T203" i="2" s="1"/>
  <c r="L214" i="2"/>
  <c r="L213" i="2" s="1"/>
  <c r="L204" i="2"/>
  <c r="K180" i="2"/>
  <c r="S214" i="2"/>
  <c r="S213" i="2" s="1"/>
  <c r="S203" i="2" s="1"/>
  <c r="K214" i="2"/>
  <c r="K213" i="2" s="1"/>
  <c r="K204" i="2"/>
  <c r="P95" i="2"/>
  <c r="R63" i="2"/>
  <c r="J63" i="2"/>
  <c r="V204" i="2"/>
  <c r="N204" i="2"/>
  <c r="F204" i="2"/>
  <c r="U180" i="2"/>
  <c r="L175" i="2"/>
  <c r="L174" i="2" s="1"/>
  <c r="U204" i="2"/>
  <c r="T180" i="2"/>
  <c r="R158" i="2"/>
  <c r="J158" i="2"/>
  <c r="J99" i="2"/>
  <c r="N99" i="2"/>
  <c r="N95" i="2" s="1"/>
  <c r="S63" i="2"/>
  <c r="I157" i="2"/>
  <c r="X11" i="2"/>
  <c r="X10" i="2" s="1"/>
  <c r="P11" i="2"/>
  <c r="P10" i="2" s="1"/>
  <c r="H11" i="2"/>
  <c r="S175" i="2"/>
  <c r="S174" i="2" s="1"/>
  <c r="K175" i="2"/>
  <c r="K174" i="2" s="1"/>
  <c r="T121" i="2"/>
  <c r="L121" i="2"/>
  <c r="W10" i="2"/>
  <c r="X163" i="2"/>
  <c r="X157" i="2" s="1"/>
  <c r="P163" i="2"/>
  <c r="H163" i="2"/>
  <c r="K95" i="2"/>
  <c r="W63" i="2"/>
  <c r="O63" i="2"/>
  <c r="G63" i="2"/>
  <c r="X262" i="2" l="1"/>
  <c r="J604" i="2"/>
  <c r="V604" i="2"/>
  <c r="F352" i="2"/>
  <c r="P452" i="2"/>
  <c r="U604" i="2"/>
  <c r="G604" i="2"/>
  <c r="X604" i="2"/>
  <c r="X556" i="2" s="1"/>
  <c r="L9" i="2"/>
  <c r="H157" i="2"/>
  <c r="O557" i="2"/>
  <c r="L604" i="2"/>
  <c r="H10" i="2"/>
  <c r="I604" i="2"/>
  <c r="S157" i="2"/>
  <c r="V157" i="2"/>
  <c r="V94" i="2" s="1"/>
  <c r="Y352" i="2"/>
  <c r="W604" i="2"/>
  <c r="Y452" i="2"/>
  <c r="P157" i="2"/>
  <c r="U95" i="2"/>
  <c r="S452" i="2"/>
  <c r="I452" i="2"/>
  <c r="H557" i="2"/>
  <c r="H556" i="2" s="1"/>
  <c r="I10" i="2"/>
  <c r="G262" i="2"/>
  <c r="G261" i="2" s="1"/>
  <c r="X261" i="2"/>
  <c r="Y95" i="2"/>
  <c r="Q10" i="2"/>
  <c r="Q9" i="2" s="1"/>
  <c r="O262" i="2"/>
  <c r="O261" i="2" s="1"/>
  <c r="W157" i="2"/>
  <c r="R452" i="2"/>
  <c r="P604" i="2"/>
  <c r="Y9" i="2"/>
  <c r="M95" i="2"/>
  <c r="Y157" i="2"/>
  <c r="M262" i="2"/>
  <c r="M261" i="2" s="1"/>
  <c r="Q604" i="2"/>
  <c r="S604" i="2"/>
  <c r="Y262" i="2"/>
  <c r="Y261" i="2" s="1"/>
  <c r="K157" i="2"/>
  <c r="P352" i="2"/>
  <c r="S262" i="2"/>
  <c r="S261" i="2" s="1"/>
  <c r="I95" i="2"/>
  <c r="I94" i="2" s="1"/>
  <c r="G557" i="2"/>
  <c r="U262" i="2"/>
  <c r="U261" i="2" s="1"/>
  <c r="S352" i="2"/>
  <c r="F452" i="2"/>
  <c r="F351" i="2" s="1"/>
  <c r="X557" i="2"/>
  <c r="V557" i="2"/>
  <c r="O203" i="2"/>
  <c r="N604" i="2"/>
  <c r="P557" i="2"/>
  <c r="Y94" i="2"/>
  <c r="H9" i="2"/>
  <c r="U557" i="2"/>
  <c r="U556" i="2" s="1"/>
  <c r="G203" i="2"/>
  <c r="P9" i="2"/>
  <c r="M203" i="2"/>
  <c r="X452" i="2"/>
  <c r="X351" i="2" s="1"/>
  <c r="M557" i="2"/>
  <c r="M556" i="2" s="1"/>
  <c r="X9" i="2"/>
  <c r="T262" i="2"/>
  <c r="T261" i="2" s="1"/>
  <c r="J557" i="2"/>
  <c r="J556" i="2" s="1"/>
  <c r="I262" i="2"/>
  <c r="I261" i="2" s="1"/>
  <c r="N9" i="2"/>
  <c r="R10" i="2"/>
  <c r="R9" i="2" s="1"/>
  <c r="L262" i="2"/>
  <c r="L261" i="2" s="1"/>
  <c r="K352" i="2"/>
  <c r="S10" i="2"/>
  <c r="S9" i="2" s="1"/>
  <c r="V452" i="2"/>
  <c r="S557" i="2"/>
  <c r="S556" i="2" s="1"/>
  <c r="O452" i="2"/>
  <c r="R557" i="2"/>
  <c r="L352" i="2"/>
  <c r="L351" i="2" s="1"/>
  <c r="F9" i="2"/>
  <c r="W203" i="2"/>
  <c r="S95" i="2"/>
  <c r="S94" i="2" s="1"/>
  <c r="J157" i="2"/>
  <c r="H95" i="2"/>
  <c r="H94" i="2" s="1"/>
  <c r="K262" i="2"/>
  <c r="K261" i="2" s="1"/>
  <c r="G95" i="2"/>
  <c r="G94" i="2" s="1"/>
  <c r="J452" i="2"/>
  <c r="J351" i="2" s="1"/>
  <c r="F604" i="2"/>
  <c r="F556" i="2" s="1"/>
  <c r="R352" i="2"/>
  <c r="R351" i="2" s="1"/>
  <c r="W452" i="2"/>
  <c r="K557" i="2"/>
  <c r="T352" i="2"/>
  <c r="L557" i="2"/>
  <c r="T452" i="2"/>
  <c r="W261" i="2"/>
  <c r="J10" i="2"/>
  <c r="J9" i="2" s="1"/>
  <c r="K10" i="2"/>
  <c r="K9" i="2" s="1"/>
  <c r="N452" i="2"/>
  <c r="G452" i="2"/>
  <c r="O604" i="2"/>
  <c r="O556" i="2" s="1"/>
  <c r="V9" i="2"/>
  <c r="R157" i="2"/>
  <c r="L203" i="2"/>
  <c r="P203" i="2"/>
  <c r="Y203" i="2"/>
  <c r="I352" i="2"/>
  <c r="I351" i="2" s="1"/>
  <c r="Q557" i="2"/>
  <c r="K452" i="2"/>
  <c r="K604" i="2"/>
  <c r="G351" i="2"/>
  <c r="U203" i="2"/>
  <c r="M9" i="2"/>
  <c r="T10" i="2"/>
  <c r="T9" i="2" s="1"/>
  <c r="M452" i="2"/>
  <c r="O352" i="2"/>
  <c r="O351" i="2" s="1"/>
  <c r="K203" i="2"/>
  <c r="N157" i="2"/>
  <c r="R95" i="2"/>
  <c r="Q452" i="2"/>
  <c r="Q351" i="2" s="1"/>
  <c r="T95" i="2"/>
  <c r="K94" i="2"/>
  <c r="J95" i="2"/>
  <c r="J94" i="2" s="1"/>
  <c r="J203" i="2"/>
  <c r="U352" i="2"/>
  <c r="U351" i="2" s="1"/>
  <c r="J262" i="2"/>
  <c r="J261" i="2" s="1"/>
  <c r="Y351" i="2"/>
  <c r="U9" i="2"/>
  <c r="L95" i="2"/>
  <c r="L94" i="2" s="1"/>
  <c r="W352" i="2"/>
  <c r="N203" i="2"/>
  <c r="R203" i="2"/>
  <c r="R262" i="2"/>
  <c r="R261" i="2" s="1"/>
  <c r="F262" i="2"/>
  <c r="F261" i="2" s="1"/>
  <c r="N262" i="2"/>
  <c r="N261" i="2" s="1"/>
  <c r="T157" i="2"/>
  <c r="I9" i="2"/>
  <c r="O94" i="2"/>
  <c r="V203" i="2"/>
  <c r="H261" i="2"/>
  <c r="Q262" i="2"/>
  <c r="Q261" i="2" s="1"/>
  <c r="V262" i="2"/>
  <c r="V261" i="2" s="1"/>
  <c r="P556" i="2"/>
  <c r="M94" i="2"/>
  <c r="Q94" i="2"/>
  <c r="U94" i="2"/>
  <c r="H203" i="2"/>
  <c r="M352" i="2"/>
  <c r="S351" i="2"/>
  <c r="W94" i="2"/>
  <c r="G9" i="2"/>
  <c r="P94" i="2"/>
  <c r="X203" i="2"/>
  <c r="G556" i="2"/>
  <c r="T556" i="2"/>
  <c r="X94" i="2"/>
  <c r="O9" i="2"/>
  <c r="H351" i="2"/>
  <c r="I203" i="2"/>
  <c r="N352" i="2"/>
  <c r="N556" i="2"/>
  <c r="W556" i="2"/>
  <c r="N94" i="2"/>
  <c r="T351" i="2"/>
  <c r="W9" i="2"/>
  <c r="F94" i="2"/>
  <c r="F203" i="2"/>
  <c r="P351" i="2"/>
  <c r="Q203" i="2"/>
  <c r="V352" i="2"/>
  <c r="V351" i="2" s="1"/>
  <c r="V556" i="2"/>
  <c r="I557" i="2"/>
  <c r="Y557" i="2"/>
  <c r="Y556" i="2" s="1"/>
  <c r="R556" i="2"/>
  <c r="Q556" i="2" l="1"/>
  <c r="W351" i="2"/>
  <c r="K556" i="2"/>
  <c r="N351" i="2"/>
  <c r="I556" i="2"/>
  <c r="L556" i="2"/>
  <c r="K351" i="2"/>
  <c r="R94" i="2"/>
  <c r="M351" i="2"/>
  <c r="T94" i="2"/>
</calcChain>
</file>

<file path=xl/sharedStrings.xml><?xml version="1.0" encoding="utf-8"?>
<sst xmlns="http://schemas.openxmlformats.org/spreadsheetml/2006/main" count="4916" uniqueCount="2289">
  <si>
    <t>Kodas</t>
  </si>
  <si>
    <t>ŠAKIŲ RAJONO SAVIVALDYBĖS ADMINISTRACIJOS 2023 METŲ VEIKLOS PLANO ATASKAITA</t>
  </si>
  <si>
    <t>Vykdytojas</t>
  </si>
  <si>
    <t>Atsakingas (-i) asmuo (-ys)</t>
  </si>
  <si>
    <t>Papildomas (-i) požymis (-iai)</t>
  </si>
  <si>
    <t>Lėšos biudžetiniams metams</t>
  </si>
  <si>
    <t>Finansavimo lėšos</t>
  </si>
  <si>
    <t>Panaudotos lėšos biudžetiniams metams</t>
  </si>
  <si>
    <t>Poveikio /Rezultato /Produkto /Veiklos efektyvumo</t>
  </si>
  <si>
    <t>SB</t>
  </si>
  <si>
    <t>SB (PĮ; KTP)</t>
  </si>
  <si>
    <t>SB (AA)</t>
  </si>
  <si>
    <t>SB (VB D)</t>
  </si>
  <si>
    <t>SP</t>
  </si>
  <si>
    <t>ES</t>
  </si>
  <si>
    <t>VB</t>
  </si>
  <si>
    <t>VIP</t>
  </si>
  <si>
    <t>KT</t>
  </si>
  <si>
    <t>SB(IP)</t>
  </si>
  <si>
    <t>SB(AA)</t>
  </si>
  <si>
    <t>SB(D)</t>
  </si>
  <si>
    <t>Rodiklis</t>
  </si>
  <si>
    <t>Mato vnt.</t>
  </si>
  <si>
    <t>2023</t>
  </si>
  <si>
    <t>Pastaba</t>
  </si>
  <si>
    <t>Planas</t>
  </si>
  <si>
    <t>Faktas</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</si>
  <si>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</si>
  <si>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</si>
  <si>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</si>
  <si>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</si>
  <si>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</si>
  <si>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</si>
  <si>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</si>
  <si>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</si>
  <si>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</si>
  <si>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55,00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</si>
  <si>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</si>
  <si>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</si>
  <si>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</si>
  <si>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</si>
  <si>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</si>
  <si>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</si>
  <si>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</si>
  <si>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įrangą brandos egzaminų vykdymui švietimo įstaigose</t>
  </si>
  <si>
    <t>Gintaras  Demenius</t>
  </si>
  <si>
    <t>TP</t>
  </si>
  <si>
    <t>Gaunamų iš Švietimo ir mokslo ministerijos priemonių skaičius</t>
  </si>
  <si>
    <t>200,00</t>
  </si>
  <si>
    <t>6,00</t>
  </si>
  <si>
    <t>2023 m.: ŠMSM skyrė mažiau įrangos nei planuota.</t>
  </si>
  <si>
    <t>01.01.01.01.01</t>
  </si>
  <si>
    <t>Veikla: Įsigyti įrangą brandos egzaminų vykdymui</t>
  </si>
  <si>
    <t>01.01.01.02</t>
  </si>
  <si>
    <t>Priemonė. Atnaujinti mokyklinį transportą</t>
  </si>
  <si>
    <t>Įsigytų transporto priemonių skaičius</t>
  </si>
  <si>
    <t>1,00</t>
  </si>
  <si>
    <t>0,00</t>
  </si>
  <si>
    <t>2023 m.: ŠMSM neskyrė lėšų.</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</si>
  <si>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</si>
  <si>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</si>
  <si>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</si>
  <si>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</si>
  <si>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</si>
  <si>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</si>
  <si>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14,00</t>
  </si>
  <si>
    <t>2023 m.: Ištaisyta skaičiavimo klaida.</t>
  </si>
  <si>
    <t>01.01.01.03.01</t>
  </si>
  <si>
    <t>Veikla: Finansuoti egzaminų vykdymą, išlyginti tarifinių atlygių koeficientų skirtumus, mažiau pasirenkamų užsienio kalbų mokymą</t>
  </si>
  <si>
    <t>01.01.01.05.</t>
  </si>
  <si>
    <t>Priemonė. Mokinių pavėžėjimo programa</t>
  </si>
  <si>
    <t>Mokinių, pavežamų maršrutiniu transportu, skaičius</t>
  </si>
  <si>
    <t>420,00</t>
  </si>
  <si>
    <t>334,00</t>
  </si>
  <si>
    <t>2023 m.: Patikslinta pagal mokyklų duomenis.</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</si>
  <si>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</si>
  <si>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</si>
  <si>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</si>
  <si>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</si>
  <si>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</si>
  <si>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</si>
  <si>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</si>
  <si>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</si>
  <si>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3,00</t>
  </si>
  <si>
    <t>Skirtų premijų šimtukininkams ir mokiniams už aukštus mokymosi rezultatus skaičius</t>
  </si>
  <si>
    <t>12,00</t>
  </si>
  <si>
    <t>2023 m.: Egzaminus šimtuku išlaikė 1 mokinys, 2 mokiniams skirta premija už labai gerus ugdymo pasiekimus.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</si>
  <si>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</si>
  <si>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</si>
  <si>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</si>
  <si>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</si>
  <si>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</si>
  <si>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</si>
  <si>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</si>
  <si>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290,00</t>
  </si>
  <si>
    <t>01.01.01.09.01.</t>
  </si>
  <si>
    <t>Veikla:  Nupirkti mokyklinės dokumentacijos leidinių</t>
  </si>
  <si>
    <t>01.01.01.09.02.</t>
  </si>
  <si>
    <t>Veikla:  Paskirstyti Švietimo,mokslo ir sporto ministerijos skirtus leidinius</t>
  </si>
  <si>
    <t>01.01.01.11.</t>
  </si>
  <si>
    <t>Priemonė: Vaikų vasaros stovyklų programa</t>
  </si>
  <si>
    <t>BĮ Šakių kultūros centras; Šakių rajono jaunimo kūrybos ir sporto centras</t>
  </si>
  <si>
    <t>Neformaliojo ugdymo programų skaičius</t>
  </si>
  <si>
    <t>21,00</t>
  </si>
  <si>
    <t>40,00</t>
  </si>
  <si>
    <t>2023 m.: Sumažėjus NVŠ dalyvių skaičiui, panaudotos nevisos lėšos.</t>
  </si>
  <si>
    <t>Mokiniams organizuotų stovyklų skaičius</t>
  </si>
  <si>
    <t>10,00</t>
  </si>
  <si>
    <t>16,00</t>
  </si>
  <si>
    <t>2023 m.: Gauta daugiau projektų paraiškų.</t>
  </si>
  <si>
    <t>01.01.01.11.01</t>
  </si>
  <si>
    <t>Veikla. Skirti lėšas vaikų vasaros stovykloms organizuoti</t>
  </si>
  <si>
    <t>01.01.01.11.02</t>
  </si>
  <si>
    <t>Veikla. Skirti lėšas neformaliojo vaikų švietimo programoms</t>
  </si>
  <si>
    <t>01.01.01.14</t>
  </si>
  <si>
    <t>Priemonė: Kokybės krepšelio lėšos</t>
  </si>
  <si>
    <t>Kokybės krepšelį naudojančių įstaigų skaičius</t>
  </si>
  <si>
    <t>01.01.01.14.01</t>
  </si>
  <si>
    <t>Veikla: Vykdyti mokytojų kvalifikacijos kėlimą</t>
  </si>
  <si>
    <t>01.01.01.14.02</t>
  </si>
  <si>
    <t>Veikla. Įsigyti naujų mokymo priemonių</t>
  </si>
  <si>
    <t>01.01.01.15.</t>
  </si>
  <si>
    <t>Priemonė. Apdrausti priemones, įsigytas iš Kokybės krepšelio lėšų</t>
  </si>
  <si>
    <t>Apdraustų priemonių skaičius</t>
  </si>
  <si>
    <t>70,00</t>
  </si>
  <si>
    <t>2023 m.: Pasibaigė projektas.</t>
  </si>
  <si>
    <t>01.01.01.15.01</t>
  </si>
  <si>
    <t>Veikla: Apdausti mokymo priemones įsigytas iš „Kokybės krepšelio“ lėšų</t>
  </si>
  <si>
    <t>01.01.01.18</t>
  </si>
  <si>
    <t>Priemonė. Įsteigti švietimo pagalbos specialistų pareigybes</t>
  </si>
  <si>
    <t>Švietimo įstaigų, kurioms skirti švietimo pagalbos specialistai, etatai</t>
  </si>
  <si>
    <t>2023 m.: Nepanaudotos lėšos, nes nebuvo prašymų šiai priemonei,  perkeltos į 01.08.01.01. priemonę "Įgyvendinti "Tūkstantmečio mokyklų" programą.</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</si>
  <si>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</si>
  <si>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</si>
  <si>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</si>
  <si>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</si>
  <si>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</si>
  <si>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</si>
  <si>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22,00</t>
  </si>
  <si>
    <t>20,00</t>
  </si>
  <si>
    <t>01.01.01.22.01</t>
  </si>
  <si>
    <t>Veikla. Pavėžėti mokinius seniūnijos autobusu</t>
  </si>
  <si>
    <t>01.01.01.23.</t>
  </si>
  <si>
    <t>Priemonė. Mokinius vežančių Kriūkų seniūnijos autobusų išlaikymo programa</t>
  </si>
  <si>
    <t>Kriūkų seniūnija</t>
  </si>
  <si>
    <t>2023 m.: Patikslinta 2023 m. rugsėjo mėn. duomenimis.</t>
  </si>
  <si>
    <t>01.01.01.23.01</t>
  </si>
  <si>
    <t>01.01.01.24.</t>
  </si>
  <si>
    <t>Priemonė. Mokinius vežančių Kudirkos Naumiesčio seniūnijos autobusų išlaikymo programa</t>
  </si>
  <si>
    <t>Kudirkos Naumiesčio seniūnija</t>
  </si>
  <si>
    <t>43,00</t>
  </si>
  <si>
    <t>31,00</t>
  </si>
  <si>
    <t>2023 m.: Sumažėjo pavežamų mokinių skaičius,
mokiniams išvykus į kitas mokymosi
įstaigas.</t>
  </si>
  <si>
    <t>01.01.01.24.01</t>
  </si>
  <si>
    <t>01.01.01.25.</t>
  </si>
  <si>
    <t>Priemonė. Mokinius vežančių Lekėčių seniūnijos autobusų išlaikymo programa</t>
  </si>
  <si>
    <t>Lekėčių seniūnija</t>
  </si>
  <si>
    <t>24,00</t>
  </si>
  <si>
    <t>01.01.01.25.01</t>
  </si>
  <si>
    <t>01.01.01.26.</t>
  </si>
  <si>
    <t>Priemonė. Mokinius vežančius Sudargo seniūnijos autobusų išlaikymo programa</t>
  </si>
  <si>
    <t>Sudargo seniūnija</t>
  </si>
  <si>
    <t>15,00</t>
  </si>
  <si>
    <t>2023 m.: Skirtų lėšų visa suma nebuvo panaudota, kadangi mokiniai buvo pavėžėjami tik keturis mėnesius sugedus autobusui.</t>
  </si>
  <si>
    <t>01.01.01.26.01</t>
  </si>
  <si>
    <t>01.01.02.</t>
  </si>
  <si>
    <t>Uždavinys. Tobulinti pedagoginio personalo klvalifikacijos kėlimą ir persikvalifikavimo galimybes.</t>
  </si>
  <si>
    <t>Pakėlusių kvalifikaciją pedagogų skaičius</t>
  </si>
  <si>
    <t>120,00</t>
  </si>
  <si>
    <t>516,00</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</si>
  <si>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</si>
  <si>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</si>
  <si>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</si>
  <si>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</si>
  <si>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</si>
  <si>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</si>
  <si>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</si>
  <si>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</si>
  <si>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5,00</t>
  </si>
  <si>
    <t>2023 m.: Daugiau prašymų nebuvo gauta.</t>
  </si>
  <si>
    <t>01.01.02.02.01</t>
  </si>
  <si>
    <t>Veikla: Sudaryti persikvalifikavimo galimybes mokytojams</t>
  </si>
  <si>
    <t>01.03.</t>
  </si>
  <si>
    <t>Tikslas. Suaugusiųjų mokymo (si) sistemos, sąlygų ir paskatų plėtojimas</t>
  </si>
  <si>
    <t>Besimokančių suaugusiųjų žmonių dalis procentais</t>
  </si>
  <si>
    <t>85,00</t>
  </si>
  <si>
    <t>01.03.02.</t>
  </si>
  <si>
    <t>Uždavinys. Didinti neformaliojo švietimo prieinamumą ir galimybes</t>
  </si>
  <si>
    <t>Programų skaičius</t>
  </si>
  <si>
    <t>01.03.02.01.</t>
  </si>
  <si>
    <t>Priemonė. Vykdyti Trečiojo amžiaus universiteto veiklą</t>
  </si>
  <si>
    <t>Veikiančių fakultetų skaičius</t>
  </si>
  <si>
    <t>01.03.02.01.01.</t>
  </si>
  <si>
    <t>Veikla: Vykdyti Trečiojo amžiaus universiteto 6 fakultetų veiklą</t>
  </si>
  <si>
    <t>01.04.</t>
  </si>
  <si>
    <t>Tikslas. Sveiko gyvenimo būdo ir sporto propogavimas</t>
  </si>
  <si>
    <t>Besilaikančiųjų sveiko gyvenimo būdo dalis</t>
  </si>
  <si>
    <t>60,00</t>
  </si>
  <si>
    <t>01.04.01.</t>
  </si>
  <si>
    <t>Uždavinys. Skatinti sporto klubų ir masinių sportinių renginių veiklas</t>
  </si>
  <si>
    <t>180,00</t>
  </si>
  <si>
    <t>01.04.01.01.</t>
  </si>
  <si>
    <t>Priemonė. VšĮ Šakių krepšinio klubo finansavimo programa</t>
  </si>
  <si>
    <t>NKL varžybų skaičius</t>
  </si>
  <si>
    <t>39,00</t>
  </si>
  <si>
    <t>01.04.01.01.01</t>
  </si>
  <si>
    <t>Veikla:  Vykdyti VšĮ Šakių krepšinio klubo finansavimo programą</t>
  </si>
  <si>
    <t>01.04.01.05.</t>
  </si>
  <si>
    <t>Priemonė. Organizuoti „3 prieš 3“ turnyrą</t>
  </si>
  <si>
    <t>Renginių skaičius</t>
  </si>
  <si>
    <t>2023 m.: Lėšos buvo numatytos Šakių JKSC.</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</si>
  <si>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</si>
  <si>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</si>
  <si>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</si>
  <si>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</si>
  <si>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</si>
  <si>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</si>
  <si>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</si>
  <si>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9,00</t>
  </si>
  <si>
    <t>01.05.01.</t>
  </si>
  <si>
    <t>Uždavinys. Skatinti ir palaikyti jaunimo iniciatyvas.</t>
  </si>
  <si>
    <t>01.05.01.01</t>
  </si>
  <si>
    <t>Priemonė. Skatinti ir palaikyti jaunimo iniciatyvas</t>
  </si>
  <si>
    <t>Projektų, skirtų jaunimo iniciatyvų skatinimui, jaunimo mokymams ir gerosios patirties sklaidai, skaičius</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</si>
  <si>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</si>
  <si>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</si>
  <si>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</si>
  <si>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</si>
  <si>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</si>
  <si>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</si>
  <si>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</si>
  <si>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28,00</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</si>
  <si>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</si>
  <si>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</si>
  <si>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</si>
  <si>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</si>
  <si>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</si>
  <si>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</si>
  <si>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</si>
  <si>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kultūros centras; BĮ Socialinių paslaugų centras</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</si>
  <si>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</si>
  <si>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</si>
  <si>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</si>
  <si>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</si>
  <si>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</si>
  <si>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</si>
  <si>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</si>
  <si>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</si>
  <si>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</si>
  <si>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2023 m.: Nebuvo pateikta prašymų.</t>
  </si>
  <si>
    <t>01.06.01.</t>
  </si>
  <si>
    <t>Uždavinys. Vykdyti tarpinstitucinį bendradarbiavimą teikiant koordinuotą pagalbą vaikui ir šeimai</t>
  </si>
  <si>
    <t>Gavusių koordinuotą pagalbą šeimų skaičius</t>
  </si>
  <si>
    <t>19,00</t>
  </si>
  <si>
    <t>2023 m.: Padidėjo paslaugų poreikis</t>
  </si>
  <si>
    <t>01.06.01.01.</t>
  </si>
  <si>
    <t>Priemonė. Teikti koordinuotą pagalbą vaikui ir šeimai</t>
  </si>
  <si>
    <t>TN</t>
  </si>
  <si>
    <t>Šeimų, gavusių koordinuotai teikiamas paslaugas, skaičius</t>
  </si>
  <si>
    <t>2023 m.: Nebuvo poreikio.</t>
  </si>
  <si>
    <t>Vaikų, gavusių paskirtas minimalios ar vidutinės priežiūros priemones, skaičius</t>
  </si>
  <si>
    <t>Vaikų, gavusių paskirtą privalomą ikimokyklinį ugdymą, skaičius</t>
  </si>
  <si>
    <t>2023 m.: Padidėjęs paslaugų poreikis</t>
  </si>
  <si>
    <t>01.06.01.01.01</t>
  </si>
  <si>
    <t>Veikla: Vykdyti tarpinstitucinį bendradarbiavimą teikiant pagalbą, paslaugas vaikui ir šeimai</t>
  </si>
  <si>
    <t>01.07.</t>
  </si>
  <si>
    <t>Tikslas. Efektyvaus viešojo valdymo sistemos sukūrimas.</t>
  </si>
  <si>
    <t>Įdiegtų  išmaniųjų sistemų aprėptis procentais</t>
  </si>
  <si>
    <t>35,00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</si>
  <si>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</si>
  <si>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</si>
  <si>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</si>
  <si>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</si>
  <si>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</si>
  <si>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</si>
  <si>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</si>
  <si>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</si>
  <si>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01.08.</t>
  </si>
  <si>
    <t>Tikslas. Švietimo įtraukties ir veiksmingumo didinimas, siekiant atitikties asmens ir visuomenės poreikiams.</t>
  </si>
  <si>
    <t>Aukštąjį išsilavinimą turinčių 25–34 metų gyventojų dalis, proc.</t>
  </si>
  <si>
    <t>60,40</t>
  </si>
  <si>
    <t>01.08.02.</t>
  </si>
  <si>
    <t>Uždavinys. Gerinti atitiktį tarp švietimo sistemoje įgyjamų ir darbo rinkoje bei prisitaikyti kintančioje aplinkoje reikalingų kompetencijų.</t>
  </si>
  <si>
    <t>P</t>
  </si>
  <si>
    <t>Mokinių (5–12 klasių), gavusių profesinio orientavimo paslaugas, dalis proc.</t>
  </si>
  <si>
    <t>100,00</t>
  </si>
  <si>
    <t>01.08.02.01.</t>
  </si>
  <si>
    <t>Priemonė. Įgyvendinti projektą "Karjeros specialistų tinklo vystymas"</t>
  </si>
  <si>
    <t>PP</t>
  </si>
  <si>
    <t>Karjeros specialistų etatų skaičius</t>
  </si>
  <si>
    <t>3,20</t>
  </si>
  <si>
    <t>01.08.02.01.01</t>
  </si>
  <si>
    <t>Veikla. Skirti finansavimą iš dalies karjeros specialistų etatų išlaikymui</t>
  </si>
  <si>
    <t>01.09.</t>
  </si>
  <si>
    <t>Tikslas. Ryšių su diaspora stiprinimas.</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</si>
  <si>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</si>
  <si>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</si>
  <si>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</si>
  <si>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</si>
  <si>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25,00</t>
  </si>
  <si>
    <t>01.09.01.01.</t>
  </si>
  <si>
    <t>Priemonė. Organizuoti vaikų vasaros stovyklą, įtraukiant diasporos vaikus</t>
  </si>
  <si>
    <t>Lankiusių stovyklą, diasporos vaikams, vaikų skaičius</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</si>
  <si>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</si>
  <si>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</si>
  <si>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</si>
  <si>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</si>
  <si>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</si>
  <si>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</si>
  <si>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</si>
  <si>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</si>
  <si>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</si>
  <si>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</si>
  <si>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Aušra Slidziauskienė; Iveta Ignatjevaitė</t>
  </si>
  <si>
    <t>04.01.</t>
  </si>
  <si>
    <t xml:space="preserve">Tikslas: Darnaus išteklių naudojimo skatinimas.  </t>
  </si>
  <si>
    <t>Aušra Slidziauskienė</t>
  </si>
  <si>
    <t>Renovuotų daugiabučių namų dalis procentais</t>
  </si>
  <si>
    <t>04.01.01.</t>
  </si>
  <si>
    <t>Uždavinys: Kompleksiškai plėtoti ir puoselėti  rekreacines teritorijas, želdynus, tvenkinius bei kitas viešąsias erdves, pritaikant jas gyventojų bei verslo poreikiams</t>
  </si>
  <si>
    <t>Pritaikytų viešųjų erdvių skaičius</t>
  </si>
  <si>
    <t>04.01.01.03.</t>
  </si>
  <si>
    <t>Priemonė: įgyvendinti projektą  „Gelgaudiškio dvaro parko sutvarkymas.“ (V-016)</t>
  </si>
  <si>
    <t>Miglė Kriaučiūnienė</t>
  </si>
  <si>
    <t>Vykdomų rangos sutarčių skaičius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</si>
  <si>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</si>
  <si>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</si>
  <si>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</si>
  <si>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</si>
  <si>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 GWh</t>
  </si>
  <si>
    <t>GWh</t>
  </si>
  <si>
    <t>0,53</t>
  </si>
  <si>
    <t>04.01.03.03.</t>
  </si>
  <si>
    <t>Priemonė. Įgyvendinti projektą ,,Saulės fotovoltinės jėgainės diegimas Šakių rajono savivaldybės administracijos pastate, esančiame Bažnyčios g. 4, Šakiuose"</t>
  </si>
  <si>
    <t>PP, TI</t>
  </si>
  <si>
    <t>Parengtų ŠESD (šiltnamio efektą sukeliančių dujų) ataskaitų skaičius</t>
  </si>
  <si>
    <t>2023 m.: Ataskaita nebuvo pateikta, nes nebuvo atliktos viešųjų pirkimų procedūros.</t>
  </si>
  <si>
    <t>04.01.03.03.03.</t>
  </si>
  <si>
    <t>Veikla: Parengti ŠESD (šiltnamio efektą sukeliančių dujų) ataskaitą</t>
  </si>
  <si>
    <t>04.01.03.04.</t>
  </si>
  <si>
    <t>Priemonė. Įgyvendinti projektą ,,Saulės fotovoltinės jėgainės diegimas Šakių ,,Žiburio" gimnazijoje, esančioje V. Kudirkos g. 33, Šakiuose"</t>
  </si>
  <si>
    <t>04.01.03.04.02.</t>
  </si>
  <si>
    <t>04.01.03.05.</t>
  </si>
  <si>
    <t>Priemonė. Įgyvendinti projektą ,,Saulės fotovoltinės jėgainės diegimas Šakių lopšelyje darželyje ,,Berželis", esančiame Gimnazijos g. 7, Šakiuose"</t>
  </si>
  <si>
    <t>04.01.03.05.02.</t>
  </si>
  <si>
    <t>04.01.03.06.</t>
  </si>
  <si>
    <t>Priemonė. Įgyvendinti projektą ,,Saulės fotovoltinės jėgainės diegimas Šakių darželyje ,,Klevelis", esančiame Šaulių g. 20, Šakiuose"</t>
  </si>
  <si>
    <t>04.01.03.06.02.</t>
  </si>
  <si>
    <t>04.01.03.07.</t>
  </si>
  <si>
    <t>Priemonė. Įgyvendinti projektą ,,Saulės fotovoltinės jėgainės diegimas Kukarskės globos namuose, esančiuose Nemuno g. 136, Kukarskės k. Kidulių sen.,Šakių r."</t>
  </si>
  <si>
    <t>2023 m.: Agentūrai leidus ataskaita pateikta 2024 m. vasario mėn.</t>
  </si>
  <si>
    <t>04.01.03.07.02.</t>
  </si>
  <si>
    <t>04.01.03.08.</t>
  </si>
  <si>
    <t>Priemonė. Įgyvendinti projektą ,,Atsinaujinančių energijos šaltinių diegimas Šakių rajono savivaldybės jaunimo kūrybos ir sporto centre"</t>
  </si>
  <si>
    <t>2023 m.: Projekto veiklos baigtos vykdyti 2023 m. gegužės mėnesį. Ataskaita teikiama vieneri metai po projekto įgyvendinimo.</t>
  </si>
  <si>
    <t>04.01.03.08.02.</t>
  </si>
  <si>
    <t>04.01.03.09.</t>
  </si>
  <si>
    <t>Priemonė. Įgyvendinti projektą ,,Atsinaujinančių energijos šaltinių diegimas Šakių rajono Kudirkos Naumiesčio Vinco Kudirkos gimnazijoje"</t>
  </si>
  <si>
    <t>2023 m.: Ataskaitą įstaiga pateikė 2024 m. vasario mėn.</t>
  </si>
  <si>
    <t>04.01.03.09.02.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</si>
  <si>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</si>
  <si>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</si>
  <si>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</si>
  <si>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</si>
  <si>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</si>
  <si>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</si>
  <si>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Modernizuotų/atnaujintų pastatų skaičius</t>
  </si>
  <si>
    <t>Atlikta autorinių projekto priežiūrų, procentais</t>
  </si>
  <si>
    <t>Atlikta rangos darbų, procentais</t>
  </si>
  <si>
    <t>2023 m.: 2023 m. APVA nepaskelbus kvietimo, rangos darbai neįsigyti.</t>
  </si>
  <si>
    <t>Atlikta rangos darbų techninės priežiūros, procentais</t>
  </si>
  <si>
    <t>04.01.03.12.02.</t>
  </si>
  <si>
    <t>Veikla: Modernizuoti/atnaujinti Šakių ,,Žiburio" gimnaziją</t>
  </si>
  <si>
    <t>04.01.04.</t>
  </si>
  <si>
    <t>Uždavinys: Rengti teritorijų planavimo dokumentus</t>
  </si>
  <si>
    <t>Antanas Grigaitis</t>
  </si>
  <si>
    <t>Suplanuotų teritorijų skaičius</t>
  </si>
  <si>
    <t>04.01.04.01.</t>
  </si>
  <si>
    <t>Priemonė: Teritorijų planavimo dokumentų rengimas</t>
  </si>
  <si>
    <t>Parengtų projektų teritorijų planavimo dokumentų skaičius</t>
  </si>
  <si>
    <t>2023 m.: Nebuvo pasiekti rodikliai bendrojo miesto ir rajono plano rengimo, nes pirmiau turėjo būti atlikta bendrojo plano stebėsena.</t>
  </si>
  <si>
    <t>04.01.04.01.04.</t>
  </si>
  <si>
    <t>Veikla: įsigyti Šakių miesto bendrojo ir detaliojo planų koregavimo paslaugas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</si>
  <si>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</si>
  <si>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</si>
  <si>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</si>
  <si>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</si>
  <si>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</si>
  <si>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</si>
  <si>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04.01.04.03.</t>
  </si>
  <si>
    <t>Priemonė: „Šakių rajono teritorijų pritaikymo šiandienos poreikiams parengtų priešprojektinių pasiūlymų parengimas ir viešinimo paslaugos, konkurso „Išmanusis mietas X“ metu“</t>
  </si>
  <si>
    <t>Architektūros ir urbanistikos skyrius</t>
  </si>
  <si>
    <t>Jurgita Bosikienė</t>
  </si>
  <si>
    <t>Priešprojektinių pasiūlymų skaičius</t>
  </si>
  <si>
    <t>2023 m.: Nupirkta paslauga 2023 m. ir sutartis pradėta vykdyti. Lėšos perkeliamos į 2024 m., priešprojektinių pasiūlymų galutinis pateikimo terminas liepos mėn.</t>
  </si>
  <si>
    <t>04.01.04.03.01.</t>
  </si>
  <si>
    <t>Veikla: Sudaryti sutartį priešprojektinių pasiūlymų paslaugų pirkimui</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</si>
  <si>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</si>
  <si>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</si>
  <si>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</si>
  <si>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</si>
  <si>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</si>
  <si>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Naujų  verslo zonų ir subzonų skaičius</t>
  </si>
  <si>
    <t>04.02.02.01.</t>
  </si>
  <si>
    <t>Priemonė: „Šakių pramonės zonos įrengimas“ / infrastruktūros įrengimo darbai (R)</t>
  </si>
  <si>
    <t>RE</t>
  </si>
  <si>
    <t>Parengtų techninių projektų dėl privažiavimų į PEZ teritoriją skaičius</t>
  </si>
  <si>
    <t>2023 m.: Parengtas investicinis bei nupirkta techninio projekto rengimas.</t>
  </si>
  <si>
    <t>04.02.02.01.05.</t>
  </si>
  <si>
    <t>Veikla: Parengti techninius projektus dėl privažiavimų į PEZ teritoriją</t>
  </si>
  <si>
    <t>04.03.</t>
  </si>
  <si>
    <t>Tikslas: Šiuolaikiškos susisiekimo sistemos plėtra.</t>
  </si>
  <si>
    <t>Vietinės reikšmės kelių su asfalto danga dalis procentais</t>
  </si>
  <si>
    <t>16,80</t>
  </si>
  <si>
    <t>04.03.01.</t>
  </si>
  <si>
    <t>Uždavinys: Modernizuoti ir plėtoti savivaldybės vietinės reikšmės kelius, gatves ir kitas susisiekimo komunikacijas</t>
  </si>
  <si>
    <t>Modernizuotų ir įrengtų vietinės reikšmės kelių ir gatvių  ilgis kilometrais</t>
  </si>
  <si>
    <t>km</t>
  </si>
  <si>
    <t>0,67</t>
  </si>
  <si>
    <t>04.03.01.01.</t>
  </si>
  <si>
    <t>Priemonė: Įgyvendinti projektą „Šakių miesto susisiekimo infrastruktūros modernizavimas" (TID-511)</t>
  </si>
  <si>
    <t>30,00</t>
  </si>
  <si>
    <t>2023 m.: Rangos darbai baigti 2023 m. Mokėjimo prašymas pateiktas 2023 m. gruodžio 28d (237 516,83 eur). Gautos ES lėšos persikelia į 2024 m., rengiami darbų užbaigimo dokumentai.</t>
  </si>
  <si>
    <t>04.03.01.01.08.</t>
  </si>
  <si>
    <t>Veikla: vykdyti Šakių miesto susisiekimo infrastruktūros modernizavimo rangos darbus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</si>
  <si>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</si>
  <si>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</si>
  <si>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</si>
  <si>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</si>
  <si>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</si>
  <si>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</si>
  <si>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</si>
  <si>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</si>
  <si>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</si>
  <si>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</si>
  <si>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</si>
  <si>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</si>
  <si>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</si>
  <si>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</si>
  <si>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</si>
  <si>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</si>
  <si>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</si>
  <si>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</si>
  <si>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</si>
  <si>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</si>
  <si>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</si>
  <si>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</si>
  <si>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</si>
  <si>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</si>
  <si>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Rekonstruojamų griovių ilgis kilometrais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</si>
  <si>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</si>
  <si>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</si>
  <si>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</si>
  <si>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</si>
  <si>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</si>
  <si>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</si>
  <si>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</si>
  <si>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</si>
  <si>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</si>
  <si>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</si>
  <si>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</si>
  <si>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</si>
  <si>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</si>
  <si>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</si>
  <si>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</si>
  <si>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</si>
  <si>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Parengtų projekto paraiškų skaičius</t>
  </si>
  <si>
    <t>04.04.01.09.01.</t>
  </si>
  <si>
    <t>Veikla: Parengti projekto  „Šakių rajono savivaldybės Baltrušių, Barzdų ir Patašinės kadastro vietovėse esančių melioracijos statinių rekonstravimas“ paraišką ir pateikti vertinimui.</t>
  </si>
  <si>
    <t>04.05.</t>
  </si>
  <si>
    <t>Tikslas: Kompleksinis miestelių ir kaimų bendruomeninės ir viešosios infrastruktūros atnaujinimas.</t>
  </si>
  <si>
    <t>Per 100 gyventojų turinčių vietovių kurių infrastruktūra atnaujinta dalis, procentais</t>
  </si>
  <si>
    <t>47,00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</si>
  <si>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</si>
  <si>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</si>
  <si>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</si>
  <si>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</si>
  <si>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</si>
  <si>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04.05.01.01.04.</t>
  </si>
  <si>
    <t>Veikla: Vykdyti projekto užbaigimo procedūras</t>
  </si>
  <si>
    <t>04.05.01.02.</t>
  </si>
  <si>
    <t>Priemonė: Įgyvendinti projektą ,,Lukšių gyvenamosios vietovės atnaujinimas" (R-908)</t>
  </si>
  <si>
    <t>Vykdomų rangos darbų sutarčių skaičius</t>
  </si>
  <si>
    <t>2023 m.: Kadangi tai tęstinė priemonė, 2023 m. planuotos lėšos negrįžo, jos persikėlė į 2024 m.</t>
  </si>
  <si>
    <t>04.05.01.02.04.</t>
  </si>
  <si>
    <t>Veikla: vykdyti Lukšių  gyvenamosios vietovės atnaujinimo rangos darbus</t>
  </si>
  <si>
    <t>04.05.02.</t>
  </si>
  <si>
    <t>Uždavinys:  Atnaujinti gyvenviečių, turinčių iki  1000 gyventojų viešąją infrastruktūrą</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</si>
  <si>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</si>
  <si>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</si>
  <si>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</si>
  <si>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</si>
  <si>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</si>
  <si>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</si>
  <si>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</si>
  <si>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</si>
  <si>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</si>
  <si>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</si>
  <si>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</si>
  <si>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</si>
  <si>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</si>
  <si>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</si>
  <si>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</si>
  <si>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</si>
  <si>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</si>
  <si>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</si>
  <si>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</si>
  <si>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</si>
  <si>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</si>
  <si>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</si>
  <si>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</si>
  <si>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</si>
  <si>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</si>
  <si>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</si>
  <si>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</si>
  <si>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</si>
  <si>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</si>
  <si>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</si>
  <si>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</si>
  <si>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</si>
  <si>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04.10.01.01.05.</t>
  </si>
  <si>
    <t>Veikla: įsigyti medicininę ir kompiuterinę įrangą numatytą projekto sutartyje</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</si>
  <si>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</si>
  <si>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</si>
  <si>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</si>
  <si>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</si>
  <si>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</si>
  <si>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</si>
  <si>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</si>
  <si>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</si>
  <si>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</si>
  <si>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</si>
  <si>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</si>
  <si>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</si>
  <si>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</si>
  <si>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</si>
  <si>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</si>
  <si>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</si>
  <si>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</si>
  <si>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</si>
  <si>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</si>
  <si>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</si>
  <si>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</si>
  <si>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</si>
  <si>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17,00</t>
  </si>
  <si>
    <t>04.12.02.02.02.</t>
  </si>
  <si>
    <t>Veikla: Palaikyti bevielio interneto ryšio prieigos taškus (apmokėti už interneto paslaugas)</t>
  </si>
  <si>
    <t>04.14.</t>
  </si>
  <si>
    <t>Tikslas: Socialinių paslaugų prieinamumo  ir pasirinkimo užtikrinimas.</t>
  </si>
  <si>
    <t>Patenkintų prašymų dalis, procentais</t>
  </si>
  <si>
    <t>04.14.01.</t>
  </si>
  <si>
    <t>Uždavinys:Teikti socialinės globos paslaugas</t>
  </si>
  <si>
    <t>Asmenų, gavusių socialinės globos  paslaugas skaičius</t>
  </si>
  <si>
    <t>04.14.01.01.</t>
  </si>
  <si>
    <t>Priemonė: įgyvendinti projektą „Kompleksinių paslaugų šeimai plėtra Šakių savivaldybėje“ (V-416)</t>
  </si>
  <si>
    <t>Socialinių paslaugų suteikimo skaičius</t>
  </si>
  <si>
    <t>04.14.01.01.02.</t>
  </si>
  <si>
    <t>Veikla: rengti ir teikti projekto užbaigimui reikalingus dokumentus</t>
  </si>
  <si>
    <t>04.15.</t>
  </si>
  <si>
    <t xml:space="preserve">Tikslas: Socialinių paslaugų aprėpties didinimas.       </t>
  </si>
  <si>
    <t>Naujai gavusių socialines paslaugas asmenų skaičius</t>
  </si>
  <si>
    <t>250,00</t>
  </si>
  <si>
    <t>04.15.02.</t>
  </si>
  <si>
    <t>Uždavinys: Šakių rajono socialinio būsto fondo plėtra</t>
  </si>
  <si>
    <t>Įsigytų būstų skaičius</t>
  </si>
  <si>
    <t>04.15.02.01.</t>
  </si>
  <si>
    <t>Priemonė: įgyvendinti projektą „Šakių rajono savivaldybės socialinio būsto plėtra“ (R-408)</t>
  </si>
  <si>
    <t>2023 m.: Nepasiekta rodiklio reikšmė, nes nebuvo 1 kambario būstų pasiūlos, kuri atitiktų įsigyjamų būstų reikalavimus. ES lėšos buvo grąžintos.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</si>
  <si>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</si>
  <si>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</si>
  <si>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</si>
  <si>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</si>
  <si>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</si>
  <si>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</si>
  <si>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</si>
  <si>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</si>
  <si>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</si>
  <si>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</si>
  <si>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</si>
  <si>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</si>
  <si>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</si>
  <si>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</si>
  <si>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</si>
  <si>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</si>
  <si>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</si>
  <si>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2,75</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</si>
  <si>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</si>
  <si>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</si>
  <si>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</si>
  <si>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</si>
  <si>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</si>
  <si>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</si>
  <si>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2023 m.: Nepasiekta projekto rodiklio reikšmė, nes tikslinama tvarkybos darbų paraiška.</t>
  </si>
  <si>
    <t>04.17.01.10.01.</t>
  </si>
  <si>
    <t>Veikla: įsigyti Gelgaudiškio dvaro rūmų rūsio patalpų tvarkybos darbų projekto parengimo paslaugas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</si>
  <si>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</si>
  <si>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</si>
  <si>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</si>
  <si>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</si>
  <si>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</si>
  <si>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</si>
  <si>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</si>
  <si>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</si>
  <si>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</si>
  <si>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</si>
  <si>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</si>
  <si>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</si>
  <si>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</si>
  <si>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</si>
  <si>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</si>
  <si>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</si>
  <si>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</si>
  <si>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</si>
  <si>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</si>
  <si>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</si>
  <si>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</si>
  <si>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Įsigytų liaudies instrumentų skaičius</t>
  </si>
  <si>
    <t>06.01.02.01.01</t>
  </si>
  <si>
    <t>Veikla: Įsigyti tautinių kostiumų</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</si>
  <si>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</si>
  <si>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</si>
  <si>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</si>
  <si>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</si>
  <si>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</si>
  <si>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</si>
  <si>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2,50</t>
  </si>
  <si>
    <t>06.02.01.</t>
  </si>
  <si>
    <t>Uždavinys: Atgaivinti visuomenei reikšmingą kultūros ir tautinį paveldą ir didinti jo naudojimą visuomenės poreikiams</t>
  </si>
  <si>
    <t>Įveiklintų kultūros paveldo objektų dalis proc.</t>
  </si>
  <si>
    <t>53,00</t>
  </si>
  <si>
    <t>06.02.01.05.</t>
  </si>
  <si>
    <t>Priemonė. Zyplių dvaro sodybos svirno stogo ir fasado restauravimas</t>
  </si>
  <si>
    <t>Restauruotų pastatų skaičius</t>
  </si>
  <si>
    <t>Parengtų projektinių dokumentacijų skaičius</t>
  </si>
  <si>
    <t>2023 m.: Pritaikymo projektas bus rengiamas 2024 m.</t>
  </si>
  <si>
    <t>06.02.01.05.01</t>
  </si>
  <si>
    <t>Veikla: Parengti projektinius dokumentus Zyplių dvaro sodybos svirno stogo ir fasado restauravimui</t>
  </si>
  <si>
    <t>06.02.01.07.</t>
  </si>
  <si>
    <t>Priemonės: Zyplių dvaro sodybos parko restauravimas</t>
  </si>
  <si>
    <t>Restauruotų ir sutvarkytų dvaro parkų skaičius</t>
  </si>
  <si>
    <t>2023 m.: Rengiamas „Zyplių dvaro sodybos parko (u.k. 24748) tvarkybos darbų projekto, parko sausinimo dalies parengimo ir projekto vykdymo priežiūros atlikimo paslaugas“ techninis projektas.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</si>
  <si>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</si>
  <si>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</si>
  <si>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</si>
  <si>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</si>
  <si>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</si>
  <si>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</si>
  <si>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</si>
  <si>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</si>
  <si>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</si>
  <si>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</si>
  <si>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</si>
  <si>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</si>
  <si>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</si>
  <si>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</si>
  <si>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</si>
  <si>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</si>
  <si>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06.02.02.01.10.</t>
  </si>
  <si>
    <t>Veikla: Pastatyti Žvirgždaičių miestelyje paminklą Liorentų atminimui</t>
  </si>
  <si>
    <t>06.03.</t>
  </si>
  <si>
    <t>Tikslas: Palankių sąlygų sudarymas kultūros ir turizmo paslaugų plėtrai ir paslaugų kokybės gerinimui</t>
  </si>
  <si>
    <t>Asta  Kėvelaitytė</t>
  </si>
  <si>
    <t>Vartotojų skaičiaus augimas nuo 2017 m. procentais</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</si>
  <si>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</si>
  <si>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</si>
  <si>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</si>
  <si>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</si>
  <si>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</si>
  <si>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</si>
  <si>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</si>
  <si>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</si>
  <si>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</si>
  <si>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</si>
  <si>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</si>
  <si>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</si>
  <si>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</si>
  <si>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</si>
  <si>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</si>
  <si>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</si>
  <si>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2023 m.: Koofinansuotas NVO projektas (XIII muzikos festivalis "Beatričės vasaros")</t>
  </si>
  <si>
    <t>06.03.01.03.01</t>
  </si>
  <si>
    <t>Veikla: Koofinansuoti kultūros įstaigų projektus</t>
  </si>
  <si>
    <t>06.03.02.</t>
  </si>
  <si>
    <t>Uždavinys: Remti krašto autorių kūrybą ir kraštą reprezentuojančius leidinius</t>
  </si>
  <si>
    <t>Paremtų autorių skaičius</t>
  </si>
  <si>
    <t>06.03.02.01.</t>
  </si>
  <si>
    <t>Priemonė: Dalinai paremti leidiniai</t>
  </si>
  <si>
    <t>Dalinai paremtų leidinių skaičius</t>
  </si>
  <si>
    <t>2023 m.: Pagal autorių užklausas ir poreikį.</t>
  </si>
  <si>
    <t>06.03.02.01.01</t>
  </si>
  <si>
    <t>Veikla: Dalinai finansuoti leidiniai</t>
  </si>
  <si>
    <t>06.04.</t>
  </si>
  <si>
    <t>Tikslas.Turizmo plėtros skatinimas ir konkurencingumo didinimas</t>
  </si>
  <si>
    <t>Šakių turizmo ir verslo informacijos centras</t>
  </si>
  <si>
    <t>Daiva Palukaitienė</t>
  </si>
  <si>
    <t>Lankytojų ir turistų srautų augimas (lyginant su 2017 m.) procentais</t>
  </si>
  <si>
    <t>06.04.01.</t>
  </si>
  <si>
    <t>Uždavinys: Vykdyti aktyvią rinkodarą ir komunikaciją.</t>
  </si>
  <si>
    <t>Suorganizuotų rinkodaros priemonių skaičius</t>
  </si>
  <si>
    <t>06.04.01.01.</t>
  </si>
  <si>
    <t>Priemonė: Formuoti Šakių rajono turizmo reprezentacinį įvaizdį.</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</si>
  <si>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</si>
  <si>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</si>
  <si>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</si>
  <si>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</si>
  <si>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</si>
  <si>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</si>
  <si>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</si>
  <si>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</si>
  <si>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06.04.01.01.04.</t>
  </si>
  <si>
    <t>Veikla: Dalyvauti parodose, mugėse, pristatant Šakių r. turizmą</t>
  </si>
  <si>
    <t>06.04.01.01.05.</t>
  </si>
  <si>
    <t>Veikla: Organizuoti info turus žiniasklaidai, turizmo agentūroms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</si>
  <si>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</si>
  <si>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</si>
  <si>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</si>
  <si>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</si>
  <si>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 procentais</t>
  </si>
  <si>
    <t>Sukurtų naujų turizmo maršrutų, vnt.</t>
  </si>
  <si>
    <t>Naujai sukurtų ir/ar atnaujintų stendų skaičius</t>
  </si>
  <si>
    <t>06.05.01.01.</t>
  </si>
  <si>
    <t>Priemonė: Sukurti viešųjų paslaugų turistams ir turizmo paslaugų teikėjams plėtros modelį</t>
  </si>
  <si>
    <t>Aptarnautų vartotojų skaičius</t>
  </si>
  <si>
    <t>3 000,00</t>
  </si>
  <si>
    <t>1 500,00</t>
  </si>
  <si>
    <t>2023 m.: Suplanuotas per didelis skaičius. Daugėjant informacijos interneto svetainėje, socialiniuose tinkluose, tiek lankytojų  ofise, tiek skambinančių ar rašančių elektroninius laiškus ženkliai sumažėjo.</t>
  </si>
  <si>
    <t>Inicijuotų veiklų skaičius</t>
  </si>
  <si>
    <t>Sukurtų produktų skaičius</t>
  </si>
  <si>
    <t>Dalyvautų, organizuotų konferencijų, renginių skaičius</t>
  </si>
  <si>
    <t>Sudarytų ataskaitų skaičius</t>
  </si>
  <si>
    <t>06.05.01.01.01</t>
  </si>
  <si>
    <t>Veikla: Dalyvauti, organizuoti konferencijas, mokymus ir renginius, susitikimus su turizmo tiekėjais ir organizatoriais.</t>
  </si>
  <si>
    <t>06.05.01.01.06.</t>
  </si>
  <si>
    <t>Veikla: Tiesiogiai ir internetu teikti informaciją klientams, potencialiems turistams.</t>
  </si>
  <si>
    <t>06.05.01.01.07.</t>
  </si>
  <si>
    <t>Veikla: Viešinti turizmo paslaugų teikėjus ir jų paslaugas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</si>
  <si>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</si>
  <si>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</si>
  <si>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</si>
  <si>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</si>
  <si>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</si>
  <si>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</si>
  <si>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</si>
  <si>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</si>
  <si>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</si>
  <si>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</si>
  <si>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</si>
  <si>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170,00</t>
  </si>
  <si>
    <t>07.01.01.01.</t>
  </si>
  <si>
    <t>Priemonė: užtikrinti savivaldybės tarybos darbo funkcionalumą</t>
  </si>
  <si>
    <t>Posėdžių skaičius</t>
  </si>
  <si>
    <t>13,00</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</si>
  <si>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</si>
  <si>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</si>
  <si>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</si>
  <si>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</si>
  <si>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</si>
  <si>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</si>
  <si>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</si>
  <si>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</si>
  <si>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</si>
  <si>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</si>
  <si>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</si>
  <si>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</si>
  <si>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</si>
  <si>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141,00</t>
  </si>
  <si>
    <t>07.01.01.03.01</t>
  </si>
  <si>
    <t>Veikla: Savivaldybės administracijos darbuotojų darbo funkcijų vykdymo užtikrinimas</t>
  </si>
  <si>
    <t>07.01.01.03</t>
  </si>
  <si>
    <t>Priemonė: Užtikrinti savivaldybės administracijos darbo funkcionalumą. Nario mokestis.</t>
  </si>
  <si>
    <t>TD, TP</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</si>
  <si>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</si>
  <si>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</si>
  <si>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</si>
  <si>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</si>
  <si>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</si>
  <si>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</si>
  <si>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</si>
  <si>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</si>
  <si>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</si>
  <si>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</si>
  <si>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</si>
  <si>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</si>
  <si>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</si>
  <si>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</si>
  <si>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</si>
  <si>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</si>
  <si>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</si>
  <si>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</si>
  <si>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</si>
  <si>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</si>
  <si>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</si>
  <si>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</si>
  <si>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</si>
  <si>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</si>
  <si>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</si>
  <si>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</si>
  <si>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</si>
  <si>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</si>
  <si>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</si>
  <si>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</si>
  <si>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</si>
  <si>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</si>
  <si>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</si>
  <si>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</si>
  <si>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</si>
  <si>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</si>
  <si>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</si>
  <si>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</si>
  <si>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</si>
  <si>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</si>
  <si>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</si>
  <si>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</si>
  <si>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</si>
  <si>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</si>
  <si>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</si>
  <si>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</si>
  <si>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</si>
  <si>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</si>
  <si>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</si>
  <si>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</si>
  <si>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</si>
  <si>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</si>
  <si>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</si>
  <si>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</si>
  <si>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</si>
  <si>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</si>
  <si>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</si>
  <si>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</si>
  <si>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</si>
  <si>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</si>
  <si>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</si>
  <si>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</si>
  <si>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</si>
  <si>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</si>
  <si>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</si>
  <si>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</si>
  <si>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</si>
  <si>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</si>
  <si>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</si>
  <si>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</si>
  <si>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</si>
  <si>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</si>
  <si>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</si>
  <si>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</si>
  <si>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</si>
  <si>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</si>
  <si>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</si>
  <si>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</si>
  <si>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</si>
  <si>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</si>
  <si>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</si>
  <si>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</si>
  <si>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</si>
  <si>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</si>
  <si>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</si>
  <si>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</si>
  <si>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</si>
  <si>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</si>
  <si>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</si>
  <si>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</si>
  <si>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</si>
  <si>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</si>
  <si>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</si>
  <si>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</si>
  <si>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</si>
  <si>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</si>
  <si>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</si>
  <si>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</si>
  <si>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</si>
  <si>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</si>
  <si>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</si>
  <si>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</si>
  <si>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</si>
  <si>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</si>
  <si>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</si>
  <si>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49,10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</si>
  <si>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</si>
  <si>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</si>
  <si>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</si>
  <si>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</si>
  <si>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</si>
  <si>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</si>
  <si>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</si>
  <si>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</si>
  <si>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185,00</t>
  </si>
  <si>
    <t>07.01.03.01.</t>
  </si>
  <si>
    <t>Priemonė: Organizuoti reprezentacijas ir dalyvauti švenčių ir renginių organizavime</t>
  </si>
  <si>
    <t>Bendrųjų reikalų skyrius</t>
  </si>
  <si>
    <t>Rita Vaičiūnienė</t>
  </si>
  <si>
    <t>163,00</t>
  </si>
  <si>
    <t>129,00</t>
  </si>
  <si>
    <t>07.01.03.01.01</t>
  </si>
  <si>
    <t>Veikla: Reprezentacijų, švenčių ir renginių organizavimo bei atsovavimo užtikrinimas</t>
  </si>
  <si>
    <t>07.01.03.02.</t>
  </si>
  <si>
    <t>Priemonė: Reprezentacinis pavėžėjimas</t>
  </si>
  <si>
    <t>Reprezentacinių pavėžėjimų skaičius</t>
  </si>
  <si>
    <t>65,00</t>
  </si>
  <si>
    <t>63,00</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</si>
  <si>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</si>
  <si>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</si>
  <si>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</si>
  <si>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</si>
  <si>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</si>
  <si>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</si>
  <si>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</si>
  <si>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128,00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</si>
  <si>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</si>
  <si>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</si>
  <si>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</si>
  <si>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</si>
  <si>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</si>
  <si>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</si>
  <si>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</si>
  <si>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2023 m.: Nebuvo gauta prašymų</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</si>
  <si>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</si>
  <si>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</si>
  <si>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</si>
  <si>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</si>
  <si>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</si>
  <si>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</si>
  <si>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</si>
  <si>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</si>
  <si>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</si>
  <si>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</si>
  <si>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</si>
  <si>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</si>
  <si>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</si>
  <si>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</si>
  <si>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</si>
  <si>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</si>
  <si>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</si>
  <si>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</si>
  <si>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</si>
  <si>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</si>
  <si>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</si>
  <si>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</si>
  <si>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</si>
  <si>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42,00</t>
  </si>
  <si>
    <t>07.01.05.03.01.</t>
  </si>
  <si>
    <t>Veikla: Pateikti užsakymus užregistruoti NT objektus ir juridinius faktus</t>
  </si>
  <si>
    <t>07.01.05.04.</t>
  </si>
  <si>
    <t>Priemonė. Administruoti valstybinės žemės sklypų realizavimo pajamas</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</si>
  <si>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</si>
  <si>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</si>
  <si>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</si>
  <si>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</si>
  <si>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</si>
  <si>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</si>
  <si>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</si>
  <si>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</si>
  <si>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</si>
  <si>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</si>
  <si>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</si>
  <si>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</si>
  <si>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</si>
  <si>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</si>
  <si>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</si>
  <si>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</si>
  <si>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99,80</t>
  </si>
  <si>
    <t>07.01.06.02.01</t>
  </si>
  <si>
    <t>Veikla: Vykdyti finansinius įsipareigojimus (mokėti palūkanas)</t>
  </si>
  <si>
    <t>07.01.07.</t>
  </si>
  <si>
    <t>Uždavinys: Vykdyti administracinės naštos mažinimą</t>
  </si>
  <si>
    <t>Parengtų administracinės naštos priemonių planų skaičius</t>
  </si>
  <si>
    <t>07.01.07.05</t>
  </si>
  <si>
    <t>Priemonė. Mažinant administracinę naštą, diegti naujas ir tobulinti veikiančias informacines sistemas.</t>
  </si>
  <si>
    <t>Įdiegtų naujų ir patobulintų veikiančių informacinių sistemų skaičius</t>
  </si>
  <si>
    <t>2023 m.: Neįgyvendinta dėl  įstaigų veiklos optimizavimo</t>
  </si>
  <si>
    <t>07.01.07.05.01.</t>
  </si>
  <si>
    <t>Veikla: Įdiegti informacines sistemas</t>
  </si>
  <si>
    <t>07.01.07.07</t>
  </si>
  <si>
    <t>Priemonė.Mažinant administracinę naštą, licencijas, leidimus ir pažymas išduoti per trumpesnį laiką, nelaukiant, kol sueis teisės aktuose nustatytas terminas</t>
  </si>
  <si>
    <t>Bendrųjų reikalų skyrius; Švietimo, kultūros ir sporto skyrius; Ūkio ir investicijų skyriaus keliai; Žemės ūkio ir kaimo reikalų skyrius</t>
  </si>
  <si>
    <t>Greičiau, nei nustatyta teisės aktuose, išduotų DVS priemonėmis licencijų, leidimų ir pažymų dalis nuo viso išduotų minėtų dokumentų skaičiaus DVS, proc.</t>
  </si>
  <si>
    <t>94,13</t>
  </si>
  <si>
    <t>2023 m.: planuotas rodiklis viršytas, nes skyriai stengėsi pažymas, leidimus išduoti per greitesnį laiką.</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</si>
  <si>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</si>
  <si>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</si>
  <si>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</si>
  <si>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</si>
  <si>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</si>
  <si>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2023 m.: Rodiklis viršytas</t>
  </si>
  <si>
    <t>07.01.07.08.01.</t>
  </si>
  <si>
    <t>Veikla: Įvertinti teisės aktus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</si>
  <si>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</si>
  <si>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</si>
  <si>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</si>
  <si>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</si>
  <si>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</si>
  <si>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0,15</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</si>
  <si>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</si>
  <si>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</si>
  <si>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</si>
  <si>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</si>
  <si>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</si>
  <si>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</si>
  <si>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</si>
  <si>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</si>
  <si>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</si>
  <si>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</si>
  <si>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</si>
  <si>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</si>
  <si>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Aušra Slidziauskienė; Kristina Juodvalkienė</t>
  </si>
  <si>
    <t>12.01</t>
  </si>
  <si>
    <t>Tikslas.  Darnaus išteklių naudojimo skatinimas.</t>
  </si>
  <si>
    <t>Renovuotų daugiabučių namų dalis, procentais</t>
  </si>
  <si>
    <t>12.01.01</t>
  </si>
  <si>
    <t>Uždavinys. Vykdyti visuomenės aplinkosauginį švietimą bei aplinkos stebėseną</t>
  </si>
  <si>
    <t>Įgyvendintų aplinkosauginių priemonių skaičius</t>
  </si>
  <si>
    <t>2023 m.: 2023 m.: Įgyvendinta mažiau aplinkosaugos priemonių</t>
  </si>
  <si>
    <t>12.01.01.01.</t>
  </si>
  <si>
    <t>Priemonė. Medžiojamųjų gyvūnų daromos žalos miškui prevencijos priemonių kompensavimas</t>
  </si>
  <si>
    <t>Kristina Juodvalkienė</t>
  </si>
  <si>
    <t>Įvertintų VĮ VMU Šakių regioninio padalinio pateiktų paraiškų kompensacijai gauti skaičius</t>
  </si>
  <si>
    <t>18,00</t>
  </si>
  <si>
    <t>2023 m.: Paraiškas pateikė 18 būrelių (klubų)</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</si>
  <si>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</si>
  <si>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</si>
  <si>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</si>
  <si>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</si>
  <si>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</si>
  <si>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2023 m.: Nebuvo gauta paraiškų iš gyventojų</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</si>
  <si>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</si>
  <si>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</si>
  <si>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</si>
  <si>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</si>
  <si>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</si>
  <si>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</si>
  <si>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</si>
  <si>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2023 m.: Gauta daugiau projektinių paraiškų</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</si>
  <si>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</si>
  <si>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</si>
  <si>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</si>
  <si>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</si>
  <si>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</si>
  <si>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</si>
  <si>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252,56</t>
  </si>
  <si>
    <t>2023 m.: Iš viso iš gyventojų surinkta 252,56 t asbesto turinčių atliekų. Priemonė vykdyta kartu įgyvendinant APVA projektą. Iš APVA gautos lėšos 50 000,00 Eur.</t>
  </si>
  <si>
    <t>12.01.01.04.01.</t>
  </si>
  <si>
    <t>Veikla: Pagal seniūnijų poreikį sutvarkyti asbesto turinčias atliekas</t>
  </si>
  <si>
    <t>12.01.01.05.</t>
  </si>
  <si>
    <t>Priemonė. Vandentvarkos objektų projektavimas, statyba ir remontas</t>
  </si>
  <si>
    <t>Sutvarkyta vandentvarkos objektų</t>
  </si>
  <si>
    <t>2023 m.: Priemonės vykdymas perkeltas į 2024 m.</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</si>
  <si>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</si>
  <si>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</si>
  <si>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</si>
  <si>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</si>
  <si>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</si>
  <si>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</si>
  <si>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</si>
  <si>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</si>
  <si>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</si>
  <si>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</si>
  <si>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59,00</t>
  </si>
  <si>
    <t>2023 m.: Iš viso gauta 62 gyventojų paraiškos. Iš jų - 59 paraiškos, kurioms kompensuota INVĮ įrengimo darbus.</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</si>
  <si>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</si>
  <si>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</si>
  <si>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</si>
  <si>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</si>
  <si>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</si>
  <si>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2023 m.: 14 seniūnijų pateikė poreikį dėl invazinių žliužų naikinimo priemonės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</si>
  <si>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</si>
  <si>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</si>
  <si>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</si>
  <si>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</si>
  <si>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</si>
  <si>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2023 m.: Nelegalių sąvartynų 2023 m. nenustatyta/netvarkyta.</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</si>
  <si>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</si>
  <si>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</si>
  <si>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</si>
  <si>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</si>
  <si>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</si>
  <si>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</si>
  <si>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</si>
  <si>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</si>
  <si>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</si>
  <si>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</si>
  <si>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</si>
  <si>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</si>
  <si>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</si>
  <si>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</si>
  <si>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</si>
  <si>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</si>
  <si>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</si>
  <si>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</si>
  <si>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</si>
  <si>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2023 m.: Priemonės apmokėjimas perkeltas į 2024 m.</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</si>
  <si>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</si>
  <si>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</si>
  <si>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</si>
  <si>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</si>
  <si>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</si>
  <si>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</si>
  <si>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</si>
  <si>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</si>
  <si>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</si>
  <si>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</si>
  <si>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</si>
  <si>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</si>
  <si>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</si>
  <si>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</si>
  <si>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</si>
  <si>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</si>
  <si>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</si>
  <si>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2023 m.: Paslaugas vykdė UAB "Nuaras", tačiau ne visus bešeimininkius gyvūnus jiems pavyko sugaudyti pagal pateiktus prašymus.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</si>
  <si>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</si>
  <si>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</si>
  <si>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</si>
  <si>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</si>
  <si>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</si>
  <si>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</si>
  <si>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</si>
  <si>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</si>
  <si>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</si>
  <si>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</si>
  <si>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</si>
  <si>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</si>
  <si>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</si>
  <si>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</si>
  <si>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</si>
  <si>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</si>
  <si>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</si>
  <si>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</si>
  <si>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</si>
  <si>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</si>
  <si>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</si>
  <si>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</si>
  <si>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</si>
  <si>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</si>
  <si>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</si>
  <si>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</si>
  <si>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</si>
  <si>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</si>
  <si>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</si>
  <si>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</si>
  <si>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</si>
  <si>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</si>
  <si>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</si>
  <si>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</si>
  <si>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</si>
  <si>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</si>
  <si>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</si>
  <si>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</si>
  <si>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</si>
  <si>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</si>
  <si>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</si>
  <si>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</si>
  <si>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</si>
  <si>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</si>
  <si>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</si>
  <si>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</si>
  <si>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</si>
  <si>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</si>
  <si>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</si>
  <si>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</si>
  <si>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</si>
  <si>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</si>
  <si>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</si>
  <si>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</si>
  <si>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</si>
  <si>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</si>
  <si>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</si>
  <si>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</si>
  <si>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</si>
  <si>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</si>
  <si>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</si>
  <si>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</si>
  <si>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</si>
  <si>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</si>
  <si>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</si>
  <si>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</si>
  <si>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</si>
  <si>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</si>
  <si>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</si>
  <si>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</si>
  <si>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</si>
  <si>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</si>
  <si>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Kristina Juodvalkienė; Valdas Dumčius</t>
  </si>
  <si>
    <t>Tvarkomų miškų kiekis</t>
  </si>
  <si>
    <t>12.01.03.</t>
  </si>
  <si>
    <t>Uždavinys. Plėtoti ir tobulinti komunalinių atliekų surinkimo, tvarkymo ir pirminio rūšiavimo infrastruktūrą</t>
  </si>
  <si>
    <t>Sąvartynuose šalinamų komunalinių atliekų dalis procentais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</si>
  <si>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</si>
  <si>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</si>
  <si>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</si>
  <si>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</si>
  <si>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</si>
  <si>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</si>
  <si>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</si>
  <si>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</si>
  <si>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</si>
  <si>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2023 m.: Lėšos panaudotos iš kito lėšų šaltinio (dotacijos), VB priemonėje (12.01.01.04)</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</si>
  <si>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</si>
  <si>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</si>
  <si>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</si>
  <si>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</si>
  <si>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</si>
  <si>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2023 m.: SB lėšos nepanaudotos, nes grįžo APVA dotacijos į priemonę 12.01.03.04</t>
  </si>
  <si>
    <t>12.01.03.06.01.</t>
  </si>
  <si>
    <t>Veikla: Organizuoti bešeimininkių padangų atliekų sutvarkymą Šakių rajono savivaldybėje</t>
  </si>
  <si>
    <t>12.01.05.</t>
  </si>
  <si>
    <t>Uždavinys. Renovuoti  šilumos gamybos  ir tiekimo sistemas</t>
  </si>
  <si>
    <t>Renovuotų šilumos gamybos ir tiekimo sistemų skaičius</t>
  </si>
  <si>
    <t>12.01.05.02.</t>
  </si>
  <si>
    <t>Priemonė: Griškabūdžio gimnazijos šildymo katilų keitimas</t>
  </si>
  <si>
    <t>Nupirktų šildymo katilų skaičius</t>
  </si>
  <si>
    <t>2023 m.: Lėšos perkeltos Griškabūdžio gimnazijai, buvo pakeistas 1 šildymo katilas.</t>
  </si>
  <si>
    <t>12.01.05.02.01.</t>
  </si>
  <si>
    <t>Veikla: Pakeisti šildymo katilus Griškabūdžio gimnazijoje</t>
  </si>
  <si>
    <t>12.01.07.</t>
  </si>
  <si>
    <t>Uždavinys. Vykdyti daugiabučių gyvenamųjų namų administravimą bei daugiabučių gyvenamųjų namų valdytojų priežiūrą ir kontrolę</t>
  </si>
  <si>
    <t>Administruojamų namų skaičius</t>
  </si>
  <si>
    <t>105,00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</si>
  <si>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</si>
  <si>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</si>
  <si>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</si>
  <si>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</si>
  <si>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</si>
  <si>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2023 m.: parengtas 1 planas</t>
  </si>
  <si>
    <t>12.01.07.01.01</t>
  </si>
  <si>
    <t>Veikla: Pagal gyventojų prašymus parengti daugiabučių namų investicinių planus bei energinio naudingumo sertifikatus</t>
  </si>
  <si>
    <t>12.01.10.</t>
  </si>
  <si>
    <t>Uždavinys. Didinti viešųjų centrinės valdžios, individualių gyvenamųjų pastatų ir įmonių energijos vartojimo efektyvumą ir energijos iš atsinaujinančių išteklių juose naudojimą.</t>
  </si>
  <si>
    <t>Sutaupytas viešųjų centrinės valdžios, individualių gyvenamųjų pastatų ir įmonių ūkyje energijos suminis kiekis GWh</t>
  </si>
  <si>
    <t>12.01.10.01.</t>
  </si>
  <si>
    <t>Priemonė. Visuomeninių pastatų modernizavimas</t>
  </si>
  <si>
    <t>Modernizuotų pastatų skaičius</t>
  </si>
  <si>
    <t>2023 m.: Parengtas Šakių autobusų stoties techninis projektas</t>
  </si>
  <si>
    <t>12.01.10.01.01.</t>
  </si>
  <si>
    <t>Veikla: Modernizuoti visuomeninius pastatus</t>
  </si>
  <si>
    <t>12.02.</t>
  </si>
  <si>
    <t>Tikslas. Inžinerinės infrastruktūros modernizavimas</t>
  </si>
  <si>
    <t>Verslo įmonių, kurioms pagerinta viešoji infrastruktūra dalis, (nuo visų įmonių), procentais</t>
  </si>
  <si>
    <t>Centralizuotai tiekiamo geriamojo vandens prieinamumas</t>
  </si>
  <si>
    <t>78,00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</si>
  <si>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</si>
  <si>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</si>
  <si>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</si>
  <si>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</si>
  <si>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</si>
  <si>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</si>
  <si>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</si>
  <si>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artezinius gręžinius su vandens gerinimo įranga</t>
  </si>
  <si>
    <t>12.02.01.02.</t>
  </si>
  <si>
    <t>Priemonė: Vandens gerinimo įrenginių statyba</t>
  </si>
  <si>
    <t>Pastatytų vandens  gerinimo įrenginių skaičius</t>
  </si>
  <si>
    <t>2023 m.: Už turimas lėšas pavyko nupirkti daugiau, nei 6 vnt. vandens gerinimo įrenginius.</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</si>
  <si>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</si>
  <si>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</si>
  <si>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</si>
  <si>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</si>
  <si>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</si>
  <si>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</si>
  <si>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</si>
  <si>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</si>
  <si>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</si>
  <si>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Sutvarkytų vandentvarkos objektų skaičius</t>
  </si>
  <si>
    <t>2023 m.: Miško g. vandentiekio ir nuotekų įrengimo darbų užbaigimo lėšos perkeltos į 2024 m.</t>
  </si>
  <si>
    <t>12.02.01.06.01</t>
  </si>
  <si>
    <t>Veikla: Sutvarkyti vandentvarkos objektus</t>
  </si>
  <si>
    <t>12.02.02.</t>
  </si>
  <si>
    <t>Uždavinys. Modernizuoti ir plėtoti paviršinių nuotekų sistemas</t>
  </si>
  <si>
    <t>Modernizuota ir įrengta paviršinio vandens nuvedimo sistemų kilometrais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</si>
  <si>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</si>
  <si>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</si>
  <si>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</si>
  <si>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</si>
  <si>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</si>
  <si>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</si>
  <si>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</si>
  <si>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</si>
  <si>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</si>
  <si>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</si>
  <si>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</si>
  <si>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2023 m.: Dėl gamtinių sąlygų priemonės vykdymas perkeltas į 2024 m.</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</si>
  <si>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</si>
  <si>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</si>
  <si>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</si>
  <si>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</si>
  <si>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</si>
  <si>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</si>
  <si>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</si>
  <si>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Modernizuotų ir įrengtų vietinės reikšmės kelių ir gatvių ilgis kilometrais</t>
  </si>
  <si>
    <t>4,30</t>
  </si>
  <si>
    <t>2023 m.: Atnaujintos ir asfaltbetonio dangos gatvėse</t>
  </si>
  <si>
    <t>12.03.01.01.</t>
  </si>
  <si>
    <t>Priemonė: Kelių, gatvių, automobilių stovėjimo aikštelių, pėsčiųjų takų ir kitų infrastruktūros elementų remonto ir statybos darbai</t>
  </si>
  <si>
    <t>Rekonstruotų, naujai įrengtų gatvių ir kelių ilgis</t>
  </si>
  <si>
    <t>0,20</t>
  </si>
  <si>
    <t>1,62</t>
  </si>
  <si>
    <t>2023 m.: Iš kelių programos įrengta 1,6240 km</t>
  </si>
  <si>
    <t>Atnaujintų automobilių stovėjimo aikštelių skaičius</t>
  </si>
  <si>
    <t>2023 m.: Griškabūdžio seniūnijos aikštelės asfalto dangos, V. Kudirkos g. 19 aikštelės įrengimo lėšos perkeltos į 2024 m.</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</si>
  <si>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</si>
  <si>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</si>
  <si>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</si>
  <si>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</si>
  <si>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</si>
  <si>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64,00</t>
  </si>
  <si>
    <t>12.03.01.02.01</t>
  </si>
  <si>
    <t>Veikla: Prižiūrėti vietinės reikšmės kelius seniūnijoje.</t>
  </si>
  <si>
    <t>12.03.01.03</t>
  </si>
  <si>
    <t>Priemonė. Vietinės reikšmės kelių priežiūra, žiemos tarnyba Gelgaudiškio seniūnijoje</t>
  </si>
  <si>
    <t>12.03.01.03.01</t>
  </si>
  <si>
    <t>12.03.01.04</t>
  </si>
  <si>
    <t>Priemonė. Vietinės reikšmės kelių priežiūra, žiemos tarnyba Griškabūdžio  seniūnijoje</t>
  </si>
  <si>
    <t>12.03.01.04.01</t>
  </si>
  <si>
    <t>12.03.01.05</t>
  </si>
  <si>
    <t>Priemonė. Vietinės reikšmės kelių priežiūra, žiemos tarnyba Kidulių seniūnijoje</t>
  </si>
  <si>
    <t>94,00</t>
  </si>
  <si>
    <t>12.03.01.05.01.</t>
  </si>
  <si>
    <t>12.03.01.06</t>
  </si>
  <si>
    <t>Priemonė. Vietinės reikšmės kelių priežiūra, žiemos tarnyba Kriūkų seniūnijoje</t>
  </si>
  <si>
    <t>90,00</t>
  </si>
  <si>
    <t>12.03.01.06.01.</t>
  </si>
  <si>
    <t>12.03.01.07</t>
  </si>
  <si>
    <t>Priemonė. Vietinės reikšmės kelių priežiūra, žiemos tarnyba Kudirkos Naumiesčio seniūnijoje</t>
  </si>
  <si>
    <t>12.03.01.07.01.</t>
  </si>
  <si>
    <t>12.03.01.08</t>
  </si>
  <si>
    <t>Priemonė. Vietinės reikšmės kelių priežiūra, žiemos tarnyba Lekėčių seniūnijoje</t>
  </si>
  <si>
    <t>12.03.01.08.01.</t>
  </si>
  <si>
    <t>12.03.01.09</t>
  </si>
  <si>
    <t>Priemonė. Vietinės reikšmės kelių priežiūra, žiemos tarnyba Lukšių seniūnijoje</t>
  </si>
  <si>
    <t>109,00</t>
  </si>
  <si>
    <t>12.03.01.09.01.</t>
  </si>
  <si>
    <t>12.03.01.10</t>
  </si>
  <si>
    <t>Priemonė. Vietinės reikšmės kelių priežiūra, žiemos tarnyba Plokščių seniūnijoje</t>
  </si>
  <si>
    <t>12.03.01.10.01.</t>
  </si>
  <si>
    <t>12.03.01.11</t>
  </si>
  <si>
    <t>Priemonė. Vietinės reikšmės kelių priežiūra, žiemos tarnyba Sintautų seniūnijoje</t>
  </si>
  <si>
    <t>69,00</t>
  </si>
  <si>
    <t>12.03.01.11.01.</t>
  </si>
  <si>
    <t>12.03.01.12</t>
  </si>
  <si>
    <t>Priemonė. Vietinės reikšmės kelių priežiūra, žiemos tarnyba Slavikų seniūnijoje</t>
  </si>
  <si>
    <t>36,00</t>
  </si>
  <si>
    <t>12.03.01.12.01.</t>
  </si>
  <si>
    <t>12.03.01.13</t>
  </si>
  <si>
    <t>Priemonė. Vietinės reikšmės kelių priežiūra, žiemos tarnyba Sudargo seniūnijoje</t>
  </si>
  <si>
    <t>52,00</t>
  </si>
  <si>
    <t>12.03.01.13.01.</t>
  </si>
  <si>
    <t>12.03.01.14</t>
  </si>
  <si>
    <t>Priemonė. Vietinės reikšmės kelių priežiūra, žiemos tarnyba Šakių seniūnijoje</t>
  </si>
  <si>
    <t>154,00</t>
  </si>
  <si>
    <t>12.03.01.14.01.</t>
  </si>
  <si>
    <t>12.03.01.15</t>
  </si>
  <si>
    <t>Priemonė. Vietinės reikšmės kelių priežiūra, žiemos tarnyba Žvirgždaičių seniūnijoje</t>
  </si>
  <si>
    <t>12.03.01.15.01.</t>
  </si>
  <si>
    <t>12.03.02.</t>
  </si>
  <si>
    <t>Uždavinys. Modernizuoti esamus, įrengti naujus pėsčiųjų ir dviračių takus</t>
  </si>
  <si>
    <t>Modernizuotų ir įrengtų takų ilgis kilometrais</t>
  </si>
  <si>
    <t>0,90</t>
  </si>
  <si>
    <t>2023 m.: J. Basanavičiaus g., Beržų g. takų projektavimui ir  įrengimui numatytos lėšos perkeltos į 2024 m.</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</si>
  <si>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</si>
  <si>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</si>
  <si>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</si>
  <si>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</si>
  <si>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</si>
  <si>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</si>
  <si>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</si>
  <si>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 kilometrais</t>
  </si>
  <si>
    <t>0,40</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</si>
  <si>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</si>
  <si>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</si>
  <si>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</si>
  <si>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</si>
  <si>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</si>
  <si>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</si>
  <si>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</si>
  <si>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Įrengtų automobilių stovėjimo aikštelių skaičius</t>
  </si>
  <si>
    <t>12.03.04.01</t>
  </si>
  <si>
    <t>Priemonė: Renovuotų daugiabučių namų  teritorijų sutvarkymas</t>
  </si>
  <si>
    <t>Sutvarkytų renovuotų daugiabučių namų teritorijų skaičius</t>
  </si>
  <si>
    <t>2023 m.: Parinktos teritorijos neatitinka teisės aktų reikalavimų</t>
  </si>
  <si>
    <t>12.03.04.01.01</t>
  </si>
  <si>
    <t>Veikla: Sutvarkyti renovuotų daugiabučių namų teritorijas</t>
  </si>
  <si>
    <t>12.03.04.02.</t>
  </si>
  <si>
    <t>Priemonė. Statinių ir kitų infrastruktūros objektų viešose erdvėse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</si>
  <si>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</si>
  <si>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</si>
  <si>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</si>
  <si>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</si>
  <si>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</si>
  <si>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Įdiegtų eismo saugumo priemonių skaičius</t>
  </si>
  <si>
    <t>12.03.05.01.</t>
  </si>
  <si>
    <t>Priemonė: Gatvių pavadinimų, adresų objektų numerių, informacinių rodyklių pirkimas ir pastatymas</t>
  </si>
  <si>
    <t>Seniūnijų, kurioms skiriamos lėšos skaičius</t>
  </si>
  <si>
    <t>2023 m.: Nesant poreikiui, finansavimas neskirtas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</si>
  <si>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</si>
  <si>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</si>
  <si>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</si>
  <si>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</si>
  <si>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</si>
  <si>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</si>
  <si>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</si>
  <si>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12.05.</t>
  </si>
  <si>
    <t>12.05.01.</t>
  </si>
  <si>
    <t>Uždavinys. Atlikti melioracijos statinių remonto rekonstrukcijos ir priežiūros darbus</t>
  </si>
  <si>
    <t>Irena  Žemaitienė</t>
  </si>
  <si>
    <t>Pagerintos žemės plotas hektarais</t>
  </si>
  <si>
    <t>2 300,00</t>
  </si>
  <si>
    <t>12.05.01.01</t>
  </si>
  <si>
    <t>Priemonė: Melioracijos statinių remonto priežiūros darbai</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</si>
  <si>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</si>
  <si>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</si>
  <si>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</si>
  <si>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</si>
  <si>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</si>
  <si>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</si>
  <si>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</si>
  <si>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12.05.01.02.05</t>
  </si>
  <si>
    <t>Veikla: atlikti Šakių rajone esančių Barzdų, Baltrušių ir Lekėčių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</si>
  <si>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</si>
  <si>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</si>
  <si>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</si>
  <si>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</si>
  <si>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</si>
  <si>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</si>
  <si>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</si>
  <si>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</si>
  <si>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</si>
  <si>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</si>
  <si>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</si>
  <si>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</si>
  <si>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</si>
  <si>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</si>
  <si>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</si>
  <si>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5 000,00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</si>
  <si>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</si>
  <si>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</si>
  <si>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</si>
  <si>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</si>
  <si>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</si>
  <si>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</si>
  <si>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</si>
  <si>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</si>
  <si>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Tiesioginių užsienio investicijų augimas (2017 m. – 17,06 mln. Eur), procentais</t>
  </si>
  <si>
    <t>-13,00</t>
  </si>
  <si>
    <t>2023 m.: Tiesioginės užsienio investicijos, Valstybės duomenų agentūros 2022 m. duomenimis, sumažėjo</t>
  </si>
  <si>
    <t>Verslo materialinių  investicijų augimas (2017 m. – 31,176 mln. .Eur)</t>
  </si>
  <si>
    <t>2023 m.: Valstybės duomenų agentūros duomenimis, 2022 m. verslo materialinės investicijos sudarė 38,081 mln Eur, duomenys preliminarūs, 2023 m. duomenys dar neteikiami.</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</si>
  <si>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</si>
  <si>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</si>
  <si>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</si>
  <si>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</si>
  <si>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</si>
  <si>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</si>
  <si>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</si>
  <si>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</si>
  <si>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</si>
  <si>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</si>
  <si>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</si>
  <si>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</si>
  <si>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</si>
  <si>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</si>
  <si>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</si>
  <si>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</si>
  <si>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</si>
  <si>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</si>
  <si>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</si>
  <si>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</si>
  <si>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</si>
  <si>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12.08.</t>
  </si>
  <si>
    <t>Tikslas: Vietos valdžios ir verslo subjektų bendradarbiavimo efektyvinimas.</t>
  </si>
  <si>
    <t>Verslo pasitenkinimo (rekomendavimo kurti verslą Šakiuose) indekso (maksimali reikšmė-10) augimas procentais</t>
  </si>
  <si>
    <t>ind</t>
  </si>
  <si>
    <t>7,30</t>
  </si>
  <si>
    <t>2023 m.: Naujas tyrimas nedarytas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</si>
  <si>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</si>
  <si>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</si>
  <si>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</si>
  <si>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</si>
  <si>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KT, TP</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</si>
  <si>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</si>
  <si>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</si>
  <si>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</si>
  <si>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</si>
  <si>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</si>
  <si>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</si>
  <si>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</si>
  <si>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</si>
  <si>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</si>
  <si>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</si>
  <si>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</si>
  <si>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</si>
  <si>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</si>
  <si>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</si>
  <si>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</si>
  <si>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</si>
  <si>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</si>
  <si>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</si>
  <si>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</si>
  <si>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</si>
  <si>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</si>
  <si>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 procentais</t>
  </si>
  <si>
    <t>27,00</t>
  </si>
  <si>
    <t>74,45</t>
  </si>
  <si>
    <t>2023 m.: 2022 m., preliminariais Valstybės duomenų agentūros duomenimis, pridėtinė vertė gamybos kainomis sudarė 92,696 mln. Eur. 2023 m. duomenys dar neteikiami</t>
  </si>
  <si>
    <t>12.09.01</t>
  </si>
  <si>
    <t>Uždavinys:Aktualizuoti  paramos verslui sistemą siekiant tvaraus teigiamo poveikio verslo konkurencingumo augimui.</t>
  </si>
  <si>
    <t>Suteiktų mokestinių lengvatų, SVVPF paramos projektų poveikis tolesniam verslo subjekto augimui procentais</t>
  </si>
  <si>
    <t>12.09.01.01.</t>
  </si>
  <si>
    <t>Priemonė. Skatinti verslo plėtrą per smulkaus ir vidutinio verslo plėtros fondą.</t>
  </si>
  <si>
    <t>Suteiktų grąžintinų paramų (paskolų) skaičius</t>
  </si>
  <si>
    <t>2023 m.: Negauta daugiau paraiškų</t>
  </si>
  <si>
    <t>Suteiktų negrąžintinų paramų  skaičius</t>
  </si>
  <si>
    <t>12.09.01.01.01</t>
  </si>
  <si>
    <t>Veikla: Skelbi 4 kvietimus beprocentėms verslo paskoloms gauti</t>
  </si>
  <si>
    <t>12.09.01.01.02</t>
  </si>
  <si>
    <t>Veikla: Konsultuoti pareiškėjus, administruoti fondą</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</si>
  <si>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</si>
  <si>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</si>
  <si>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</si>
  <si>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</si>
  <si>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12.09.02.</t>
  </si>
  <si>
    <t>Uždavinys:Skatinti viešųjų paslaugų prieinamumą verslo pradžiai</t>
  </si>
  <si>
    <t>Konsultuojamų  jaunų verslo subjektų skaičius</t>
  </si>
  <si>
    <t>Naujai įregistruotų įmonių skaičius</t>
  </si>
  <si>
    <t>37,00</t>
  </si>
  <si>
    <t>2023 m.: VMI duomenimis</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</si>
  <si>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</si>
  <si>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</si>
  <si>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</si>
  <si>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</si>
  <si>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</si>
  <si>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</si>
  <si>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</si>
  <si>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</si>
  <si>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</si>
  <si>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</si>
  <si>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</si>
  <si>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</si>
  <si>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</si>
  <si>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</si>
  <si>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</si>
  <si>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</si>
  <si>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12.09.02.02.01.</t>
  </si>
  <si>
    <t>Veikla: Pateikti galutinę projekto ataskaitą, tęsti įrangos suteikimą naudotis jauno verslo subjektams</t>
  </si>
  <si>
    <t>13.</t>
  </si>
  <si>
    <t>Socialinės ir sveikatos apsaugos programa</t>
  </si>
  <si>
    <t>Socialinės paramos skyrius</t>
  </si>
  <si>
    <t>Aistė Būdvytienė; Daiva  Pilypaitytė</t>
  </si>
  <si>
    <t>13.01.</t>
  </si>
  <si>
    <t>Daiva  Pilypaitytė</t>
  </si>
  <si>
    <t>84,15</t>
  </si>
  <si>
    <t>13.01.01.</t>
  </si>
  <si>
    <t>Uždavinys.Teikti socialinės globos paslaugas</t>
  </si>
  <si>
    <t>330,00</t>
  </si>
  <si>
    <t>462,00</t>
  </si>
  <si>
    <t>2023 m.: Suteikta paslaugų daugiau asmenų, kadangi padidėjo poreikis, vyko asmenų kaita</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</si>
  <si>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</si>
  <si>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</si>
  <si>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</si>
  <si>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</si>
  <si>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</si>
  <si>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</si>
  <si>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</si>
  <si>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</si>
  <si>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</si>
  <si>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</si>
  <si>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</si>
  <si>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</si>
  <si>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</si>
  <si>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</si>
  <si>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</si>
  <si>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80,00</t>
  </si>
  <si>
    <t>67,00</t>
  </si>
  <si>
    <t>2023 m.: Suteikta paslaugų mažiau, kadangi nebuvo trumpalaikės paslaugos poreikio</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</si>
  <si>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</si>
  <si>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</si>
  <si>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</si>
  <si>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</si>
  <si>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</si>
  <si>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</si>
  <si>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2023 m.: 2023 m. naujai apgyvendintas 1 vaikas (nustatyta nuolatinė globa). Iš viso VšĮ Šakių Diakonija 2023 m. gyveno 7 Šakių rajono vaikai (su pilnamečiais vaikais).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</si>
  <si>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</si>
  <si>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</si>
  <si>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</si>
  <si>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</si>
  <si>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</si>
  <si>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</si>
  <si>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</si>
  <si>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</si>
  <si>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</si>
  <si>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</si>
  <si>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</si>
  <si>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</si>
  <si>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</si>
  <si>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</si>
  <si>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77,00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</si>
  <si>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</si>
  <si>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</si>
  <si>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</si>
  <si>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</si>
  <si>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</si>
  <si>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132,00</t>
  </si>
  <si>
    <t>2023 m.: Suteikta paslaugų daugiau, kadangi padidėjo poreikis, vyko asmenų kaita, paslaugas pradėjo teikti naujos įstaigos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</si>
  <si>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</si>
  <si>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</si>
  <si>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</si>
  <si>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</si>
  <si>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</si>
  <si>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380,00</t>
  </si>
  <si>
    <t>1 056,00</t>
  </si>
  <si>
    <t>2023 m.: Suteikta paslaugų daugiau asmenų, nes didėja paslaugų poreikis</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</si>
  <si>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</si>
  <si>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</si>
  <si>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</si>
  <si>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</si>
  <si>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</si>
  <si>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</si>
  <si>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</si>
  <si>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</si>
  <si>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260,00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</si>
  <si>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</si>
  <si>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</si>
  <si>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</si>
  <si>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</si>
  <si>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</si>
  <si>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</si>
  <si>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281,00</t>
  </si>
  <si>
    <t>299,00</t>
  </si>
  <si>
    <t>2023 m.: Suteikta paslaugų daugiau asmenų, kadangi vyko asmenų kaita</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</si>
  <si>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</si>
  <si>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</si>
  <si>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</si>
  <si>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</si>
  <si>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</si>
  <si>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</si>
  <si>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</si>
  <si>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</si>
  <si>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</si>
  <si>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2023 m.: Planuojant rodiklį, buvo remtasi kitokiais skaičiavimo metodais, tačiau buvo nuspręsta, rodiklį skaičiuoti paprastesne metodika - tiesiog sudedant kiek priemonių susideda, t. y. specialaus transporto paslauga, būstų pritaikymas neįgaliesiems, tikslinės socialinės paslaugos neįgaliesiems, asmeninė pagalba, neveiksnių asmenų būklės peržiūrėjimas.</t>
  </si>
  <si>
    <t>13.01.03.01.</t>
  </si>
  <si>
    <t>Priemonė. Teikti specialaus transporto paslaugas neįgaliesiems</t>
  </si>
  <si>
    <t>Specialaus transporto paslaugas gavusių neįgaliųjų skaičius</t>
  </si>
  <si>
    <t>4 531,00</t>
  </si>
  <si>
    <t>2023 m.: Specialaus transporto paslaugoms remti buvo skirta 3000,00 Eur priemonės lėšos buvo apskaitomos priemonėje 13.01.03.03. "Remti tikslines socialinių paslaugų teikimo su negalia programas".</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</si>
  <si>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</si>
  <si>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</si>
  <si>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</si>
  <si>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</si>
  <si>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</si>
  <si>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</si>
  <si>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</si>
  <si>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</si>
  <si>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</si>
  <si>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</si>
  <si>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</si>
  <si>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</si>
  <si>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</si>
  <si>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</si>
  <si>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</si>
  <si>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</si>
  <si>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</si>
  <si>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</si>
  <si>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</si>
  <si>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</si>
  <si>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</si>
  <si>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</si>
  <si>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</si>
  <si>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92,00</t>
  </si>
  <si>
    <t>2023 m.: Suteikta asmeninės pagalbos paslaugų daugiau, kadangi padidėjo poreikis</t>
  </si>
  <si>
    <t>13.01.03.05.01</t>
  </si>
  <si>
    <t>Veikla: Organizuoti asmeninės pagalbos teikimą pasirašant sutartis (tarp paslaugų teikėjų ir gavėjų).</t>
  </si>
  <si>
    <t>13.01.03.05</t>
  </si>
  <si>
    <t>Priemonė: Administruoti asmeninės pagalbos teikimą.</t>
  </si>
  <si>
    <t>Asmeninę pagalbą administruojančių asmenų skaičius</t>
  </si>
  <si>
    <t>2023 m.: Padidėjus poreikiui asmeninės pagalbos paslaugų, išaugo poreikis administruojančių  asmenų  asmenines pagalbos paslaugas seniūnijose, seniūnijų socialinio darbo organizatorių</t>
  </si>
  <si>
    <t>13.01.03.05.02</t>
  </si>
  <si>
    <t>Veikla: Administruoti priemonę "Organizuoti asmeninės pagalbos teikimą"</t>
  </si>
  <si>
    <t>13.01.03.06.</t>
  </si>
  <si>
    <t>Priemonė: Vykdyti neveiksnių asmenų būklės peržiūrėjimą</t>
  </si>
  <si>
    <t>Justė Grumulaitienė</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</si>
  <si>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</si>
  <si>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</si>
  <si>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</si>
  <si>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</si>
  <si>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</si>
  <si>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</si>
  <si>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2 400,00</t>
  </si>
  <si>
    <t>2023 m.: Planuojant rodiklį, buvo remtasi kitokiais skaičiavimo metodais, tačiau buvo nuspręsta, rodiklį skaičiuoti paprastesne metodika - tiesiog sudedant kiek bažnyčių buvo remta bei kiek žmogaus palaikų darytos mirties ekspertizės.</t>
  </si>
  <si>
    <t>13.01.04.02.</t>
  </si>
  <si>
    <t>Priemonė: Žmogaus palaikų patologinės anatomijos tyrimams ar teismo ekspertizei vežimo, saugojimo ir laidojimo paslaugos teikimas</t>
  </si>
  <si>
    <t>Jolita Žemaitienė</t>
  </si>
  <si>
    <t>Gavusių paslaugas asmenų skaičius</t>
  </si>
  <si>
    <t>45,00</t>
  </si>
  <si>
    <t>2023 m.: Suteikta daugiau paslaugų, kadangi padidėjo poreikis</t>
  </si>
  <si>
    <t>13.01.04.02.01.</t>
  </si>
  <si>
    <t>Veikla: Pervežti ekspertizei atlikti žuvusius ar mirusius asmenis</t>
  </si>
  <si>
    <t>13.02.</t>
  </si>
  <si>
    <t>Tikslas: Socialinių paslaugų aprėpties didinimas.</t>
  </si>
  <si>
    <t>38,87</t>
  </si>
  <si>
    <t>13.02.01.</t>
  </si>
  <si>
    <t>Uždavinys. Socialinių paslaugų rizikos asmenims plėtra</t>
  </si>
  <si>
    <t>Asmenų, gavusių paslaugas, skaičius</t>
  </si>
  <si>
    <t>3 583,00</t>
  </si>
  <si>
    <t>2023 m.: Planuojant rodiklį, buvo remtasi kitokiais skaičiavimo metodais, tačiau buvo nuspręsta, rodiklį skaičiuoti paprastesne metodika - tiesiog sudedant kiek nepasiturinčiai gyvenančių asmenų gavo nemokamą maitinimą, bei nemokamų produktų.</t>
  </si>
  <si>
    <t>13.02.01.02.</t>
  </si>
  <si>
    <t>Priemonė. Įgyvendinti projektą ,,Parama maisto produktais ir higienos prekėmis"</t>
  </si>
  <si>
    <t>Rima Valaitienė</t>
  </si>
  <si>
    <t>Asmenų gavusių paramą skaičius</t>
  </si>
  <si>
    <t>3 200,00</t>
  </si>
  <si>
    <t>3 183,00</t>
  </si>
  <si>
    <t>2023 m.: Produktų suteikta mažiau, kadangi sumažėjo poreikis</t>
  </si>
  <si>
    <t>13.02.01.02.01.</t>
  </si>
  <si>
    <t>Veikla: Teikti paramą maisto produktais ir higienos prekėmis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</si>
  <si>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</si>
  <si>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</si>
  <si>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</si>
  <si>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</si>
  <si>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</si>
  <si>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</si>
  <si>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2023 m.: Nebuvo įsteigti bendruomeniniai vaikų globos namai, kadangi nebuvo baigta statybos darbų pridavimui reikalinga visa dokumentacija</t>
  </si>
  <si>
    <t>13.02.02.02.</t>
  </si>
  <si>
    <t>Priemonė. Įgyvendinti projektą „Bendruomeninių vaikų globos namų ir vaikų dienos centrų tinklo plėtra Šakių rajone“</t>
  </si>
  <si>
    <t>Naujai pastatytų objektų, bendruomeninių vaikų globos namų Šakiuose, skaičius</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</si>
  <si>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</si>
  <si>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</si>
  <si>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</si>
  <si>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</si>
  <si>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</si>
  <si>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2023 m.: Nebuvo įsteigti grupinio gyvenimo namai, kadangi buvo vėluojama atlikti rangos darbus, ir nebuvo baigta visa reikalinga statybos darbų dokumentacija</t>
  </si>
  <si>
    <t>Įsteigtų, socialinių dirbtuvių, skaičius</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</si>
  <si>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</si>
  <si>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</si>
  <si>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</si>
  <si>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</si>
  <si>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</si>
  <si>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</si>
  <si>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</si>
  <si>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</si>
  <si>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</si>
  <si>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2023 m.: Nebuvo skirtas finansavimas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</si>
  <si>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</si>
  <si>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</si>
  <si>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</si>
  <si>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</si>
  <si>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</si>
  <si>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</si>
  <si>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</si>
  <si>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</si>
  <si>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</si>
  <si>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</si>
  <si>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</si>
  <si>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</si>
  <si>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</si>
  <si>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</si>
  <si>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</si>
  <si>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</si>
  <si>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</si>
  <si>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Ugnė Mikštienė</t>
  </si>
  <si>
    <t>Rajono gyventojų, gavusių socialinę pašalpą, skaičius</t>
  </si>
  <si>
    <t>1 806,00</t>
  </si>
  <si>
    <t>1 814,00</t>
  </si>
  <si>
    <t>2023 m.: Išmokėta daugiau išmokų, kadangi padidėjo poreikis</t>
  </si>
  <si>
    <t>13.02.06.01.01</t>
  </si>
  <si>
    <t>Veikla: Mokėti socialines pašalpas rajono gyventojams.</t>
  </si>
  <si>
    <t>13.02.06.02.</t>
  </si>
  <si>
    <t>Priemonė: Mokėti vienkartines pašalpas rajono gyventojams (susidarius sunkiai mat. padėčiai, ligos atveju, nukentėjus nuo gaisro ir kt.)</t>
  </si>
  <si>
    <t>Rajono gyventojų, gavusių vienkartines tikslines išmokas, skaičius</t>
  </si>
  <si>
    <t>553,00</t>
  </si>
  <si>
    <t>263,00</t>
  </si>
  <si>
    <t>2023 m.: Išmokėta mažiau išmokų, kadangi buvo mažesnis poreikis</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</si>
  <si>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</si>
  <si>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</si>
  <si>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</si>
  <si>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</si>
  <si>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</si>
  <si>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93,00</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</si>
  <si>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</si>
  <si>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</si>
  <si>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</si>
  <si>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</si>
  <si>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</si>
  <si>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</si>
  <si>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</si>
  <si>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</si>
  <si>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</si>
  <si>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</si>
  <si>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</si>
  <si>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18 420,00</t>
  </si>
  <si>
    <t>25 506,00</t>
  </si>
  <si>
    <t>2023 m.: Suteikta daugiau kompensacijų, kadangi padidėjo poreikis</t>
  </si>
  <si>
    <t>13.02.06.04.01</t>
  </si>
  <si>
    <t>Veikla: Teikti transporto išlaidų dalies kompensavimą 50 proc. neįgaliems asmenims</t>
  </si>
  <si>
    <t>13.02.06.04</t>
  </si>
  <si>
    <t>Priemonė: Teikti transporto išlaidų 80 proc. kompensacijas.</t>
  </si>
  <si>
    <t>Kompensacijų skaičius (80 proc.)</t>
  </si>
  <si>
    <t>6 120,00</t>
  </si>
  <si>
    <t>10 097,00</t>
  </si>
  <si>
    <t>13.02.06.04.01.</t>
  </si>
  <si>
    <t>Veikla: Teikti transporto išlaidų dalies kompensavimą 80 proc. neįgaliems asmenims</t>
  </si>
  <si>
    <t>13.02.06.05.</t>
  </si>
  <si>
    <t>Priemonė: Socialinės paramos programa mokiniams (Administracija).</t>
  </si>
  <si>
    <t>Sintautų akademija; Gelgaudiškio pagrindinė mokykla; Griškabūdžio gimnazija; Kidulių pagrindinė mokykla; Lukšių Vinco Grybo gimnazija; Gelgaudiškio ,,Šaltinio” ugdymo centras; Šakių „Žiburio” gimnazija; Kudirkos Naumiesčio Vinco Kudirkos gimnazija; Panemunių mokykla-daugiafunkcis centras; Šakių ikimokyklinio ugdymo mokykla "Maži žingsneliai"</t>
  </si>
  <si>
    <t>Nemokamą maitinimą gavusių mokinių skaičius (Administracija)</t>
  </si>
  <si>
    <t>1 160,00</t>
  </si>
  <si>
    <t>1 181,00</t>
  </si>
  <si>
    <t>2023 m.: Nemokamą maitinimą gavo daugiau mokinių, kadangi buvo didesnis poreikis</t>
  </si>
  <si>
    <t>Nemokamų mokymo reikmenų gavusių mokinių skaičius (Administracija)</t>
  </si>
  <si>
    <t>760,00</t>
  </si>
  <si>
    <t>765,00</t>
  </si>
  <si>
    <t>2023 m.: Nemokamų mokymo reikmenų gavo daugiau mokinių, kadangi buvo didesnis poreikis</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</si>
  <si>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</si>
  <si>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</si>
  <si>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</si>
  <si>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</si>
  <si>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</si>
  <si>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2023 m.: Nemokamą maitinimą gavo mažiau mokinių, kadangi buvo mažesnis poreikis</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</si>
  <si>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</si>
  <si>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</si>
  <si>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</si>
  <si>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</si>
  <si>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</si>
  <si>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</si>
  <si>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478,00</t>
  </si>
  <si>
    <t>13.02.06.06.01.</t>
  </si>
  <si>
    <t>Veikla: Išmokėti laidojimo pašalpas (paramą mirties atveju)</t>
  </si>
  <si>
    <t>13.02.06.06.01</t>
  </si>
  <si>
    <t>Veikla: Išmokėti laidojimo (parama užsienyje mirusių (žuvusių) palaikams parvežti)</t>
  </si>
  <si>
    <t>13.02.06.09.</t>
  </si>
  <si>
    <t>Priemonė: Mokėti būsto išlaidų  kompensacijas  rajono gyventojams  už šildymą (UAB).</t>
  </si>
  <si>
    <t>Rajono gyventojų, gavusių kompensacijas už šildymą, skaičius</t>
  </si>
  <si>
    <t>887,00</t>
  </si>
  <si>
    <t>1 225,00</t>
  </si>
  <si>
    <t>2023 m.: Išmokėta daugiau kompensacijų, kadangi padidėjo poreikis</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</si>
  <si>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</si>
  <si>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</si>
  <si>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</si>
  <si>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</si>
  <si>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</si>
  <si>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747,00</t>
  </si>
  <si>
    <t>1 538,00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</si>
  <si>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</si>
  <si>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</si>
  <si>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</si>
  <si>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</si>
  <si>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</si>
  <si>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300,00</t>
  </si>
  <si>
    <t>848,00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</si>
  <si>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</si>
  <si>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</si>
  <si>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</si>
  <si>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</si>
  <si>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</si>
  <si>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</si>
  <si>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176,00</t>
  </si>
  <si>
    <t>361,00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</si>
  <si>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</si>
  <si>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</si>
  <si>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</si>
  <si>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</si>
  <si>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</si>
  <si>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2 100,00</t>
  </si>
  <si>
    <t>5 672,00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</si>
  <si>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</si>
  <si>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</si>
  <si>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</si>
  <si>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</si>
  <si>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</si>
  <si>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</si>
  <si>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</si>
  <si>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</si>
  <si>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</si>
  <si>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</si>
  <si>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4 742,00</t>
  </si>
  <si>
    <t>4 553,00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</si>
  <si>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</si>
  <si>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</si>
  <si>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</si>
  <si>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</si>
  <si>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</si>
  <si>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</si>
  <si>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</si>
  <si>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</si>
  <si>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</si>
  <si>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</si>
  <si>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2023 m.: Išmokų neišmokėta, kadangi nebuvo besikreipiančių rajono gyventojų</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</si>
  <si>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</si>
  <si>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</si>
  <si>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</si>
  <si>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</si>
  <si>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</si>
  <si>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</si>
  <si>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</si>
  <si>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</si>
  <si>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</si>
  <si>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</si>
  <si>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</si>
  <si>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</si>
  <si>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</si>
  <si>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</si>
  <si>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</si>
  <si>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</si>
  <si>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113,00</t>
  </si>
  <si>
    <t>99,00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</si>
  <si>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</si>
  <si>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</si>
  <si>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</si>
  <si>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</si>
  <si>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</si>
  <si>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</si>
  <si>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</si>
  <si>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</si>
  <si>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</si>
  <si>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</si>
  <si>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</si>
  <si>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</si>
  <si>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</si>
  <si>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</si>
  <si>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</si>
  <si>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</si>
  <si>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</si>
  <si>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</si>
  <si>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</si>
  <si>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</si>
  <si>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</si>
  <si>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</si>
  <si>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</si>
  <si>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</si>
  <si>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</si>
  <si>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</si>
  <si>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618,00</t>
  </si>
  <si>
    <t>494,00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</si>
  <si>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</si>
  <si>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</si>
  <si>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</si>
  <si>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</si>
  <si>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</si>
  <si>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882,00</t>
  </si>
  <si>
    <t>746,00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</si>
  <si>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</si>
  <si>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</si>
  <si>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</si>
  <si>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</si>
  <si>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</si>
  <si>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</si>
  <si>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</si>
  <si>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</si>
  <si>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</si>
  <si>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2023 m.: Rodiklis viršytas, nuo 2023 m. pradėjo dirbti išmokų specialistė</t>
  </si>
  <si>
    <t>13.02.06.28.01.</t>
  </si>
  <si>
    <t>Veikla: Administruoti išmokas vaikams</t>
  </si>
  <si>
    <t>13.02.06.31.</t>
  </si>
  <si>
    <t>Priemonė: Užtikrinti finansinės pagalbos teikimą Barzdų seniūnijos gyventojams (išmokos mokėjimams ir kt.)</t>
  </si>
  <si>
    <t>Išmokėtų pašalpų seniūnijos seniūno skyrimu skaičius</t>
  </si>
  <si>
    <t>2023 m.: Lėšos panaudotos darbo priemonių įsigijimui asmenims, atliekantiems visuomenei naudingą veiklą</t>
  </si>
  <si>
    <t>13.02.06.31.01.</t>
  </si>
  <si>
    <t>Veikla: Vienkartinių pašalpų mokėjimas seniūnijos gyventojams</t>
  </si>
  <si>
    <t>13.02.06.32.</t>
  </si>
  <si>
    <t>Priemonė: Užtikrinti finansinės pagalbos teikimą Gelgaudiškio seniūnijos gyventojams (išmokos mokėjimams ir kt.)</t>
  </si>
  <si>
    <t>2023 m.: Buvo mažesnis poreikis, kitos lėšos panaudotos darbo priemonių įsigijimui asmenims, atliekantiems visuomenei naudingą veiklą</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</si>
  <si>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</si>
  <si>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</si>
  <si>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</si>
  <si>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</si>
  <si>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</si>
  <si>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</si>
  <si>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</si>
  <si>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</si>
  <si>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</si>
  <si>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</si>
  <si>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</si>
  <si>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</si>
  <si>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2023 m.: Nebuvo poreikio, lėšos panaudotos darbo priemonių įsigijimui asmenims, atliekantiems visuomenei naudingą veiklą</t>
  </si>
  <si>
    <t>13.02.06.36.01.</t>
  </si>
  <si>
    <t>13.02.06.37.</t>
  </si>
  <si>
    <t>Priemonė: Užtikrinti finansinės pagalbos teikimą Lekėčių seniūnijos gyventojams (išmokos mokėjimams ir kt.)</t>
  </si>
  <si>
    <t>2023 m.: Buvo paskirtos mažesnės pašalpos</t>
  </si>
  <si>
    <t>13.02.06.37.01.</t>
  </si>
  <si>
    <t>13.02.06.38.</t>
  </si>
  <si>
    <t>Priemonė: Užtikrinti finansinės pagalbos teikimą Lukšių seniūnijos gyventojams (išmokos mokėjimams ir kt.)</t>
  </si>
  <si>
    <t>2023 m.: Buvo pateikta daugiau prašymų, dėl sunkios materialinės padėties. Lėšos paskirstytos, atsižvelgiant į poreikį.</t>
  </si>
  <si>
    <t>13.02.06.38.01.</t>
  </si>
  <si>
    <t>13.02.06.39.</t>
  </si>
  <si>
    <t>Priemonė: Užtikrinti finansinės pagalbos teikimą Plokščių seniūnijos gyventojams (išmokos mokėjimams ir kt.)</t>
  </si>
  <si>
    <t>2023 m.: Buvo mažesnis poreikis</t>
  </si>
  <si>
    <t>13.02.06.39.01.</t>
  </si>
  <si>
    <t>13.02.06.40.</t>
  </si>
  <si>
    <t>Priemonė: Užtikrinti finansinės pagalbos teikimą Sintautų seniūnijos gyventojams (išmokos mokėjimams ir kt.)</t>
  </si>
  <si>
    <t>2023 m.: Lėšos panaudotos socialinio darbo organizatorės transporto išlaikymui bei asmenų, atliekančių visuomenei naudingą veiklą, darbo priemonių įgijimui.</t>
  </si>
  <si>
    <t>13.02.06.40.01.</t>
  </si>
  <si>
    <t>13.02.06.41.</t>
  </si>
  <si>
    <t>Priemonė: Užtikrinti finansinės pagalbos teikimą Slavikų seniūnijos gyventojams (išmokos mokėjimams ir kt.)</t>
  </si>
  <si>
    <t>2023 m.: Lėšos panaudotos asmenų, atliekančių visuomenei naudingą veiklą, darbo priemonių įgijimui.</t>
  </si>
  <si>
    <t>13.02.06.41.01.</t>
  </si>
  <si>
    <t>13.02.06.42.</t>
  </si>
  <si>
    <t>Priemonė:  Užtikrinti finansinės pagalbos teikimą Sudargo seniūnijos gyventojams (išmokos mokėjimams ir kt.)</t>
  </si>
  <si>
    <t>2023 m.: Nebuvo gauta prašymų, todėl lėšos panaudotos socialinio darbo organizatorės transporto išlaikymui</t>
  </si>
  <si>
    <t>13.02.06.42.01.</t>
  </si>
  <si>
    <t>13.02.06.43.</t>
  </si>
  <si>
    <t>Priemonė: Užtikrinti finansinės pagalbos teikimą Šakių seniūnijos gyventojams (išmokos mokėjimams ir kt.)</t>
  </si>
  <si>
    <t>13.02.06.43.01.</t>
  </si>
  <si>
    <t>13.02.06.44.</t>
  </si>
  <si>
    <t>Priemonė: Užtikrinti finansinės pagalbos teikimą Žvirgždaičių seniūnijos gyventojams (išmokos mokėjimams ir kt.)</t>
  </si>
  <si>
    <t>2023 m.: Buvo mažesnis poreikis.</t>
  </si>
  <si>
    <t>13.02.06.44.01.</t>
  </si>
  <si>
    <t>13.02.08.</t>
  </si>
  <si>
    <t>Uždavinys. Universalaus dizaino aplinkos pritaikymas</t>
  </si>
  <si>
    <t>Pritaikytų objektų skaičius</t>
  </si>
  <si>
    <t>2023 m.: Pritaikyta daugiau objektų, kadangi skirtų lėšų užteko keletui</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</si>
  <si>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</si>
  <si>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</si>
  <si>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</si>
  <si>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</si>
  <si>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</si>
  <si>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</si>
  <si>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</si>
  <si>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</si>
  <si>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2023 m.: Rinkoje nerandama nuomojamų būstų</t>
  </si>
  <si>
    <t>13.02.09.01.</t>
  </si>
  <si>
    <t>Priemonė.Suteikti socialinio būsto paslaugas rajono gyventojams.</t>
  </si>
  <si>
    <t>Asmenų, gavusių socialinį būstą, skaičius</t>
  </si>
  <si>
    <t>2023 m.: Buvo didesnis poreikis</t>
  </si>
  <si>
    <t>13.02.09.01.01</t>
  </si>
  <si>
    <t>Veikla: Teikti rajono gyventojams socialinio būsto paslaugas</t>
  </si>
  <si>
    <t>13.02.09.02.</t>
  </si>
  <si>
    <t>Priemonė. Socialinio būsto remontas (Administracija).</t>
  </si>
  <si>
    <t>Suremontuotų socialinių būstų, skaičius</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</si>
  <si>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</si>
  <si>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</si>
  <si>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</si>
  <si>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</si>
  <si>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</si>
  <si>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</si>
  <si>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</si>
  <si>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</si>
  <si>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</si>
  <si>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</si>
  <si>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</si>
  <si>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</si>
  <si>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2023 m.: Būstas remontuotas, pakeistos vieno būsto pagrindinės durys</t>
  </si>
  <si>
    <t>13.02.09.05.01.</t>
  </si>
  <si>
    <t>13.02.09.06.</t>
  </si>
  <si>
    <t>Priemonė: Socialinio būsto remontas Kidulių seniūnijoje</t>
  </si>
  <si>
    <t>13.02.09.06.01.</t>
  </si>
  <si>
    <t>13.02.09.07.</t>
  </si>
  <si>
    <t>Priemonė: Socialinio būsto remontas Kriūkų seniūnijoje</t>
  </si>
  <si>
    <t>2023 m.: Papildomai gautos lėšos už nuomą, suremontuota daugiau patalpų</t>
  </si>
  <si>
    <t>13.02.09.07.01.</t>
  </si>
  <si>
    <t>13.02.09.08.</t>
  </si>
  <si>
    <t>Priemonė: Socialinio būsto remontas Kudirkos Naumiesčio seniūnijoje</t>
  </si>
  <si>
    <t>13.02.09.08.01.</t>
  </si>
  <si>
    <t>13.02.09.09.</t>
  </si>
  <si>
    <t>Priemonė: Socialinio būsto remontas Lekėčių seniūnijoje</t>
  </si>
  <si>
    <t>2023 m.: Už surinktas lėšas atliktas išorinis administruojamų patalpų remontas, būtinas ir reikalingas namo stogo remontas, būsto remonto darbai buvo nukelti sekantiems metams</t>
  </si>
  <si>
    <t>13.02.09.09.01.</t>
  </si>
  <si>
    <t>13.02.09.10.</t>
  </si>
  <si>
    <t>Priemonė: Socialinio būsto remontas Lukšių seniūnijoje</t>
  </si>
  <si>
    <t>13.02.09.10.01.</t>
  </si>
  <si>
    <t>13.02.09.11.</t>
  </si>
  <si>
    <t>Priemonė: Socialinio būsto remontas Plokščių seniūnijoje</t>
  </si>
  <si>
    <t>2023 m.: Nebuvo poreikio</t>
  </si>
  <si>
    <t>13.02.09.11.01.</t>
  </si>
  <si>
    <t>13.02.09.12.</t>
  </si>
  <si>
    <t>Priemonė: Socialinio būsto remontas Sintautų seniūnijoje</t>
  </si>
  <si>
    <t>2023 m.: Rodiklis buvo įgyvendinamas priemonės 07.01.01.14. lėšomis</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</si>
  <si>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</si>
  <si>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</si>
  <si>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</si>
  <si>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</si>
  <si>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</si>
  <si>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</si>
  <si>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</si>
  <si>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</si>
  <si>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</si>
  <si>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</si>
  <si>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</si>
  <si>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87,00</t>
  </si>
  <si>
    <t>2023 m.: Rodiklis viršytas, pasiketi visi planuoti rodikliai</t>
  </si>
  <si>
    <t>13.03.01.</t>
  </si>
  <si>
    <t>Uždavinys. Užtikrinti viešojo saugumo paslaugas priešgaisrinės saugos srityje</t>
  </si>
  <si>
    <t>Gintautas Vedegys</t>
  </si>
  <si>
    <t>Atnaujintų gaisrinių automobilių skaičius</t>
  </si>
  <si>
    <t>13.03.01.01.</t>
  </si>
  <si>
    <t>Priemonė.Atnaujinti gaisrinius automobilius.</t>
  </si>
  <si>
    <t>2023 m.: Lėšos apskaitomos 13.03.02.02. priemonėje.</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</si>
  <si>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</si>
  <si>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</si>
  <si>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</si>
  <si>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</si>
  <si>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</si>
  <si>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</si>
  <si>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</si>
  <si>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</si>
  <si>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</si>
  <si>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</si>
  <si>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</si>
  <si>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</si>
  <si>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125,00</t>
  </si>
  <si>
    <t>13.03.03.01.</t>
  </si>
  <si>
    <t>Priemonė.Aprūpinti socialiai remtinus asmenis dūmų detektoriais.</t>
  </si>
  <si>
    <t>Socialiai remtinų asmenų, aprūpintų dūmų detektoriais, skaičius</t>
  </si>
  <si>
    <t>13.03.03.01.01</t>
  </si>
  <si>
    <t>Veikla: Sumontuoti dūmų detektorius socialiai remtiniems asmenmis.</t>
  </si>
  <si>
    <t>13.03.04.</t>
  </si>
  <si>
    <t>Uždavinys. Įgyvendinti prevencines programas</t>
  </si>
  <si>
    <t>Įgyvendinti prevencinių programų skaičius</t>
  </si>
  <si>
    <t>13.03.04.01.</t>
  </si>
  <si>
    <t>Priemonė: Plėtoti psichikos sveikatos stiprinimo, psichosocialinės pagalbos ir savižudybių prevencijos intervencijas</t>
  </si>
  <si>
    <t>Šakių rajono savivaldybės visuomenės sveikatos biuras</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</si>
  <si>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</si>
  <si>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</si>
  <si>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</si>
  <si>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</si>
  <si>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</si>
  <si>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</si>
  <si>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</si>
  <si>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</si>
  <si>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</si>
  <si>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</si>
  <si>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</si>
  <si>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</si>
  <si>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</si>
  <si>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</si>
  <si>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</si>
  <si>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</si>
  <si>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2023 m.: Nesant poreikiui nebuvo skirtas finansavimas</t>
  </si>
  <si>
    <t>13.03.04.06.01</t>
  </si>
  <si>
    <t>Veikla: Įsigyti aprangos kompektus policijos rėmėjams</t>
  </si>
  <si>
    <t>13.04.</t>
  </si>
  <si>
    <t>13.04.01.</t>
  </si>
  <si>
    <t>Uždavinys. Skatinti sveiką gyvenseną ir vykdyti ligų prevenciją</t>
  </si>
  <si>
    <t>Sveikatinimo renginių skaičius</t>
  </si>
  <si>
    <t>2023 m.: Rodiklis viršytas, kadangi buvo didesnis poreikis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</si>
  <si>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</si>
  <si>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</si>
  <si>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</si>
  <si>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</si>
  <si>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</si>
  <si>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</si>
  <si>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</si>
  <si>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 procentais</t>
  </si>
  <si>
    <t>13.05.01.</t>
  </si>
  <si>
    <t>Uždavinys. Atnaujinti sveikatos priežiūros paslaugas teikiančių savivaldybės įstaigų infrastruktūrą</t>
  </si>
  <si>
    <t>Rekonstruotų ar suremontuotų pastatų/ patalpų plotas (m2)</t>
  </si>
  <si>
    <t>m2</t>
  </si>
  <si>
    <t>808,00</t>
  </si>
  <si>
    <t>192,87</t>
  </si>
  <si>
    <t>2023 m.: Planuojami teritorijų tvarkymo darbai persikėlė į kitus metus</t>
  </si>
  <si>
    <t>13.05.01.01.</t>
  </si>
  <si>
    <t>Priemonė: Užtikrinti kokybišką sveikatos priežiūros paslaugų prieinamumą</t>
  </si>
  <si>
    <t>Šakių pirminės asmens sveikatos priežiūros centras; Šakių ligoninė; Kudirkos Naumiesčio pirminės sveikatos priežiūros centras; Lekėčių ambulatorija; Kidulių ambulatorija</t>
  </si>
  <si>
    <t>Rekonstruotų ar suremontuotų pastatų/ patalpų sveikatos priežiūros įstaigų plotas (m2)</t>
  </si>
  <si>
    <t>Sutvarkytų sveikatos įstaigų teritorijų plotas (m2)</t>
  </si>
  <si>
    <t>2023 m.: Rodiklis nepasiektas, kadangi planuojami teritorijų tvarkymo darbai persikėlė į kitus metus</t>
  </si>
  <si>
    <t>Įdiegtų elektroninių paslaugų apimtis įstaigose</t>
  </si>
  <si>
    <t>59,84</t>
  </si>
  <si>
    <t>Įsidiegusių sveikatos priežiūros įstaigų kokybės gerinimo priemonių, skaičius</t>
  </si>
  <si>
    <t>Mokymuose dalyvavusių gydytojų ir slaugytojų skaičius</t>
  </si>
  <si>
    <t>217,00</t>
  </si>
  <si>
    <t>2023 m.: Mokymai buvo organizuoti gydymo įstaigos patalpose, dėl šios priežasties, daugiau medikų turėjo galimybę dalyvauti mokymuose.</t>
  </si>
  <si>
    <t>Parengtų ir pritrauktų finansuojamų specialistų skaičius</t>
  </si>
  <si>
    <t>2023 m.: Šeimos gydytojas</t>
  </si>
  <si>
    <t>13.05.01.01.01</t>
  </si>
  <si>
    <t>Veikla: Užtikrinti prieinamumą sveikatos priežiūros paslaugų</t>
  </si>
  <si>
    <t>13.06.</t>
  </si>
  <si>
    <t>Tikslas: Gyventojų užimtumo didinimas.</t>
  </si>
  <si>
    <t>Užimtumo programoje įdarbintų asmenų skaičius</t>
  </si>
  <si>
    <t>2023 m.: Skirtas didesnis finansavimas. Lėšos išskaidytos pagal kiekvieną seniūniją atskirai</t>
  </si>
  <si>
    <t>13.06.01.</t>
  </si>
  <si>
    <t>Uždavinys. Organizuoti užimtumo didinimo programą</t>
  </si>
  <si>
    <t>Įdarbintų asmenų skaičius</t>
  </si>
  <si>
    <t>13.06.01.01.</t>
  </si>
  <si>
    <t>Priemonė. Įgyvendinti užimtumo didinimo programą.</t>
  </si>
  <si>
    <t>2023 m.: Rodiklis viršytas, kadangi asmenys įdarbinti trumpesniam terminui nei planuota</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</si>
  <si>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</si>
  <si>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</si>
  <si>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</si>
  <si>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</si>
  <si>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</si>
  <si>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2023 m.: Rodiklis viršytas, kadangi Užimtumo tarnyba į Užimtumo didinimo programą programą siuntė daugiau asmenų</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</si>
  <si>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</si>
  <si>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</si>
  <si>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</si>
  <si>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</si>
  <si>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</si>
  <si>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</si>
  <si>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</si>
  <si>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</si>
  <si>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</si>
  <si>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</si>
  <si>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</si>
  <si>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</si>
  <si>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</si>
  <si>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</si>
  <si>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</si>
  <si>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</si>
  <si>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</si>
  <si>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</si>
  <si>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</si>
  <si>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</si>
  <si>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</si>
  <si>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</si>
  <si>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</si>
  <si>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</si>
  <si>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</si>
  <si>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</si>
  <si>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</si>
  <si>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</si>
  <si>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</si>
  <si>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</si>
  <si>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</si>
  <si>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</si>
  <si>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</si>
  <si>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</si>
  <si>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</si>
  <si>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</si>
  <si>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</si>
  <si>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</si>
  <si>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</si>
  <si>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</si>
  <si>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</si>
  <si>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</si>
  <si>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</si>
  <si>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</si>
  <si>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</si>
  <si>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</si>
  <si>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</si>
  <si>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</si>
  <si>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24,40</t>
  </si>
  <si>
    <t>23,48</t>
  </si>
  <si>
    <t>13.07.01.</t>
  </si>
  <si>
    <t>Uždavinys.Gerinti aplinką šeimai, siekiant didinti gimstamumą ir gyvenimo kokybę bei sudaryti sąlygas derinti darbo ir šeiminius įsipareigojimus.</t>
  </si>
  <si>
    <t>Namų ūkių su vaikais skurdo rizikos lygis, procentais</t>
  </si>
  <si>
    <t>15,24</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</si>
  <si>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</si>
  <si>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</si>
  <si>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</si>
  <si>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2023 m.: Rodiklis nepasiektas, nes nebuvo skirtas finansavimas, kadangi globos (rūpybos) išmokai padidintas finansavimas skiriamas bendrai su išmokų vaikams finansavimu, jau nebeišskiriant padidintos dalies</t>
  </si>
  <si>
    <t>13.07.01.01.01</t>
  </si>
  <si>
    <t>Veikla: Teikti padidintą paramą globojamiems (rūpinamiems) vaikams būtiniausiems poreikiams (mitybos, sveikatos priežiūros, ugdymo) užtikrinti.</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</si>
  <si>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</si>
  <si>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</si>
  <si>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</si>
  <si>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</si>
  <si>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</si>
  <si>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</si>
  <si>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34,00</t>
  </si>
  <si>
    <t>2023 m.: Suteikta daugiau kompensacijų, kadangi buvo didesnis poreikis.</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</si>
  <si>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</si>
  <si>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</si>
  <si>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</si>
  <si>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</si>
  <si>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</si>
  <si>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</si>
  <si>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</si>
  <si>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</si>
  <si>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</si>
  <si>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</si>
  <si>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</si>
  <si>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</si>
  <si>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</si>
  <si>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</si>
  <si>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</si>
  <si>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</si>
  <si>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</si>
  <si>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</si>
  <si>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</si>
  <si>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</si>
  <si>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</si>
  <si>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</si>
  <si>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</si>
  <si>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</si>
  <si>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</si>
  <si>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</si>
  <si>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</si>
  <si>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</si>
  <si>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</si>
  <si>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</si>
  <si>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</si>
  <si>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</si>
  <si>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</si>
  <si>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</si>
  <si>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</si>
  <si>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</si>
  <si>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</si>
  <si>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</si>
  <si>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</si>
  <si>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</si>
  <si>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</si>
  <si>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</si>
  <si>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3*. Nacionalinio biudžeto (bendrojo finansavimo, valstybės investicijų programos (VIP) ir  kt.) lėšos;</t>
  </si>
  <si>
    <t>Kiti šaltiniai</t>
  </si>
  <si>
    <t>Nuosavos  lėšos</t>
  </si>
  <si>
    <t>IŠ VISO programai finansuoti pagal finansavimo šaltinius:</t>
  </si>
  <si>
    <t>PATVIRTINTA
Šakių rajono savivaldybės
administracijos direktoriaus
2024 m.                   d. įsakymu Nr. 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</si>
</sst>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7">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1" xfId="0" applyFont="1" applyBorder="1" applyAlignment="1">
      <alignment horizontal="center" vertical="center" wrapText="1"/>
    </xf>
    <xf numFmtId="0" fontId="1" fillId="0" borderId="9"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6" xfId="0" applyFont="1" applyFill="1" applyBorder="1" applyAlignment="1" applyProtection="1">
      <alignment horizontal="right" vertical="center" wrapText="1" readingOrder="1"/>
      <protection locked="0"/>
    </xf>
    <xf numFmtId="0" fontId="1" fillId="6" borderId="7" xfId="0" applyFont="1" applyFill="1" applyBorder="1" applyAlignment="1" applyProtection="1">
      <alignment horizontal="lef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6" xfId="0" applyFont="1" applyFill="1" applyBorder="1" applyAlignment="1" applyProtection="1">
      <alignment horizontal="right" vertical="center" wrapText="1" readingOrder="1"/>
      <protection locked="0"/>
    </xf>
    <xf numFmtId="0" fontId="1" fillId="5" borderId="7" xfId="0" applyFont="1" applyFill="1" applyBorder="1" applyAlignment="1" applyProtection="1">
      <alignment horizontal="lef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6" xfId="0" applyFont="1" applyFill="1" applyBorder="1" applyAlignment="1" applyProtection="1">
      <alignment horizontal="right" vertical="center" wrapText="1" readingOrder="1"/>
      <protection locked="0"/>
    </xf>
    <xf numFmtId="0" fontId="1" fillId="4" borderId="7" xfId="0" applyFont="1" applyFill="1" applyBorder="1" applyAlignment="1" applyProtection="1">
      <alignment horizontal="lef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6" xfId="0" applyFont="1" applyBorder="1" applyAlignment="1" applyProtection="1">
      <alignment horizontal="right" vertical="center" wrapText="1" readingOrder="1"/>
      <protection locked="0"/>
    </xf>
    <xf numFmtId="0" fontId="2" fillId="0" borderId="7" xfId="0" applyFont="1" applyBorder="1" applyAlignment="1" applyProtection="1">
      <alignment horizontal="lef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1" xfId="0" applyFont="1" applyBorder="1" applyAlignment="1" applyProtection="1">
      <alignment horizontal="right" vertical="center" wrapText="1" readingOrder="1"/>
      <protection locked="0"/>
    </xf>
    <xf numFmtId="0" fontId="2" fillId="0" borderId="9" xfId="0" applyFont="1" applyBorder="1" applyAlignment="1" applyProtection="1">
      <alignment horizontal="lef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3" xfId="0" applyFont="1" applyBorder="1" applyAlignment="1" applyProtection="1">
      <alignment horizontal="right" vertical="center" wrapText="1" readingOrder="1"/>
      <protection locked="0"/>
    </xf>
    <xf numFmtId="0" fontId="2" fillId="0" borderId="4" xfId="0" applyFont="1" applyBorder="1" applyAlignment="1" applyProtection="1">
      <alignment horizontal="lef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pplyProtection="1">
      <alignment vertical="center" wrapText="1" readingOrder="1"/>
      <protection locked="0"/>
    </xf>
    <xf numFmtId="0" fontId="1" fillId="2" borderId="0" xfId="0" applyFont="1" applyFill="1" applyAlignment="1" applyProtection="1">
      <alignment horizontal="right" vertical="center" wrapText="1" readingOrder="1"/>
      <protection locked="0"/>
    </xf>
    <xf numFmtId="164" fontId="1" fillId="2" borderId="0" xfId="0" applyNumberFormat="1" applyFont="1" applyFill="1" applyAlignment="1">
      <alignment horizontal="right" vertical="center" wrapText="1" readingOrder="1"/>
    </xf>
    <xf numFmtId="0" fontId="1" fillId="2" borderId="0" xfId="0" applyFont="1" applyFill="1" applyAlignment="1">
      <alignment vertical="center" wrapText="1"/>
    </xf>
    <xf numFmtId="0" fontId="2" fillId="2" borderId="0" xfId="0" applyFont="1" applyFill="1" applyAlignment="1">
      <alignment horizontal="left" vertical="center" wrapText="1"/>
    </xf>
    <xf numFmtId="0" fontId="1" fillId="0" borderId="0" xfId="0" applyFont="1" applyAlignment="1">
      <alignment horizontal="center" vertical="center" wrapText="1"/>
    </xf>
    <xf numFmtId="0" fontId="2" fillId="2" borderId="13" xfId="0" applyFont="1" applyFill="1" applyBorder="1" applyAlignment="1">
      <alignment horizontal="lef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847"/>
  <sheetViews>
    <sheetView tabSelected="1" zoomScale="40" zoomScaleNormal="40" workbookViewId="0">
      <selection activeCell="H827" sqref="H827"/>
    </sheetView>
  </sheetViews>
  <sheetFormatPr defaultRowHeight="23.25" x14ac:dyDescent="0.25"/>
  <cols>
    <col min="1" max="1" width="28.5703125" style="3" customWidth="1"/>
    <col min="2" max="2" width="66.140625" style="3" customWidth="1"/>
    <col min="3" max="3" width="50.7109375" style="3" customWidth="1"/>
    <col min="4" max="4" width="40.7109375" style="3" customWidth="1"/>
    <col min="5" max="5" width="20.85546875" style="3" customWidth="1"/>
    <col min="6" max="25" width="25.140625" style="3" customWidth="1"/>
    <col min="26" max="26" width="63.28515625" style="3" customWidth="1"/>
    <col min="27" max="29" width="15" style="3" customWidth="1"/>
    <col min="30" max="30" width="56.42578125" style="3" customWidth="1"/>
    <col min="31" max="16384" width="9.140625" style="3"/>
  </cols>
  <sheetData>
    <row r="1" spans="1:30" s="1" customFormat="1" ht="22.5" x14ac:dyDescent="0.25">
      <c r="A1" s="73"/>
      <c r="B1" s="73"/>
      <c r="C1" s="73"/>
      <c r="D1" s="73"/>
      <c r="E1" s="73"/>
      <c r="F1" s="73"/>
      <c r="G1" s="73"/>
      <c r="H1" s="73"/>
      <c r="I1" s="73"/>
      <c r="J1" s="73"/>
      <c r="K1" s="73"/>
      <c r="L1" s="73"/>
      <c r="M1" s="73"/>
      <c r="N1" s="73"/>
      <c r="O1" s="73"/>
      <c r="P1" s="73"/>
      <c r="Q1" s="73"/>
      <c r="R1" s="73"/>
      <c r="S1" s="73"/>
      <c r="T1" s="73"/>
      <c r="U1" s="73"/>
      <c r="V1" s="73"/>
      <c r="W1" s="73"/>
      <c r="X1" s="73"/>
      <c r="Y1" s="73"/>
      <c r="Z1" s="74" t="s">
        <v>2288</v>
      </c>
      <c r="AA1" s="74"/>
      <c r="AB1" s="74"/>
      <c r="AC1" s="74"/>
    </row>
    <row r="2" spans="1:30" s="2" customFormat="1" x14ac:dyDescent="0.25">
      <c r="A2" s="64"/>
      <c r="B2" s="64"/>
      <c r="C2" s="64"/>
      <c r="D2" s="64"/>
      <c r="E2" s="64"/>
      <c r="F2" s="64"/>
      <c r="G2" s="64"/>
      <c r="H2" s="64"/>
      <c r="I2" s="64"/>
      <c r="J2" s="64"/>
      <c r="K2" s="64"/>
      <c r="L2" s="64"/>
      <c r="M2" s="64"/>
      <c r="N2" s="64"/>
      <c r="O2" s="64"/>
      <c r="P2" s="64"/>
      <c r="Q2" s="64"/>
      <c r="R2" s="64"/>
      <c r="S2" s="64"/>
      <c r="T2" s="64"/>
      <c r="U2" s="64"/>
      <c r="V2" s="64"/>
      <c r="W2" s="64"/>
      <c r="X2" s="64"/>
      <c r="Y2" s="64"/>
      <c r="Z2" s="74"/>
      <c r="AA2" s="74"/>
      <c r="AB2" s="74"/>
      <c r="AC2" s="74"/>
    </row>
    <row r="3" spans="1:30" x14ac:dyDescent="0.25">
      <c r="K3" s="75" t="s">
        <v>1</v>
      </c>
      <c r="L3" s="75"/>
      <c r="M3" s="75"/>
      <c r="N3" s="75"/>
      <c r="O3" s="75"/>
      <c r="P3" s="75"/>
      <c r="Q3" s="75"/>
      <c r="R3" s="75"/>
      <c r="S3" s="75"/>
      <c r="Z3" s="74"/>
      <c r="AA3" s="74"/>
      <c r="AB3" s="74"/>
      <c r="AC3" s="74"/>
    </row>
    <row r="4" spans="1:30" x14ac:dyDescent="0.25">
      <c r="Z4" s="74"/>
      <c r="AA4" s="74"/>
      <c r="AB4" s="74"/>
      <c r="AC4" s="74"/>
    </row>
    <row r="5" spans="1:30" ht="24" thickBot="1" x14ac:dyDescent="0.3">
      <c r="Z5" s="76"/>
      <c r="AA5" s="76"/>
      <c r="AB5" s="76"/>
      <c r="AC5" s="76"/>
    </row>
    <row r="6" spans="1:30" x14ac:dyDescent="0.25">
      <c r="A6" s="4" t="s">
        <v>0</v>
      </c>
      <c r="B6" s="5" t="s">
        <v>1</v>
      </c>
      <c r="C6" s="5" t="s">
        <v>2</v>
      </c>
      <c r="D6" s="5" t="s">
        <v>3</v>
      </c>
      <c r="E6" s="5" t="s">
        <v>4</v>
      </c>
      <c r="F6" s="5" t="s">
        <v>5</v>
      </c>
      <c r="G6" s="5" t="s">
        <v>6</v>
      </c>
      <c r="H6" s="6"/>
      <c r="I6" s="6"/>
      <c r="J6" s="6"/>
      <c r="K6" s="6"/>
      <c r="L6" s="6"/>
      <c r="M6" s="6"/>
      <c r="N6" s="6"/>
      <c r="O6" s="6"/>
      <c r="P6" s="5" t="s">
        <v>7</v>
      </c>
      <c r="Q6" s="5" t="s">
        <v>6</v>
      </c>
      <c r="R6" s="6"/>
      <c r="S6" s="6"/>
      <c r="T6" s="6"/>
      <c r="U6" s="6"/>
      <c r="V6" s="6"/>
      <c r="W6" s="6"/>
      <c r="X6" s="6"/>
      <c r="Y6" s="6"/>
      <c r="Z6" s="5" t="s">
        <v>8</v>
      </c>
      <c r="AA6" s="6"/>
      <c r="AB6" s="6"/>
      <c r="AC6" s="6"/>
      <c r="AD6" s="7"/>
    </row>
    <row r="7" spans="1:30" x14ac:dyDescent="0.25">
      <c r="A7" s="8"/>
      <c r="B7" s="9"/>
      <c r="C7" s="9"/>
      <c r="D7" s="9"/>
      <c r="E7" s="9"/>
      <c r="F7" s="9"/>
      <c r="G7" s="9" t="s">
        <v>9</v>
      </c>
      <c r="H7" s="9" t="s">
        <v>10</v>
      </c>
      <c r="I7" s="9" t="s">
        <v>11</v>
      </c>
      <c r="J7" s="9" t="s">
        <v>12</v>
      </c>
      <c r="K7" s="9" t="s">
        <v>13</v>
      </c>
      <c r="L7" s="9" t="s">
        <v>14</v>
      </c>
      <c r="M7" s="9" t="s">
        <v>15</v>
      </c>
      <c r="N7" s="9" t="s">
        <v>16</v>
      </c>
      <c r="O7" s="9" t="s">
        <v>17</v>
      </c>
      <c r="P7" s="9"/>
      <c r="Q7" s="9" t="s">
        <v>9</v>
      </c>
      <c r="R7" s="9" t="s">
        <v>18</v>
      </c>
      <c r="S7" s="9" t="s">
        <v>19</v>
      </c>
      <c r="T7" s="9" t="s">
        <v>20</v>
      </c>
      <c r="U7" s="9" t="s">
        <v>13</v>
      </c>
      <c r="V7" s="9" t="s">
        <v>14</v>
      </c>
      <c r="W7" s="9" t="s">
        <v>15</v>
      </c>
      <c r="X7" s="9" t="s">
        <v>16</v>
      </c>
      <c r="Y7" s="9" t="s">
        <v>17</v>
      </c>
      <c r="Z7" s="9" t="s">
        <v>21</v>
      </c>
      <c r="AA7" s="9" t="s">
        <v>22</v>
      </c>
      <c r="AB7" s="9" t="s">
        <v>23</v>
      </c>
      <c r="AC7" s="10"/>
      <c r="AD7" s="11" t="s">
        <v>24</v>
      </c>
    </row>
    <row r="8" spans="1:30" x14ac:dyDescent="0.25">
      <c r="A8" s="12"/>
      <c r="B8" s="13"/>
      <c r="C8" s="13"/>
      <c r="D8" s="13"/>
      <c r="E8" s="13"/>
      <c r="F8" s="13"/>
      <c r="G8" s="13"/>
      <c r="H8" s="13"/>
      <c r="I8" s="13"/>
      <c r="J8" s="13"/>
      <c r="K8" s="13"/>
      <c r="L8" s="13"/>
      <c r="M8" s="13"/>
      <c r="N8" s="13"/>
      <c r="O8" s="13"/>
      <c r="P8" s="13"/>
      <c r="Q8" s="13"/>
      <c r="R8" s="13"/>
      <c r="S8" s="13"/>
      <c r="T8" s="13"/>
      <c r="U8" s="13"/>
      <c r="V8" s="13"/>
      <c r="W8" s="13"/>
      <c r="X8" s="13"/>
      <c r="Y8" s="13"/>
      <c r="Z8" s="13"/>
      <c r="AA8" s="13"/>
      <c r="AB8" s="14" t="s">
        <v>25</v>
      </c>
      <c r="AC8" s="14" t="s">
        <v>26</v>
      </c>
      <c r="AD8" s="15"/>
    </row>
    <row r="9" spans="1:30" ht="45" x14ac:dyDescent="0.25">
      <c r="A9" s="16" t="s">
        <v>27</v>
      </c>
      <c r="B9" s="17" t="s">
        <v>28</v>
      </c>
      <c r="C9" s="18" t="s">
        <v>29</v>
      </c>
      <c r="D9" s="18" t="s">
        <v>30</v>
      </c>
      <c r="E9" s="18"/>
      <c r="F9" s="19">
        <f t="shared" ref="F9:Y9" si="0">F10+F53+F57+F63+F74+F80+F84+F88</f>
        <v>823949.39</v>
      </c>
      <c r="G9" s="19">
        <f t="shared" si="0"/>
        <v>579260.46</v>
      </c>
      <c r="H9" s="19">
        <f t="shared" si="0"/>
        <v>0</v>
      </c>
      <c r="I9" s="19">
        <f t="shared" si="0"/>
        <v>0</v>
      </c>
      <c r="J9" s="19">
        <f t="shared" si="0"/>
        <v>0</v>
      </c>
      <c r="K9" s="19">
        <f t="shared" si="0"/>
        <v>0</v>
      </c>
      <c r="L9" s="19">
        <f t="shared" si="0"/>
        <v>96748.930000000008</v>
      </c>
      <c r="M9" s="19">
        <f t="shared" si="0"/>
        <v>147940</v>
      </c>
      <c r="N9" s="19">
        <f t="shared" si="0"/>
        <v>0</v>
      </c>
      <c r="O9" s="19">
        <f t="shared" si="0"/>
        <v>0</v>
      </c>
      <c r="P9" s="19">
        <f t="shared" si="0"/>
        <v>798380.76000000013</v>
      </c>
      <c r="Q9" s="19">
        <f t="shared" si="0"/>
        <v>565030.08000000007</v>
      </c>
      <c r="R9" s="19">
        <f t="shared" si="0"/>
        <v>0</v>
      </c>
      <c r="S9" s="19">
        <f t="shared" si="0"/>
        <v>0</v>
      </c>
      <c r="T9" s="19">
        <f t="shared" si="0"/>
        <v>0</v>
      </c>
      <c r="U9" s="19">
        <f t="shared" si="0"/>
        <v>0</v>
      </c>
      <c r="V9" s="19">
        <f t="shared" si="0"/>
        <v>50457.03</v>
      </c>
      <c r="W9" s="19">
        <f t="shared" si="0"/>
        <v>125212.23</v>
      </c>
      <c r="X9" s="19">
        <f t="shared" si="0"/>
        <v>0</v>
      </c>
      <c r="Y9" s="19">
        <f t="shared" si="0"/>
        <v>0</v>
      </c>
      <c r="Z9" s="18"/>
      <c r="AA9" s="20"/>
      <c r="AB9" s="21"/>
      <c r="AC9" s="21"/>
      <c r="AD9" s="22"/>
    </row>
    <row r="10" spans="1:30" ht="67.5" x14ac:dyDescent="0.25">
      <c r="A10" s="23" t="s">
        <v>31</v>
      </c>
      <c r="B10" s="24" t="s">
        <v>32</v>
      </c>
      <c r="C10" s="25" t="s">
        <v>29</v>
      </c>
      <c r="D10" s="25" t="s">
        <v>33</v>
      </c>
      <c r="E10" s="25"/>
      <c r="F10" s="26">
        <f t="shared" ref="F10:Y10" si="1">F11+F48</f>
        <v>625343.16</v>
      </c>
      <c r="G10" s="26">
        <f t="shared" si="1"/>
        <v>435294.46</v>
      </c>
      <c r="H10" s="26">
        <f t="shared" si="1"/>
        <v>0</v>
      </c>
      <c r="I10" s="26">
        <f t="shared" si="1"/>
        <v>0</v>
      </c>
      <c r="J10" s="26">
        <f t="shared" si="1"/>
        <v>0</v>
      </c>
      <c r="K10" s="26">
        <f t="shared" si="1"/>
        <v>0</v>
      </c>
      <c r="L10" s="26">
        <f t="shared" si="1"/>
        <v>56248.700000000004</v>
      </c>
      <c r="M10" s="26">
        <f t="shared" si="1"/>
        <v>133800</v>
      </c>
      <c r="N10" s="26">
        <f t="shared" si="1"/>
        <v>0</v>
      </c>
      <c r="O10" s="26">
        <f t="shared" si="1"/>
        <v>0</v>
      </c>
      <c r="P10" s="26">
        <f t="shared" si="1"/>
        <v>605030.35000000009</v>
      </c>
      <c r="Q10" s="26">
        <f t="shared" si="1"/>
        <v>423618.08</v>
      </c>
      <c r="R10" s="26">
        <f t="shared" si="1"/>
        <v>0</v>
      </c>
      <c r="S10" s="26">
        <f t="shared" si="1"/>
        <v>0</v>
      </c>
      <c r="T10" s="26">
        <f t="shared" si="1"/>
        <v>0</v>
      </c>
      <c r="U10" s="26">
        <f t="shared" si="1"/>
        <v>0</v>
      </c>
      <c r="V10" s="26">
        <f t="shared" si="1"/>
        <v>9956.7999999999993</v>
      </c>
      <c r="W10" s="26">
        <f t="shared" si="1"/>
        <v>125212.23</v>
      </c>
      <c r="X10" s="26">
        <f t="shared" si="1"/>
        <v>0</v>
      </c>
      <c r="Y10" s="26">
        <f t="shared" si="1"/>
        <v>0</v>
      </c>
      <c r="Z10" s="25" t="s">
        <v>34</v>
      </c>
      <c r="AA10" s="27" t="s">
        <v>35</v>
      </c>
      <c r="AB10" s="28" t="s">
        <v>36</v>
      </c>
      <c r="AC10" s="28" t="s">
        <v>36</v>
      </c>
      <c r="AD10" s="29"/>
    </row>
    <row r="11" spans="1:30" ht="112.5" x14ac:dyDescent="0.25">
      <c r="A11" s="30" t="s">
        <v>37</v>
      </c>
      <c r="B11" s="31" t="s">
        <v>38</v>
      </c>
      <c r="C11" s="32" t="s">
        <v>29</v>
      </c>
      <c r="D11" s="32" t="s">
        <v>33</v>
      </c>
      <c r="E11" s="32" t="s">
        <v>39</v>
      </c>
      <c r="F11" s="33">
        <f t="shared" ref="F11:Y11" si="2">F12+F14+F16+F18+F20+F24+F27+F31+F34+F36+F38+F40+F42+F44+F46</f>
        <v>620457.54</v>
      </c>
      <c r="G11" s="33">
        <f t="shared" si="2"/>
        <v>430408.84</v>
      </c>
      <c r="H11" s="33">
        <f t="shared" si="2"/>
        <v>0</v>
      </c>
      <c r="I11" s="33">
        <f t="shared" si="2"/>
        <v>0</v>
      </c>
      <c r="J11" s="33">
        <f t="shared" si="2"/>
        <v>0</v>
      </c>
      <c r="K11" s="33">
        <f t="shared" si="2"/>
        <v>0</v>
      </c>
      <c r="L11" s="33">
        <f t="shared" si="2"/>
        <v>56248.700000000004</v>
      </c>
      <c r="M11" s="33">
        <f t="shared" si="2"/>
        <v>133800</v>
      </c>
      <c r="N11" s="33">
        <f t="shared" si="2"/>
        <v>0</v>
      </c>
      <c r="O11" s="33">
        <f t="shared" si="2"/>
        <v>0</v>
      </c>
      <c r="P11" s="33">
        <f t="shared" si="2"/>
        <v>600144.7300000001</v>
      </c>
      <c r="Q11" s="33">
        <f t="shared" si="2"/>
        <v>418732.46</v>
      </c>
      <c r="R11" s="33">
        <f t="shared" si="2"/>
        <v>0</v>
      </c>
      <c r="S11" s="33">
        <f t="shared" si="2"/>
        <v>0</v>
      </c>
      <c r="T11" s="33">
        <f t="shared" si="2"/>
        <v>0</v>
      </c>
      <c r="U11" s="33">
        <f t="shared" si="2"/>
        <v>0</v>
      </c>
      <c r="V11" s="33">
        <f t="shared" si="2"/>
        <v>9956.7999999999993</v>
      </c>
      <c r="W11" s="33">
        <f t="shared" si="2"/>
        <v>125212.23</v>
      </c>
      <c r="X11" s="33">
        <f t="shared" si="2"/>
        <v>0</v>
      </c>
      <c r="Y11" s="33">
        <f t="shared" si="2"/>
        <v>0</v>
      </c>
      <c r="Z11" s="32" t="s">
        <v>40</v>
      </c>
      <c r="AA11" s="34" t="s">
        <v>41</v>
      </c>
      <c r="AB11" s="35" t="s">
        <v>42</v>
      </c>
      <c r="AC11" s="35" t="s">
        <v>42</v>
      </c>
      <c r="AD11" s="36"/>
    </row>
    <row r="12" spans="1:30" ht="46.5" x14ac:dyDescent="0.25">
      <c r="A12" s="37" t="s">
        <v>43</v>
      </c>
      <c r="B12" s="38" t="s">
        <v>44</v>
      </c>
      <c r="C12" s="39" t="s">
        <v>29</v>
      </c>
      <c r="D12" s="39" t="s">
        <v>45</v>
      </c>
      <c r="E12" s="39" t="s">
        <v>46</v>
      </c>
      <c r="F12" s="40">
        <f t="shared" ref="F12:Y12" si="3">SUM(F13:F13)</f>
        <v>0</v>
      </c>
      <c r="G12" s="40">
        <f t="shared" si="3"/>
        <v>0</v>
      </c>
      <c r="H12" s="40">
        <f t="shared" si="3"/>
        <v>0</v>
      </c>
      <c r="I12" s="40">
        <f t="shared" si="3"/>
        <v>0</v>
      </c>
      <c r="J12" s="40">
        <f t="shared" si="3"/>
        <v>0</v>
      </c>
      <c r="K12" s="40">
        <f t="shared" si="3"/>
        <v>0</v>
      </c>
      <c r="L12" s="40">
        <f t="shared" si="3"/>
        <v>0</v>
      </c>
      <c r="M12" s="40">
        <f t="shared" si="3"/>
        <v>0</v>
      </c>
      <c r="N12" s="40">
        <f t="shared" si="3"/>
        <v>0</v>
      </c>
      <c r="O12" s="40">
        <f t="shared" si="3"/>
        <v>0</v>
      </c>
      <c r="P12" s="40">
        <f t="shared" si="3"/>
        <v>0</v>
      </c>
      <c r="Q12" s="40">
        <f t="shared" si="3"/>
        <v>0</v>
      </c>
      <c r="R12" s="40">
        <f t="shared" si="3"/>
        <v>0</v>
      </c>
      <c r="S12" s="40">
        <f t="shared" si="3"/>
        <v>0</v>
      </c>
      <c r="T12" s="40">
        <f t="shared" si="3"/>
        <v>0</v>
      </c>
      <c r="U12" s="40">
        <f t="shared" si="3"/>
        <v>0</v>
      </c>
      <c r="V12" s="40">
        <f t="shared" si="3"/>
        <v>0</v>
      </c>
      <c r="W12" s="40">
        <f t="shared" si="3"/>
        <v>0</v>
      </c>
      <c r="X12" s="40">
        <f t="shared" si="3"/>
        <v>0</v>
      </c>
      <c r="Y12" s="40">
        <f t="shared" si="3"/>
        <v>0</v>
      </c>
      <c r="Z12" s="39" t="s">
        <v>47</v>
      </c>
      <c r="AA12" s="41" t="s">
        <v>41</v>
      </c>
      <c r="AB12" s="42" t="s">
        <v>48</v>
      </c>
      <c r="AC12" s="42" t="s">
        <v>49</v>
      </c>
      <c r="AD12" s="43" t="s">
        <v>50</v>
      </c>
    </row>
    <row r="13" spans="1:30" ht="46.5" x14ac:dyDescent="0.25">
      <c r="A13" s="37" t="s">
        <v>51</v>
      </c>
      <c r="B13" s="38" t="s">
        <v>52</v>
      </c>
      <c r="C13" s="39"/>
      <c r="D13" s="39"/>
      <c r="E13" s="39"/>
      <c r="F13" s="44">
        <v>0</v>
      </c>
      <c r="G13" s="44">
        <v>0</v>
      </c>
      <c r="H13" s="44">
        <v>0</v>
      </c>
      <c r="I13" s="44">
        <v>0</v>
      </c>
      <c r="J13" s="44">
        <v>0</v>
      </c>
      <c r="K13" s="44">
        <v>0</v>
      </c>
      <c r="L13" s="44">
        <v>0</v>
      </c>
      <c r="M13" s="44">
        <v>0</v>
      </c>
      <c r="N13" s="44">
        <v>0</v>
      </c>
      <c r="O13" s="44">
        <v>0</v>
      </c>
      <c r="P13" s="44">
        <v>0</v>
      </c>
      <c r="Q13" s="44">
        <v>0</v>
      </c>
      <c r="R13" s="44">
        <v>0</v>
      </c>
      <c r="S13" s="44">
        <v>0</v>
      </c>
      <c r="T13" s="44">
        <v>0</v>
      </c>
      <c r="U13" s="44">
        <v>0</v>
      </c>
      <c r="V13" s="44">
        <v>0</v>
      </c>
      <c r="W13" s="44">
        <v>0</v>
      </c>
      <c r="X13" s="44">
        <v>0</v>
      </c>
      <c r="Y13" s="44">
        <v>0</v>
      </c>
      <c r="Z13" s="39"/>
      <c r="AA13" s="41"/>
      <c r="AB13" s="42"/>
      <c r="AC13" s="42"/>
      <c r="AD13" s="43"/>
    </row>
    <row r="14" spans="1:30" ht="46.5" x14ac:dyDescent="0.25">
      <c r="A14" s="37" t="s">
        <v>53</v>
      </c>
      <c r="B14" s="38" t="s">
        <v>54</v>
      </c>
      <c r="C14" s="39" t="s">
        <v>29</v>
      </c>
      <c r="D14" s="39" t="s">
        <v>33</v>
      </c>
      <c r="E14" s="39" t="s">
        <v>46</v>
      </c>
      <c r="F14" s="40">
        <f t="shared" ref="F14:Y14" si="4">SUM(F15:F15)</f>
        <v>0</v>
      </c>
      <c r="G14" s="40">
        <f t="shared" si="4"/>
        <v>0</v>
      </c>
      <c r="H14" s="40">
        <f t="shared" si="4"/>
        <v>0</v>
      </c>
      <c r="I14" s="40">
        <f t="shared" si="4"/>
        <v>0</v>
      </c>
      <c r="J14" s="40">
        <f t="shared" si="4"/>
        <v>0</v>
      </c>
      <c r="K14" s="40">
        <f t="shared" si="4"/>
        <v>0</v>
      </c>
      <c r="L14" s="40">
        <f t="shared" si="4"/>
        <v>0</v>
      </c>
      <c r="M14" s="40">
        <f t="shared" si="4"/>
        <v>0</v>
      </c>
      <c r="N14" s="40">
        <f t="shared" si="4"/>
        <v>0</v>
      </c>
      <c r="O14" s="40">
        <f t="shared" si="4"/>
        <v>0</v>
      </c>
      <c r="P14" s="40">
        <f t="shared" si="4"/>
        <v>0</v>
      </c>
      <c r="Q14" s="40">
        <f t="shared" si="4"/>
        <v>0</v>
      </c>
      <c r="R14" s="40">
        <f t="shared" si="4"/>
        <v>0</v>
      </c>
      <c r="S14" s="40">
        <f t="shared" si="4"/>
        <v>0</v>
      </c>
      <c r="T14" s="40">
        <f t="shared" si="4"/>
        <v>0</v>
      </c>
      <c r="U14" s="40">
        <f t="shared" si="4"/>
        <v>0</v>
      </c>
      <c r="V14" s="40">
        <f t="shared" si="4"/>
        <v>0</v>
      </c>
      <c r="W14" s="40">
        <f t="shared" si="4"/>
        <v>0</v>
      </c>
      <c r="X14" s="40">
        <f t="shared" si="4"/>
        <v>0</v>
      </c>
      <c r="Y14" s="40">
        <f t="shared" si="4"/>
        <v>0</v>
      </c>
      <c r="Z14" s="39" t="s">
        <v>55</v>
      </c>
      <c r="AA14" s="41" t="s">
        <v>41</v>
      </c>
      <c r="AB14" s="42" t="s">
        <v>56</v>
      </c>
      <c r="AC14" s="42" t="s">
        <v>57</v>
      </c>
      <c r="AD14" s="43" t="s">
        <v>58</v>
      </c>
    </row>
    <row r="15" spans="1:30" ht="46.5" x14ac:dyDescent="0.25">
      <c r="A15" s="37" t="s">
        <v>59</v>
      </c>
      <c r="B15" s="38" t="s">
        <v>60</v>
      </c>
      <c r="C15" s="39"/>
      <c r="D15" s="39"/>
      <c r="E15" s="39"/>
      <c r="F15" s="44">
        <v>0</v>
      </c>
      <c r="G15" s="44">
        <v>0</v>
      </c>
      <c r="H15" s="44">
        <v>0</v>
      </c>
      <c r="I15" s="44">
        <v>0</v>
      </c>
      <c r="J15" s="44">
        <v>0</v>
      </c>
      <c r="K15" s="44">
        <v>0</v>
      </c>
      <c r="L15" s="44">
        <v>0</v>
      </c>
      <c r="M15" s="44">
        <v>0</v>
      </c>
      <c r="N15" s="44">
        <v>0</v>
      </c>
      <c r="O15" s="44">
        <v>0</v>
      </c>
      <c r="P15" s="44">
        <v>0</v>
      </c>
      <c r="Q15" s="44">
        <v>0</v>
      </c>
      <c r="R15" s="44">
        <v>0</v>
      </c>
      <c r="S15" s="44">
        <v>0</v>
      </c>
      <c r="T15" s="44">
        <v>0</v>
      </c>
      <c r="U15" s="44">
        <v>0</v>
      </c>
      <c r="V15" s="44">
        <v>0</v>
      </c>
      <c r="W15" s="44">
        <v>0</v>
      </c>
      <c r="X15" s="44">
        <v>0</v>
      </c>
      <c r="Y15" s="44">
        <v>0</v>
      </c>
      <c r="Z15" s="39"/>
      <c r="AA15" s="41"/>
      <c r="AB15" s="42"/>
      <c r="AC15" s="42"/>
      <c r="AD15" s="43"/>
    </row>
    <row r="16" spans="1:30" ht="69.75" x14ac:dyDescent="0.25">
      <c r="A16" s="37" t="s">
        <v>61</v>
      </c>
      <c r="B16" s="38" t="s">
        <v>62</v>
      </c>
      <c r="C16" s="39" t="s">
        <v>29</v>
      </c>
      <c r="D16" s="39" t="s">
        <v>33</v>
      </c>
      <c r="E16" s="39" t="s">
        <v>46</v>
      </c>
      <c r="F16" s="40">
        <f t="shared" ref="F16:Y16" si="5">SUM(F17:F17)</f>
        <v>0</v>
      </c>
      <c r="G16" s="40">
        <f t="shared" si="5"/>
        <v>0</v>
      </c>
      <c r="H16" s="40">
        <f t="shared" si="5"/>
        <v>0</v>
      </c>
      <c r="I16" s="40">
        <f t="shared" si="5"/>
        <v>0</v>
      </c>
      <c r="J16" s="40">
        <f t="shared" si="5"/>
        <v>0</v>
      </c>
      <c r="K16" s="40">
        <f t="shared" si="5"/>
        <v>0</v>
      </c>
      <c r="L16" s="40">
        <f t="shared" si="5"/>
        <v>0</v>
      </c>
      <c r="M16" s="40">
        <f t="shared" si="5"/>
        <v>0</v>
      </c>
      <c r="N16" s="40">
        <f t="shared" si="5"/>
        <v>0</v>
      </c>
      <c r="O16" s="40">
        <f t="shared" si="5"/>
        <v>0</v>
      </c>
      <c r="P16" s="40">
        <f t="shared" si="5"/>
        <v>0</v>
      </c>
      <c r="Q16" s="40">
        <f t="shared" si="5"/>
        <v>0</v>
      </c>
      <c r="R16" s="40">
        <f t="shared" si="5"/>
        <v>0</v>
      </c>
      <c r="S16" s="40">
        <f t="shared" si="5"/>
        <v>0</v>
      </c>
      <c r="T16" s="40">
        <f t="shared" si="5"/>
        <v>0</v>
      </c>
      <c r="U16" s="40">
        <f t="shared" si="5"/>
        <v>0</v>
      </c>
      <c r="V16" s="40">
        <f t="shared" si="5"/>
        <v>0</v>
      </c>
      <c r="W16" s="40">
        <f t="shared" si="5"/>
        <v>0</v>
      </c>
      <c r="X16" s="40">
        <f t="shared" si="5"/>
        <v>0</v>
      </c>
      <c r="Y16" s="40">
        <f t="shared" si="5"/>
        <v>0</v>
      </c>
      <c r="Z16" s="39" t="s">
        <v>63</v>
      </c>
      <c r="AA16" s="41" t="s">
        <v>41</v>
      </c>
      <c r="AB16" s="42" t="s">
        <v>64</v>
      </c>
      <c r="AC16" s="42" t="s">
        <v>65</v>
      </c>
      <c r="AD16" s="43" t="s">
        <v>66</v>
      </c>
    </row>
    <row r="17" spans="1:30" ht="93" x14ac:dyDescent="0.25">
      <c r="A17" s="37" t="s">
        <v>67</v>
      </c>
      <c r="B17" s="38" t="s">
        <v>68</v>
      </c>
      <c r="C17" s="39"/>
      <c r="D17" s="39"/>
      <c r="E17" s="39"/>
      <c r="F17" s="44">
        <v>0</v>
      </c>
      <c r="G17" s="44">
        <v>0</v>
      </c>
      <c r="H17" s="44">
        <v>0</v>
      </c>
      <c r="I17" s="44">
        <v>0</v>
      </c>
      <c r="J17" s="44">
        <v>0</v>
      </c>
      <c r="K17" s="44">
        <v>0</v>
      </c>
      <c r="L17" s="44">
        <v>0</v>
      </c>
      <c r="M17" s="44">
        <v>0</v>
      </c>
      <c r="N17" s="44">
        <v>0</v>
      </c>
      <c r="O17" s="44">
        <v>0</v>
      </c>
      <c r="P17" s="44">
        <v>0</v>
      </c>
      <c r="Q17" s="44">
        <v>0</v>
      </c>
      <c r="R17" s="44">
        <v>0</v>
      </c>
      <c r="S17" s="44">
        <v>0</v>
      </c>
      <c r="T17" s="44">
        <v>0</v>
      </c>
      <c r="U17" s="44">
        <v>0</v>
      </c>
      <c r="V17" s="44">
        <v>0</v>
      </c>
      <c r="W17" s="44">
        <v>0</v>
      </c>
      <c r="X17" s="44">
        <v>0</v>
      </c>
      <c r="Y17" s="44">
        <v>0</v>
      </c>
      <c r="Z17" s="39"/>
      <c r="AA17" s="41"/>
      <c r="AB17" s="42"/>
      <c r="AC17" s="42"/>
      <c r="AD17" s="43"/>
    </row>
    <row r="18" spans="1:30" ht="46.5" x14ac:dyDescent="0.25">
      <c r="A18" s="37" t="s">
        <v>69</v>
      </c>
      <c r="B18" s="38" t="s">
        <v>70</v>
      </c>
      <c r="C18" s="39" t="s">
        <v>29</v>
      </c>
      <c r="D18" s="39" t="s">
        <v>45</v>
      </c>
      <c r="E18" s="39" t="s">
        <v>46</v>
      </c>
      <c r="F18" s="40">
        <f>SUM(F19:F19)+350837.46</f>
        <v>350837.46</v>
      </c>
      <c r="G18" s="40">
        <f>SUM(G19:G19)+350837.46</f>
        <v>350837.46</v>
      </c>
      <c r="H18" s="40">
        <f t="shared" ref="H18:O18" si="6">SUM(H19:H19)</f>
        <v>0</v>
      </c>
      <c r="I18" s="40">
        <f t="shared" si="6"/>
        <v>0</v>
      </c>
      <c r="J18" s="40">
        <f t="shared" si="6"/>
        <v>0</v>
      </c>
      <c r="K18" s="40">
        <f t="shared" si="6"/>
        <v>0</v>
      </c>
      <c r="L18" s="40">
        <f t="shared" si="6"/>
        <v>0</v>
      </c>
      <c r="M18" s="40">
        <f t="shared" si="6"/>
        <v>0</v>
      </c>
      <c r="N18" s="40">
        <f t="shared" si="6"/>
        <v>0</v>
      </c>
      <c r="O18" s="40">
        <f t="shared" si="6"/>
        <v>0</v>
      </c>
      <c r="P18" s="40">
        <f>SUM(P19:P19)+346864.57</f>
        <v>346864.57</v>
      </c>
      <c r="Q18" s="40">
        <f>SUM(Q19:Q19)+346864.57</f>
        <v>346864.57</v>
      </c>
      <c r="R18" s="40">
        <f t="shared" ref="R18:Y18" si="7">SUM(R19:R19)</f>
        <v>0</v>
      </c>
      <c r="S18" s="40">
        <f t="shared" si="7"/>
        <v>0</v>
      </c>
      <c r="T18" s="40">
        <f t="shared" si="7"/>
        <v>0</v>
      </c>
      <c r="U18" s="40">
        <f t="shared" si="7"/>
        <v>0</v>
      </c>
      <c r="V18" s="40">
        <f t="shared" si="7"/>
        <v>0</v>
      </c>
      <c r="W18" s="40">
        <f t="shared" si="7"/>
        <v>0</v>
      </c>
      <c r="X18" s="40">
        <f t="shared" si="7"/>
        <v>0</v>
      </c>
      <c r="Y18" s="40">
        <f t="shared" si="7"/>
        <v>0</v>
      </c>
      <c r="Z18" s="39" t="s">
        <v>71</v>
      </c>
      <c r="AA18" s="41" t="s">
        <v>41</v>
      </c>
      <c r="AB18" s="42" t="s">
        <v>72</v>
      </c>
      <c r="AC18" s="42" t="s">
        <v>73</v>
      </c>
      <c r="AD18" s="43" t="s">
        <v>74</v>
      </c>
    </row>
    <row r="19" spans="1:30" ht="46.5" x14ac:dyDescent="0.25">
      <c r="A19" s="37" t="s">
        <v>75</v>
      </c>
      <c r="B19" s="38" t="s">
        <v>76</v>
      </c>
      <c r="C19" s="39"/>
      <c r="D19" s="39"/>
      <c r="E19" s="39"/>
      <c r="F19" s="44">
        <v>0</v>
      </c>
      <c r="G19" s="44">
        <v>0</v>
      </c>
      <c r="H19" s="44">
        <v>0</v>
      </c>
      <c r="I19" s="44">
        <v>0</v>
      </c>
      <c r="J19" s="44">
        <v>0</v>
      </c>
      <c r="K19" s="44">
        <v>0</v>
      </c>
      <c r="L19" s="44">
        <v>0</v>
      </c>
      <c r="M19" s="44">
        <v>0</v>
      </c>
      <c r="N19" s="44">
        <v>0</v>
      </c>
      <c r="O19" s="44">
        <v>0</v>
      </c>
      <c r="P19" s="44">
        <v>0</v>
      </c>
      <c r="Q19" s="44">
        <v>0</v>
      </c>
      <c r="R19" s="44">
        <v>0</v>
      </c>
      <c r="S19" s="44">
        <v>0</v>
      </c>
      <c r="T19" s="44">
        <v>0</v>
      </c>
      <c r="U19" s="44">
        <v>0</v>
      </c>
      <c r="V19" s="44">
        <v>0</v>
      </c>
      <c r="W19" s="44">
        <v>0</v>
      </c>
      <c r="X19" s="44">
        <v>0</v>
      </c>
      <c r="Y19" s="44">
        <v>0</v>
      </c>
      <c r="Z19" s="39"/>
      <c r="AA19" s="41"/>
      <c r="AB19" s="42"/>
      <c r="AC19" s="42"/>
      <c r="AD19" s="43"/>
    </row>
    <row r="20" spans="1:30" ht="93" x14ac:dyDescent="0.25">
      <c r="A20" s="37" t="s">
        <v>77</v>
      </c>
      <c r="B20" s="38" t="s">
        <v>78</v>
      </c>
      <c r="C20" s="39" t="s">
        <v>29</v>
      </c>
      <c r="D20" s="39" t="s">
        <v>33</v>
      </c>
      <c r="E20" s="39" t="s">
        <v>46</v>
      </c>
      <c r="F20" s="40">
        <f>SUM(F21:F23)+16867.38</f>
        <v>16867.38</v>
      </c>
      <c r="G20" s="40">
        <f>SUM(G21:G23)+16867.38</f>
        <v>16867.38</v>
      </c>
      <c r="H20" s="40">
        <f t="shared" ref="H20:O20" si="8">SUM(H21:H23)</f>
        <v>0</v>
      </c>
      <c r="I20" s="40">
        <f t="shared" si="8"/>
        <v>0</v>
      </c>
      <c r="J20" s="40">
        <f t="shared" si="8"/>
        <v>0</v>
      </c>
      <c r="K20" s="40">
        <f t="shared" si="8"/>
        <v>0</v>
      </c>
      <c r="L20" s="40">
        <f t="shared" si="8"/>
        <v>0</v>
      </c>
      <c r="M20" s="40">
        <f t="shared" si="8"/>
        <v>0</v>
      </c>
      <c r="N20" s="40">
        <f t="shared" si="8"/>
        <v>0</v>
      </c>
      <c r="O20" s="40">
        <f t="shared" si="8"/>
        <v>0</v>
      </c>
      <c r="P20" s="40">
        <f>SUM(P21:P23)+16865.79</f>
        <v>16865.79</v>
      </c>
      <c r="Q20" s="40">
        <f>SUM(Q21:Q23)+16865.79</f>
        <v>16865.79</v>
      </c>
      <c r="R20" s="40">
        <f t="shared" ref="R20:Y20" si="9">SUM(R21:R23)</f>
        <v>0</v>
      </c>
      <c r="S20" s="40">
        <f t="shared" si="9"/>
        <v>0</v>
      </c>
      <c r="T20" s="40">
        <f t="shared" si="9"/>
        <v>0</v>
      </c>
      <c r="U20" s="40">
        <f t="shared" si="9"/>
        <v>0</v>
      </c>
      <c r="V20" s="40">
        <f t="shared" si="9"/>
        <v>0</v>
      </c>
      <c r="W20" s="40">
        <f t="shared" si="9"/>
        <v>0</v>
      </c>
      <c r="X20" s="40">
        <f t="shared" si="9"/>
        <v>0</v>
      </c>
      <c r="Y20" s="40">
        <f t="shared" si="9"/>
        <v>0</v>
      </c>
      <c r="Z20" s="39" t="s">
        <v>79</v>
      </c>
      <c r="AA20" s="41" t="s">
        <v>41</v>
      </c>
      <c r="AB20" s="42" t="s">
        <v>80</v>
      </c>
      <c r="AC20" s="42" t="s">
        <v>80</v>
      </c>
      <c r="AD20" s="43"/>
    </row>
    <row r="21" spans="1:30" x14ac:dyDescent="0.25">
      <c r="A21" s="45"/>
      <c r="B21" s="46"/>
      <c r="C21" s="47"/>
      <c r="D21" s="47"/>
      <c r="E21" s="47"/>
      <c r="F21" s="48">
        <v>0</v>
      </c>
      <c r="G21" s="48">
        <v>0</v>
      </c>
      <c r="H21" s="48">
        <v>0</v>
      </c>
      <c r="I21" s="48">
        <v>0</v>
      </c>
      <c r="J21" s="48">
        <v>0</v>
      </c>
      <c r="K21" s="48">
        <v>0</v>
      </c>
      <c r="L21" s="48">
        <v>0</v>
      </c>
      <c r="M21" s="48">
        <v>0</v>
      </c>
      <c r="N21" s="48">
        <v>0</v>
      </c>
      <c r="O21" s="48">
        <v>0</v>
      </c>
      <c r="P21" s="48">
        <v>0</v>
      </c>
      <c r="Q21" s="48">
        <v>0</v>
      </c>
      <c r="R21" s="48">
        <v>0</v>
      </c>
      <c r="S21" s="48">
        <v>0</v>
      </c>
      <c r="T21" s="48">
        <v>0</v>
      </c>
      <c r="U21" s="48">
        <v>0</v>
      </c>
      <c r="V21" s="48">
        <v>0</v>
      </c>
      <c r="W21" s="48">
        <v>0</v>
      </c>
      <c r="X21" s="48">
        <v>0</v>
      </c>
      <c r="Y21" s="48">
        <v>0</v>
      </c>
      <c r="Z21" s="47" t="s">
        <v>81</v>
      </c>
      <c r="AA21" s="49" t="s">
        <v>41</v>
      </c>
      <c r="AB21" s="50" t="s">
        <v>82</v>
      </c>
      <c r="AC21" s="50" t="s">
        <v>83</v>
      </c>
      <c r="AD21" s="51"/>
    </row>
    <row r="22" spans="1:30" ht="93" x14ac:dyDescent="0.25">
      <c r="A22" s="45"/>
      <c r="B22" s="46"/>
      <c r="C22" s="47"/>
      <c r="D22" s="47"/>
      <c r="E22" s="47"/>
      <c r="F22" s="48">
        <v>0</v>
      </c>
      <c r="G22" s="48">
        <v>0</v>
      </c>
      <c r="H22" s="48">
        <v>0</v>
      </c>
      <c r="I22" s="48">
        <v>0</v>
      </c>
      <c r="J22" s="48">
        <v>0</v>
      </c>
      <c r="K22" s="48">
        <v>0</v>
      </c>
      <c r="L22" s="48">
        <v>0</v>
      </c>
      <c r="M22" s="48">
        <v>0</v>
      </c>
      <c r="N22" s="48">
        <v>0</v>
      </c>
      <c r="O22" s="48">
        <v>0</v>
      </c>
      <c r="P22" s="48">
        <v>0</v>
      </c>
      <c r="Q22" s="48">
        <v>0</v>
      </c>
      <c r="R22" s="48">
        <v>0</v>
      </c>
      <c r="S22" s="48">
        <v>0</v>
      </c>
      <c r="T22" s="48">
        <v>0</v>
      </c>
      <c r="U22" s="48">
        <v>0</v>
      </c>
      <c r="V22" s="48">
        <v>0</v>
      </c>
      <c r="W22" s="48">
        <v>0</v>
      </c>
      <c r="X22" s="48">
        <v>0</v>
      </c>
      <c r="Y22" s="48">
        <v>0</v>
      </c>
      <c r="Z22" s="47" t="s">
        <v>84</v>
      </c>
      <c r="AA22" s="49" t="s">
        <v>41</v>
      </c>
      <c r="AB22" s="50" t="s">
        <v>85</v>
      </c>
      <c r="AC22" s="50" t="s">
        <v>83</v>
      </c>
      <c r="AD22" s="51" t="s">
        <v>86</v>
      </c>
    </row>
    <row r="23" spans="1:30" ht="93" x14ac:dyDescent="0.25">
      <c r="A23" s="37" t="s">
        <v>87</v>
      </c>
      <c r="B23" s="38" t="s">
        <v>88</v>
      </c>
      <c r="C23" s="39"/>
      <c r="D23" s="39"/>
      <c r="E23" s="39"/>
      <c r="F23" s="44">
        <v>0</v>
      </c>
      <c r="G23" s="44">
        <v>0</v>
      </c>
      <c r="H23" s="44">
        <v>0</v>
      </c>
      <c r="I23" s="44">
        <v>0</v>
      </c>
      <c r="J23" s="44">
        <v>0</v>
      </c>
      <c r="K23" s="44">
        <v>0</v>
      </c>
      <c r="L23" s="44">
        <v>0</v>
      </c>
      <c r="M23" s="44">
        <v>0</v>
      </c>
      <c r="N23" s="44">
        <v>0</v>
      </c>
      <c r="O23" s="44">
        <v>0</v>
      </c>
      <c r="P23" s="44">
        <v>0</v>
      </c>
      <c r="Q23" s="44">
        <v>0</v>
      </c>
      <c r="R23" s="44">
        <v>0</v>
      </c>
      <c r="S23" s="44">
        <v>0</v>
      </c>
      <c r="T23" s="44">
        <v>0</v>
      </c>
      <c r="U23" s="44">
        <v>0</v>
      </c>
      <c r="V23" s="44">
        <v>0</v>
      </c>
      <c r="W23" s="44">
        <v>0</v>
      </c>
      <c r="X23" s="44">
        <v>0</v>
      </c>
      <c r="Y23" s="44">
        <v>0</v>
      </c>
      <c r="Z23" s="39"/>
      <c r="AA23" s="41"/>
      <c r="AB23" s="42"/>
      <c r="AC23" s="42"/>
      <c r="AD23" s="43"/>
    </row>
    <row r="24" spans="1:30" ht="69.75" x14ac:dyDescent="0.25">
      <c r="A24" s="37" t="s">
        <v>89</v>
      </c>
      <c r="B24" s="38" t="s">
        <v>90</v>
      </c>
      <c r="C24" s="39" t="s">
        <v>29</v>
      </c>
      <c r="D24" s="39" t="s">
        <v>91</v>
      </c>
      <c r="E24" s="39" t="s">
        <v>46</v>
      </c>
      <c r="F24" s="40">
        <f>SUM(F25:F26)+305</f>
        <v>305</v>
      </c>
      <c r="G24" s="40">
        <f>SUM(G25:G26)+305</f>
        <v>305</v>
      </c>
      <c r="H24" s="40">
        <f t="shared" ref="H24:O24" si="10">SUM(H25:H26)</f>
        <v>0</v>
      </c>
      <c r="I24" s="40">
        <f t="shared" si="10"/>
        <v>0</v>
      </c>
      <c r="J24" s="40">
        <f t="shared" si="10"/>
        <v>0</v>
      </c>
      <c r="K24" s="40">
        <f t="shared" si="10"/>
        <v>0</v>
      </c>
      <c r="L24" s="40">
        <f t="shared" si="10"/>
        <v>0</v>
      </c>
      <c r="M24" s="40">
        <f t="shared" si="10"/>
        <v>0</v>
      </c>
      <c r="N24" s="40">
        <f t="shared" si="10"/>
        <v>0</v>
      </c>
      <c r="O24" s="40">
        <f t="shared" si="10"/>
        <v>0</v>
      </c>
      <c r="P24" s="40">
        <f>SUM(P25:P26)+304.2</f>
        <v>304.2</v>
      </c>
      <c r="Q24" s="40">
        <f>SUM(Q25:Q26)+304.2</f>
        <v>304.2</v>
      </c>
      <c r="R24" s="40">
        <f t="shared" ref="R24:Y24" si="11">SUM(R25:R26)</f>
        <v>0</v>
      </c>
      <c r="S24" s="40">
        <f t="shared" si="11"/>
        <v>0</v>
      </c>
      <c r="T24" s="40">
        <f t="shared" si="11"/>
        <v>0</v>
      </c>
      <c r="U24" s="40">
        <f t="shared" si="11"/>
        <v>0</v>
      </c>
      <c r="V24" s="40">
        <f t="shared" si="11"/>
        <v>0</v>
      </c>
      <c r="W24" s="40">
        <f t="shared" si="11"/>
        <v>0</v>
      </c>
      <c r="X24" s="40">
        <f t="shared" si="11"/>
        <v>0</v>
      </c>
      <c r="Y24" s="40">
        <f t="shared" si="11"/>
        <v>0</v>
      </c>
      <c r="Z24" s="39" t="s">
        <v>92</v>
      </c>
      <c r="AA24" s="41" t="s">
        <v>41</v>
      </c>
      <c r="AB24" s="42" t="s">
        <v>93</v>
      </c>
      <c r="AC24" s="42" t="s">
        <v>94</v>
      </c>
      <c r="AD24" s="43"/>
    </row>
    <row r="25" spans="1:30" ht="46.5" x14ac:dyDescent="0.25">
      <c r="A25" s="37" t="s">
        <v>95</v>
      </c>
      <c r="B25" s="38" t="s">
        <v>96</v>
      </c>
      <c r="C25" s="39"/>
      <c r="D25" s="39"/>
      <c r="E25" s="39"/>
      <c r="F25" s="44">
        <v>0</v>
      </c>
      <c r="G25" s="44">
        <v>0</v>
      </c>
      <c r="H25" s="44">
        <v>0</v>
      </c>
      <c r="I25" s="44">
        <v>0</v>
      </c>
      <c r="J25" s="44">
        <v>0</v>
      </c>
      <c r="K25" s="44">
        <v>0</v>
      </c>
      <c r="L25" s="44">
        <v>0</v>
      </c>
      <c r="M25" s="44">
        <v>0</v>
      </c>
      <c r="N25" s="44">
        <v>0</v>
      </c>
      <c r="O25" s="44">
        <v>0</v>
      </c>
      <c r="P25" s="44">
        <v>0</v>
      </c>
      <c r="Q25" s="44">
        <v>0</v>
      </c>
      <c r="R25" s="44">
        <v>0</v>
      </c>
      <c r="S25" s="44">
        <v>0</v>
      </c>
      <c r="T25" s="44">
        <v>0</v>
      </c>
      <c r="U25" s="44">
        <v>0</v>
      </c>
      <c r="V25" s="44">
        <v>0</v>
      </c>
      <c r="W25" s="44">
        <v>0</v>
      </c>
      <c r="X25" s="44">
        <v>0</v>
      </c>
      <c r="Y25" s="44">
        <v>0</v>
      </c>
      <c r="Z25" s="39"/>
      <c r="AA25" s="41"/>
      <c r="AB25" s="42"/>
      <c r="AC25" s="42"/>
      <c r="AD25" s="43"/>
    </row>
    <row r="26" spans="1:30" ht="46.5" x14ac:dyDescent="0.25">
      <c r="A26" s="37" t="s">
        <v>97</v>
      </c>
      <c r="B26" s="38" t="s">
        <v>98</v>
      </c>
      <c r="C26" s="39"/>
      <c r="D26" s="39"/>
      <c r="E26" s="39"/>
      <c r="F26" s="44">
        <v>0</v>
      </c>
      <c r="G26" s="44">
        <v>0</v>
      </c>
      <c r="H26" s="44">
        <v>0</v>
      </c>
      <c r="I26" s="44">
        <v>0</v>
      </c>
      <c r="J26" s="44">
        <v>0</v>
      </c>
      <c r="K26" s="44">
        <v>0</v>
      </c>
      <c r="L26" s="44">
        <v>0</v>
      </c>
      <c r="M26" s="44">
        <v>0</v>
      </c>
      <c r="N26" s="44">
        <v>0</v>
      </c>
      <c r="O26" s="44">
        <v>0</v>
      </c>
      <c r="P26" s="44">
        <v>0</v>
      </c>
      <c r="Q26" s="44">
        <v>0</v>
      </c>
      <c r="R26" s="44">
        <v>0</v>
      </c>
      <c r="S26" s="44">
        <v>0</v>
      </c>
      <c r="T26" s="44">
        <v>0</v>
      </c>
      <c r="U26" s="44">
        <v>0</v>
      </c>
      <c r="V26" s="44">
        <v>0</v>
      </c>
      <c r="W26" s="44">
        <v>0</v>
      </c>
      <c r="X26" s="44">
        <v>0</v>
      </c>
      <c r="Y26" s="44">
        <v>0</v>
      </c>
      <c r="Z26" s="39"/>
      <c r="AA26" s="41"/>
      <c r="AB26" s="42"/>
      <c r="AC26" s="42"/>
      <c r="AD26" s="43"/>
    </row>
    <row r="27" spans="1:30" ht="69.75" x14ac:dyDescent="0.25">
      <c r="A27" s="37" t="s">
        <v>99</v>
      </c>
      <c r="B27" s="38" t="s">
        <v>100</v>
      </c>
      <c r="C27" s="39" t="s">
        <v>101</v>
      </c>
      <c r="D27" s="39" t="s">
        <v>45</v>
      </c>
      <c r="E27" s="39" t="s">
        <v>46</v>
      </c>
      <c r="F27" s="40">
        <f>SUM(F28:F30)+162848.66</f>
        <v>162848.66</v>
      </c>
      <c r="G27" s="40">
        <f>SUM(G28:G30)+29000</f>
        <v>29000</v>
      </c>
      <c r="H27" s="40">
        <f>SUM(H28:H30)</f>
        <v>0</v>
      </c>
      <c r="I27" s="40">
        <f>SUM(I28:I30)</f>
        <v>0</v>
      </c>
      <c r="J27" s="40">
        <f>SUM(J28:J30)</f>
        <v>0</v>
      </c>
      <c r="K27" s="40">
        <f>SUM(K28:K30)</f>
        <v>0</v>
      </c>
      <c r="L27" s="40">
        <f>SUM(L28:L30)+48.66</f>
        <v>48.66</v>
      </c>
      <c r="M27" s="40">
        <f>SUM(M28:M30)+133800</f>
        <v>133800</v>
      </c>
      <c r="N27" s="40">
        <f>SUM(N28:N30)</f>
        <v>0</v>
      </c>
      <c r="O27" s="40">
        <f>SUM(O28:O30)</f>
        <v>0</v>
      </c>
      <c r="P27" s="40">
        <f>SUM(P28:P30)+154212.23</f>
        <v>154212.23000000001</v>
      </c>
      <c r="Q27" s="40">
        <f>SUM(Q28:Q30)+29000</f>
        <v>29000</v>
      </c>
      <c r="R27" s="40">
        <f>SUM(R28:R30)</f>
        <v>0</v>
      </c>
      <c r="S27" s="40">
        <f>SUM(S28:S30)</f>
        <v>0</v>
      </c>
      <c r="T27" s="40">
        <f>SUM(T28:T30)</f>
        <v>0</v>
      </c>
      <c r="U27" s="40">
        <f>SUM(U28:U30)</f>
        <v>0</v>
      </c>
      <c r="V27" s="40">
        <f>SUM(V28:V30)</f>
        <v>0</v>
      </c>
      <c r="W27" s="40">
        <f>SUM(W28:W30)+125212.23</f>
        <v>125212.23</v>
      </c>
      <c r="X27" s="40">
        <f>SUM(X28:X30)</f>
        <v>0</v>
      </c>
      <c r="Y27" s="40">
        <f>SUM(Y28:Y30)</f>
        <v>0</v>
      </c>
      <c r="Z27" s="39" t="s">
        <v>102</v>
      </c>
      <c r="AA27" s="41" t="s">
        <v>41</v>
      </c>
      <c r="AB27" s="42" t="s">
        <v>103</v>
      </c>
      <c r="AC27" s="42" t="s">
        <v>104</v>
      </c>
      <c r="AD27" s="43" t="s">
        <v>105</v>
      </c>
    </row>
    <row r="28" spans="1:30" ht="46.5" x14ac:dyDescent="0.25">
      <c r="A28" s="45"/>
      <c r="B28" s="46"/>
      <c r="C28" s="47"/>
      <c r="D28" s="47"/>
      <c r="E28" s="47"/>
      <c r="F28" s="48">
        <v>0</v>
      </c>
      <c r="G28" s="48">
        <v>0</v>
      </c>
      <c r="H28" s="48">
        <v>0</v>
      </c>
      <c r="I28" s="48">
        <v>0</v>
      </c>
      <c r="J28" s="48">
        <v>0</v>
      </c>
      <c r="K28" s="48">
        <v>0</v>
      </c>
      <c r="L28" s="48">
        <v>0</v>
      </c>
      <c r="M28" s="48">
        <v>0</v>
      </c>
      <c r="N28" s="48">
        <v>0</v>
      </c>
      <c r="O28" s="48">
        <v>0</v>
      </c>
      <c r="P28" s="48">
        <v>0</v>
      </c>
      <c r="Q28" s="48">
        <v>0</v>
      </c>
      <c r="R28" s="48">
        <v>0</v>
      </c>
      <c r="S28" s="48">
        <v>0</v>
      </c>
      <c r="T28" s="48">
        <v>0</v>
      </c>
      <c r="U28" s="48">
        <v>0</v>
      </c>
      <c r="V28" s="48">
        <v>0</v>
      </c>
      <c r="W28" s="48">
        <v>0</v>
      </c>
      <c r="X28" s="48">
        <v>0</v>
      </c>
      <c r="Y28" s="48">
        <v>0</v>
      </c>
      <c r="Z28" s="47" t="s">
        <v>106</v>
      </c>
      <c r="AA28" s="49" t="s">
        <v>41</v>
      </c>
      <c r="AB28" s="50" t="s">
        <v>107</v>
      </c>
      <c r="AC28" s="50" t="s">
        <v>108</v>
      </c>
      <c r="AD28" s="51" t="s">
        <v>109</v>
      </c>
    </row>
    <row r="29" spans="1:30" ht="46.5" x14ac:dyDescent="0.25">
      <c r="A29" s="37" t="s">
        <v>110</v>
      </c>
      <c r="B29" s="38" t="s">
        <v>111</v>
      </c>
      <c r="C29" s="39"/>
      <c r="D29" s="39"/>
      <c r="E29" s="39"/>
      <c r="F29" s="44">
        <v>0</v>
      </c>
      <c r="G29" s="44">
        <v>0</v>
      </c>
      <c r="H29" s="44">
        <v>0</v>
      </c>
      <c r="I29" s="44">
        <v>0</v>
      </c>
      <c r="J29" s="44">
        <v>0</v>
      </c>
      <c r="K29" s="44">
        <v>0</v>
      </c>
      <c r="L29" s="44">
        <v>0</v>
      </c>
      <c r="M29" s="44">
        <v>0</v>
      </c>
      <c r="N29" s="44">
        <v>0</v>
      </c>
      <c r="O29" s="44">
        <v>0</v>
      </c>
      <c r="P29" s="44">
        <v>0</v>
      </c>
      <c r="Q29" s="44">
        <v>0</v>
      </c>
      <c r="R29" s="44">
        <v>0</v>
      </c>
      <c r="S29" s="44">
        <v>0</v>
      </c>
      <c r="T29" s="44">
        <v>0</v>
      </c>
      <c r="U29" s="44">
        <v>0</v>
      </c>
      <c r="V29" s="44">
        <v>0</v>
      </c>
      <c r="W29" s="44">
        <v>0</v>
      </c>
      <c r="X29" s="44">
        <v>0</v>
      </c>
      <c r="Y29" s="44">
        <v>0</v>
      </c>
      <c r="Z29" s="39"/>
      <c r="AA29" s="41"/>
      <c r="AB29" s="42"/>
      <c r="AC29" s="42"/>
      <c r="AD29" s="43"/>
    </row>
    <row r="30" spans="1:30" ht="46.5" x14ac:dyDescent="0.25">
      <c r="A30" s="37" t="s">
        <v>112</v>
      </c>
      <c r="B30" s="38" t="s">
        <v>113</v>
      </c>
      <c r="C30" s="39"/>
      <c r="D30" s="39"/>
      <c r="E30" s="39"/>
      <c r="F30" s="44">
        <v>0</v>
      </c>
      <c r="G30" s="44">
        <v>0</v>
      </c>
      <c r="H30" s="44">
        <v>0</v>
      </c>
      <c r="I30" s="44">
        <v>0</v>
      </c>
      <c r="J30" s="44">
        <v>0</v>
      </c>
      <c r="K30" s="44">
        <v>0</v>
      </c>
      <c r="L30" s="44">
        <v>0</v>
      </c>
      <c r="M30" s="44">
        <v>0</v>
      </c>
      <c r="N30" s="44">
        <v>0</v>
      </c>
      <c r="O30" s="44">
        <v>0</v>
      </c>
      <c r="P30" s="44">
        <v>0</v>
      </c>
      <c r="Q30" s="44">
        <v>0</v>
      </c>
      <c r="R30" s="44">
        <v>0</v>
      </c>
      <c r="S30" s="44">
        <v>0</v>
      </c>
      <c r="T30" s="44">
        <v>0</v>
      </c>
      <c r="U30" s="44">
        <v>0</v>
      </c>
      <c r="V30" s="44">
        <v>0</v>
      </c>
      <c r="W30" s="44">
        <v>0</v>
      </c>
      <c r="X30" s="44">
        <v>0</v>
      </c>
      <c r="Y30" s="44">
        <v>0</v>
      </c>
      <c r="Z30" s="39"/>
      <c r="AA30" s="41"/>
      <c r="AB30" s="42"/>
      <c r="AC30" s="42"/>
      <c r="AD30" s="43"/>
    </row>
    <row r="31" spans="1:30" ht="46.5" x14ac:dyDescent="0.25">
      <c r="A31" s="37" t="s">
        <v>114</v>
      </c>
      <c r="B31" s="38" t="s">
        <v>115</v>
      </c>
      <c r="C31" s="39" t="s">
        <v>29</v>
      </c>
      <c r="D31" s="39" t="s">
        <v>45</v>
      </c>
      <c r="E31" s="39" t="s">
        <v>46</v>
      </c>
      <c r="F31" s="40">
        <f>SUM(F32:F33)+56200.04</f>
        <v>56200.04</v>
      </c>
      <c r="G31" s="40">
        <f>SUM(G32:G33)</f>
        <v>0</v>
      </c>
      <c r="H31" s="40">
        <f>SUM(H32:H33)</f>
        <v>0</v>
      </c>
      <c r="I31" s="40">
        <f>SUM(I32:I33)</f>
        <v>0</v>
      </c>
      <c r="J31" s="40">
        <f>SUM(J32:J33)</f>
        <v>0</v>
      </c>
      <c r="K31" s="40">
        <f>SUM(K32:K33)</f>
        <v>0</v>
      </c>
      <c r="L31" s="40">
        <f>SUM(L32:L33)+56200.04</f>
        <v>56200.04</v>
      </c>
      <c r="M31" s="40">
        <f>SUM(M32:M33)</f>
        <v>0</v>
      </c>
      <c r="N31" s="40">
        <f>SUM(N32:N33)</f>
        <v>0</v>
      </c>
      <c r="O31" s="40">
        <f>SUM(O32:O33)</f>
        <v>0</v>
      </c>
      <c r="P31" s="40">
        <f>SUM(P32:P33)+56200.04</f>
        <v>56200.04</v>
      </c>
      <c r="Q31" s="40">
        <f>SUM(Q32:Q33)</f>
        <v>0</v>
      </c>
      <c r="R31" s="40">
        <f>SUM(R32:R33)</f>
        <v>0</v>
      </c>
      <c r="S31" s="40">
        <f>SUM(S32:S33)</f>
        <v>0</v>
      </c>
      <c r="T31" s="40">
        <f>SUM(T32:T33)</f>
        <v>0</v>
      </c>
      <c r="U31" s="40">
        <f>SUM(U32:U33)</f>
        <v>0</v>
      </c>
      <c r="V31" s="40">
        <f>SUM(V32:V33)+9956.8</f>
        <v>9956.7999999999993</v>
      </c>
      <c r="W31" s="40">
        <f>SUM(W32:W33)</f>
        <v>0</v>
      </c>
      <c r="X31" s="40">
        <f>SUM(X32:X33)</f>
        <v>0</v>
      </c>
      <c r="Y31" s="40">
        <f>SUM(Y32:Y33)</f>
        <v>0</v>
      </c>
      <c r="Z31" s="39" t="s">
        <v>116</v>
      </c>
      <c r="AA31" s="41" t="s">
        <v>41</v>
      </c>
      <c r="AB31" s="42" t="s">
        <v>56</v>
      </c>
      <c r="AC31" s="42" t="s">
        <v>56</v>
      </c>
      <c r="AD31" s="43"/>
    </row>
    <row r="32" spans="1:30" ht="46.5" x14ac:dyDescent="0.25">
      <c r="A32" s="37" t="s">
        <v>117</v>
      </c>
      <c r="B32" s="38" t="s">
        <v>118</v>
      </c>
      <c r="C32" s="39"/>
      <c r="D32" s="39"/>
      <c r="E32" s="39"/>
      <c r="F32" s="44">
        <v>0</v>
      </c>
      <c r="G32" s="44">
        <v>0</v>
      </c>
      <c r="H32" s="44">
        <v>0</v>
      </c>
      <c r="I32" s="44">
        <v>0</v>
      </c>
      <c r="J32" s="44">
        <v>0</v>
      </c>
      <c r="K32" s="44">
        <v>0</v>
      </c>
      <c r="L32" s="44">
        <v>0</v>
      </c>
      <c r="M32" s="44">
        <v>0</v>
      </c>
      <c r="N32" s="44">
        <v>0</v>
      </c>
      <c r="O32" s="44">
        <v>0</v>
      </c>
      <c r="P32" s="44">
        <v>0</v>
      </c>
      <c r="Q32" s="44">
        <v>0</v>
      </c>
      <c r="R32" s="44">
        <v>0</v>
      </c>
      <c r="S32" s="44">
        <v>0</v>
      </c>
      <c r="T32" s="44">
        <v>0</v>
      </c>
      <c r="U32" s="44">
        <v>0</v>
      </c>
      <c r="V32" s="44">
        <v>0</v>
      </c>
      <c r="W32" s="44">
        <v>0</v>
      </c>
      <c r="X32" s="44">
        <v>0</v>
      </c>
      <c r="Y32" s="44">
        <v>0</v>
      </c>
      <c r="Z32" s="39"/>
      <c r="AA32" s="41"/>
      <c r="AB32" s="42"/>
      <c r="AC32" s="42"/>
      <c r="AD32" s="43"/>
    </row>
    <row r="33" spans="1:30" x14ac:dyDescent="0.25">
      <c r="A33" s="37" t="s">
        <v>119</v>
      </c>
      <c r="B33" s="38" t="s">
        <v>120</v>
      </c>
      <c r="C33" s="39"/>
      <c r="D33" s="39"/>
      <c r="E33" s="39"/>
      <c r="F33" s="44">
        <v>0</v>
      </c>
      <c r="G33" s="44">
        <v>0</v>
      </c>
      <c r="H33" s="44">
        <v>0</v>
      </c>
      <c r="I33" s="44">
        <v>0</v>
      </c>
      <c r="J33" s="44">
        <v>0</v>
      </c>
      <c r="K33" s="44">
        <v>0</v>
      </c>
      <c r="L33" s="44">
        <v>0</v>
      </c>
      <c r="M33" s="44">
        <v>0</v>
      </c>
      <c r="N33" s="44">
        <v>0</v>
      </c>
      <c r="O33" s="44">
        <v>0</v>
      </c>
      <c r="P33" s="44">
        <v>0</v>
      </c>
      <c r="Q33" s="44">
        <v>0</v>
      </c>
      <c r="R33" s="44">
        <v>0</v>
      </c>
      <c r="S33" s="44">
        <v>0</v>
      </c>
      <c r="T33" s="44">
        <v>0</v>
      </c>
      <c r="U33" s="44">
        <v>0</v>
      </c>
      <c r="V33" s="44">
        <v>0</v>
      </c>
      <c r="W33" s="44">
        <v>0</v>
      </c>
      <c r="X33" s="44">
        <v>0</v>
      </c>
      <c r="Y33" s="44">
        <v>0</v>
      </c>
      <c r="Z33" s="39"/>
      <c r="AA33" s="41"/>
      <c r="AB33" s="42"/>
      <c r="AC33" s="42"/>
      <c r="AD33" s="43"/>
    </row>
    <row r="34" spans="1:30" ht="46.5" x14ac:dyDescent="0.25">
      <c r="A34" s="37" t="s">
        <v>121</v>
      </c>
      <c r="B34" s="38" t="s">
        <v>122</v>
      </c>
      <c r="C34" s="39" t="s">
        <v>29</v>
      </c>
      <c r="D34" s="39" t="s">
        <v>45</v>
      </c>
      <c r="E34" s="39" t="s">
        <v>46</v>
      </c>
      <c r="F34" s="40">
        <f t="shared" ref="F34:Y34" si="12">SUM(F35:F35)</f>
        <v>0</v>
      </c>
      <c r="G34" s="40">
        <f t="shared" si="12"/>
        <v>0</v>
      </c>
      <c r="H34" s="40">
        <f t="shared" si="12"/>
        <v>0</v>
      </c>
      <c r="I34" s="40">
        <f t="shared" si="12"/>
        <v>0</v>
      </c>
      <c r="J34" s="40">
        <f t="shared" si="12"/>
        <v>0</v>
      </c>
      <c r="K34" s="40">
        <f t="shared" si="12"/>
        <v>0</v>
      </c>
      <c r="L34" s="40">
        <f t="shared" si="12"/>
        <v>0</v>
      </c>
      <c r="M34" s="40">
        <f t="shared" si="12"/>
        <v>0</v>
      </c>
      <c r="N34" s="40">
        <f t="shared" si="12"/>
        <v>0</v>
      </c>
      <c r="O34" s="40">
        <f t="shared" si="12"/>
        <v>0</v>
      </c>
      <c r="P34" s="40">
        <f t="shared" si="12"/>
        <v>0</v>
      </c>
      <c r="Q34" s="40">
        <f t="shared" si="12"/>
        <v>0</v>
      </c>
      <c r="R34" s="40">
        <f t="shared" si="12"/>
        <v>0</v>
      </c>
      <c r="S34" s="40">
        <f t="shared" si="12"/>
        <v>0</v>
      </c>
      <c r="T34" s="40">
        <f t="shared" si="12"/>
        <v>0</v>
      </c>
      <c r="U34" s="40">
        <f t="shared" si="12"/>
        <v>0</v>
      </c>
      <c r="V34" s="40">
        <f t="shared" si="12"/>
        <v>0</v>
      </c>
      <c r="W34" s="40">
        <f t="shared" si="12"/>
        <v>0</v>
      </c>
      <c r="X34" s="40">
        <f t="shared" si="12"/>
        <v>0</v>
      </c>
      <c r="Y34" s="40">
        <f t="shared" si="12"/>
        <v>0</v>
      </c>
      <c r="Z34" s="39" t="s">
        <v>123</v>
      </c>
      <c r="AA34" s="41" t="s">
        <v>41</v>
      </c>
      <c r="AB34" s="42" t="s">
        <v>124</v>
      </c>
      <c r="AC34" s="42" t="s">
        <v>57</v>
      </c>
      <c r="AD34" s="43" t="s">
        <v>125</v>
      </c>
    </row>
    <row r="35" spans="1:30" ht="46.5" x14ac:dyDescent="0.25">
      <c r="A35" s="37" t="s">
        <v>126</v>
      </c>
      <c r="B35" s="38" t="s">
        <v>127</v>
      </c>
      <c r="C35" s="39"/>
      <c r="D35" s="39"/>
      <c r="E35" s="39"/>
      <c r="F35" s="44">
        <v>0</v>
      </c>
      <c r="G35" s="44">
        <v>0</v>
      </c>
      <c r="H35" s="44">
        <v>0</v>
      </c>
      <c r="I35" s="44">
        <v>0</v>
      </c>
      <c r="J35" s="44">
        <v>0</v>
      </c>
      <c r="K35" s="44">
        <v>0</v>
      </c>
      <c r="L35" s="44">
        <v>0</v>
      </c>
      <c r="M35" s="44">
        <v>0</v>
      </c>
      <c r="N35" s="44">
        <v>0</v>
      </c>
      <c r="O35" s="44">
        <v>0</v>
      </c>
      <c r="P35" s="44">
        <v>0</v>
      </c>
      <c r="Q35" s="44">
        <v>0</v>
      </c>
      <c r="R35" s="44">
        <v>0</v>
      </c>
      <c r="S35" s="44">
        <v>0</v>
      </c>
      <c r="T35" s="44">
        <v>0</v>
      </c>
      <c r="U35" s="44">
        <v>0</v>
      </c>
      <c r="V35" s="44">
        <v>0</v>
      </c>
      <c r="W35" s="44">
        <v>0</v>
      </c>
      <c r="X35" s="44">
        <v>0</v>
      </c>
      <c r="Y35" s="44">
        <v>0</v>
      </c>
      <c r="Z35" s="39"/>
      <c r="AA35" s="41"/>
      <c r="AB35" s="42"/>
      <c r="AC35" s="42"/>
      <c r="AD35" s="43"/>
    </row>
    <row r="36" spans="1:30" ht="116.25" x14ac:dyDescent="0.25">
      <c r="A36" s="37" t="s">
        <v>128</v>
      </c>
      <c r="B36" s="38" t="s">
        <v>129</v>
      </c>
      <c r="C36" s="39" t="s">
        <v>29</v>
      </c>
      <c r="D36" s="39" t="s">
        <v>33</v>
      </c>
      <c r="E36" s="39" t="s">
        <v>46</v>
      </c>
      <c r="F36" s="40">
        <f>SUM(F37:F37)+7680</f>
        <v>7680</v>
      </c>
      <c r="G36" s="40">
        <f>SUM(G37:G37)+7680</f>
        <v>7680</v>
      </c>
      <c r="H36" s="40">
        <f t="shared" ref="H36:Y36" si="13">SUM(H37:H37)</f>
        <v>0</v>
      </c>
      <c r="I36" s="40">
        <f t="shared" si="13"/>
        <v>0</v>
      </c>
      <c r="J36" s="40">
        <f t="shared" si="13"/>
        <v>0</v>
      </c>
      <c r="K36" s="40">
        <f t="shared" si="13"/>
        <v>0</v>
      </c>
      <c r="L36" s="40">
        <f t="shared" si="13"/>
        <v>0</v>
      </c>
      <c r="M36" s="40">
        <f t="shared" si="13"/>
        <v>0</v>
      </c>
      <c r="N36" s="40">
        <f t="shared" si="13"/>
        <v>0</v>
      </c>
      <c r="O36" s="40">
        <f t="shared" si="13"/>
        <v>0</v>
      </c>
      <c r="P36" s="40">
        <f t="shared" si="13"/>
        <v>0</v>
      </c>
      <c r="Q36" s="40">
        <f t="shared" si="13"/>
        <v>0</v>
      </c>
      <c r="R36" s="40">
        <f t="shared" si="13"/>
        <v>0</v>
      </c>
      <c r="S36" s="40">
        <f t="shared" si="13"/>
        <v>0</v>
      </c>
      <c r="T36" s="40">
        <f t="shared" si="13"/>
        <v>0</v>
      </c>
      <c r="U36" s="40">
        <f t="shared" si="13"/>
        <v>0</v>
      </c>
      <c r="V36" s="40">
        <f t="shared" si="13"/>
        <v>0</v>
      </c>
      <c r="W36" s="40">
        <f t="shared" si="13"/>
        <v>0</v>
      </c>
      <c r="X36" s="40">
        <f t="shared" si="13"/>
        <v>0</v>
      </c>
      <c r="Y36" s="40">
        <f t="shared" si="13"/>
        <v>0</v>
      </c>
      <c r="Z36" s="39" t="s">
        <v>130</v>
      </c>
      <c r="AA36" s="41" t="s">
        <v>41</v>
      </c>
      <c r="AB36" s="42" t="s">
        <v>56</v>
      </c>
      <c r="AC36" s="42" t="s">
        <v>57</v>
      </c>
      <c r="AD36" s="43" t="s">
        <v>131</v>
      </c>
    </row>
    <row r="37" spans="1:30" ht="46.5" x14ac:dyDescent="0.25">
      <c r="A37" s="37" t="s">
        <v>132</v>
      </c>
      <c r="B37" s="38" t="s">
        <v>133</v>
      </c>
      <c r="C37" s="39"/>
      <c r="D37" s="39"/>
      <c r="E37" s="39"/>
      <c r="F37" s="44">
        <v>0</v>
      </c>
      <c r="G37" s="44">
        <v>0</v>
      </c>
      <c r="H37" s="44">
        <v>0</v>
      </c>
      <c r="I37" s="44">
        <v>0</v>
      </c>
      <c r="J37" s="44">
        <v>0</v>
      </c>
      <c r="K37" s="44">
        <v>0</v>
      </c>
      <c r="L37" s="44">
        <v>0</v>
      </c>
      <c r="M37" s="44">
        <v>0</v>
      </c>
      <c r="N37" s="44">
        <v>0</v>
      </c>
      <c r="O37" s="44">
        <v>0</v>
      </c>
      <c r="P37" s="44">
        <v>0</v>
      </c>
      <c r="Q37" s="44">
        <v>0</v>
      </c>
      <c r="R37" s="44">
        <v>0</v>
      </c>
      <c r="S37" s="44">
        <v>0</v>
      </c>
      <c r="T37" s="44">
        <v>0</v>
      </c>
      <c r="U37" s="44">
        <v>0</v>
      </c>
      <c r="V37" s="44">
        <v>0</v>
      </c>
      <c r="W37" s="44">
        <v>0</v>
      </c>
      <c r="X37" s="44">
        <v>0</v>
      </c>
      <c r="Y37" s="44">
        <v>0</v>
      </c>
      <c r="Z37" s="39"/>
      <c r="AA37" s="41"/>
      <c r="AB37" s="42"/>
      <c r="AC37" s="42"/>
      <c r="AD37" s="43"/>
    </row>
    <row r="38" spans="1:30" ht="46.5" x14ac:dyDescent="0.25">
      <c r="A38" s="37" t="s">
        <v>134</v>
      </c>
      <c r="B38" s="38" t="s">
        <v>135</v>
      </c>
      <c r="C38" s="39" t="s">
        <v>136</v>
      </c>
      <c r="D38" s="39" t="s">
        <v>33</v>
      </c>
      <c r="E38" s="39" t="s">
        <v>46</v>
      </c>
      <c r="F38" s="40">
        <f>SUM(F39:F39)+6029</f>
        <v>6029</v>
      </c>
      <c r="G38" s="40">
        <f>SUM(G39:G39)+6029</f>
        <v>6029</v>
      </c>
      <c r="H38" s="40">
        <f t="shared" ref="H38:O38" si="14">SUM(H39:H39)</f>
        <v>0</v>
      </c>
      <c r="I38" s="40">
        <f t="shared" si="14"/>
        <v>0</v>
      </c>
      <c r="J38" s="40">
        <f t="shared" si="14"/>
        <v>0</v>
      </c>
      <c r="K38" s="40">
        <f t="shared" si="14"/>
        <v>0</v>
      </c>
      <c r="L38" s="40">
        <f t="shared" si="14"/>
        <v>0</v>
      </c>
      <c r="M38" s="40">
        <f t="shared" si="14"/>
        <v>0</v>
      </c>
      <c r="N38" s="40">
        <f t="shared" si="14"/>
        <v>0</v>
      </c>
      <c r="O38" s="40">
        <f t="shared" si="14"/>
        <v>0</v>
      </c>
      <c r="P38" s="40">
        <f>SUM(P39:P39)+6028.99</f>
        <v>6028.99</v>
      </c>
      <c r="Q38" s="40">
        <f>SUM(Q39:Q39)+6028.99</f>
        <v>6028.99</v>
      </c>
      <c r="R38" s="40">
        <f t="shared" ref="R38:Y38" si="15">SUM(R39:R39)</f>
        <v>0</v>
      </c>
      <c r="S38" s="40">
        <f t="shared" si="15"/>
        <v>0</v>
      </c>
      <c r="T38" s="40">
        <f t="shared" si="15"/>
        <v>0</v>
      </c>
      <c r="U38" s="40">
        <f t="shared" si="15"/>
        <v>0</v>
      </c>
      <c r="V38" s="40">
        <f t="shared" si="15"/>
        <v>0</v>
      </c>
      <c r="W38" s="40">
        <f t="shared" si="15"/>
        <v>0</v>
      </c>
      <c r="X38" s="40">
        <f t="shared" si="15"/>
        <v>0</v>
      </c>
      <c r="Y38" s="40">
        <f t="shared" si="15"/>
        <v>0</v>
      </c>
      <c r="Z38" s="39" t="s">
        <v>137</v>
      </c>
      <c r="AA38" s="41" t="s">
        <v>41</v>
      </c>
      <c r="AB38" s="42" t="s">
        <v>138</v>
      </c>
      <c r="AC38" s="42" t="s">
        <v>139</v>
      </c>
      <c r="AD38" s="43"/>
    </row>
    <row r="39" spans="1:30" ht="46.5" x14ac:dyDescent="0.25">
      <c r="A39" s="37" t="s">
        <v>140</v>
      </c>
      <c r="B39" s="38" t="s">
        <v>141</v>
      </c>
      <c r="C39" s="39"/>
      <c r="D39" s="39"/>
      <c r="E39" s="39"/>
      <c r="F39" s="44">
        <v>0</v>
      </c>
      <c r="G39" s="44">
        <v>0</v>
      </c>
      <c r="H39" s="44">
        <v>0</v>
      </c>
      <c r="I39" s="44">
        <v>0</v>
      </c>
      <c r="J39" s="44">
        <v>0</v>
      </c>
      <c r="K39" s="44">
        <v>0</v>
      </c>
      <c r="L39" s="44">
        <v>0</v>
      </c>
      <c r="M39" s="44">
        <v>0</v>
      </c>
      <c r="N39" s="44">
        <v>0</v>
      </c>
      <c r="O39" s="44">
        <v>0</v>
      </c>
      <c r="P39" s="44">
        <v>0</v>
      </c>
      <c r="Q39" s="44">
        <v>0</v>
      </c>
      <c r="R39" s="44">
        <v>0</v>
      </c>
      <c r="S39" s="44">
        <v>0</v>
      </c>
      <c r="T39" s="44">
        <v>0</v>
      </c>
      <c r="U39" s="44">
        <v>0</v>
      </c>
      <c r="V39" s="44">
        <v>0</v>
      </c>
      <c r="W39" s="44">
        <v>0</v>
      </c>
      <c r="X39" s="44">
        <v>0</v>
      </c>
      <c r="Y39" s="44">
        <v>0</v>
      </c>
      <c r="Z39" s="39"/>
      <c r="AA39" s="41"/>
      <c r="AB39" s="42"/>
      <c r="AC39" s="42"/>
      <c r="AD39" s="43"/>
    </row>
    <row r="40" spans="1:30" ht="46.5" x14ac:dyDescent="0.25">
      <c r="A40" s="37" t="s">
        <v>142</v>
      </c>
      <c r="B40" s="38" t="s">
        <v>143</v>
      </c>
      <c r="C40" s="39" t="s">
        <v>144</v>
      </c>
      <c r="D40" s="39" t="s">
        <v>33</v>
      </c>
      <c r="E40" s="39" t="s">
        <v>46</v>
      </c>
      <c r="F40" s="40">
        <f>SUM(F41:F41)+2250</f>
        <v>2250</v>
      </c>
      <c r="G40" s="40">
        <f>SUM(G41:G41)+2250</f>
        <v>2250</v>
      </c>
      <c r="H40" s="40">
        <f t="shared" ref="H40:O40" si="16">SUM(H41:H41)</f>
        <v>0</v>
      </c>
      <c r="I40" s="40">
        <f t="shared" si="16"/>
        <v>0</v>
      </c>
      <c r="J40" s="40">
        <f t="shared" si="16"/>
        <v>0</v>
      </c>
      <c r="K40" s="40">
        <f t="shared" si="16"/>
        <v>0</v>
      </c>
      <c r="L40" s="40">
        <f t="shared" si="16"/>
        <v>0</v>
      </c>
      <c r="M40" s="40">
        <f t="shared" si="16"/>
        <v>0</v>
      </c>
      <c r="N40" s="40">
        <f t="shared" si="16"/>
        <v>0</v>
      </c>
      <c r="O40" s="40">
        <f t="shared" si="16"/>
        <v>0</v>
      </c>
      <c r="P40" s="40">
        <f>SUM(P41:P41)+2248.34</f>
        <v>2248.34</v>
      </c>
      <c r="Q40" s="40">
        <f>SUM(Q41:Q41)+2248.34</f>
        <v>2248.34</v>
      </c>
      <c r="R40" s="40">
        <f t="shared" ref="R40:Y40" si="17">SUM(R41:R41)</f>
        <v>0</v>
      </c>
      <c r="S40" s="40">
        <f t="shared" si="17"/>
        <v>0</v>
      </c>
      <c r="T40" s="40">
        <f t="shared" si="17"/>
        <v>0</v>
      </c>
      <c r="U40" s="40">
        <f t="shared" si="17"/>
        <v>0</v>
      </c>
      <c r="V40" s="40">
        <f t="shared" si="17"/>
        <v>0</v>
      </c>
      <c r="W40" s="40">
        <f t="shared" si="17"/>
        <v>0</v>
      </c>
      <c r="X40" s="40">
        <f t="shared" si="17"/>
        <v>0</v>
      </c>
      <c r="Y40" s="40">
        <f t="shared" si="17"/>
        <v>0</v>
      </c>
      <c r="Z40" s="39" t="s">
        <v>137</v>
      </c>
      <c r="AA40" s="41" t="s">
        <v>41</v>
      </c>
      <c r="AB40" s="42" t="s">
        <v>64</v>
      </c>
      <c r="AC40" s="42" t="s">
        <v>85</v>
      </c>
      <c r="AD40" s="43" t="s">
        <v>145</v>
      </c>
    </row>
    <row r="41" spans="1:30" ht="46.5" x14ac:dyDescent="0.25">
      <c r="A41" s="37" t="s">
        <v>146</v>
      </c>
      <c r="B41" s="38" t="s">
        <v>141</v>
      </c>
      <c r="C41" s="39"/>
      <c r="D41" s="39"/>
      <c r="E41" s="39"/>
      <c r="F41" s="44">
        <v>0</v>
      </c>
      <c r="G41" s="44">
        <v>0</v>
      </c>
      <c r="H41" s="44">
        <v>0</v>
      </c>
      <c r="I41" s="44">
        <v>0</v>
      </c>
      <c r="J41" s="44">
        <v>0</v>
      </c>
      <c r="K41" s="44">
        <v>0</v>
      </c>
      <c r="L41" s="44">
        <v>0</v>
      </c>
      <c r="M41" s="44">
        <v>0</v>
      </c>
      <c r="N41" s="44">
        <v>0</v>
      </c>
      <c r="O41" s="44">
        <v>0</v>
      </c>
      <c r="P41" s="44">
        <v>0</v>
      </c>
      <c r="Q41" s="44">
        <v>0</v>
      </c>
      <c r="R41" s="44">
        <v>0</v>
      </c>
      <c r="S41" s="44">
        <v>0</v>
      </c>
      <c r="T41" s="44">
        <v>0</v>
      </c>
      <c r="U41" s="44">
        <v>0</v>
      </c>
      <c r="V41" s="44">
        <v>0</v>
      </c>
      <c r="W41" s="44">
        <v>0</v>
      </c>
      <c r="X41" s="44">
        <v>0</v>
      </c>
      <c r="Y41" s="44">
        <v>0</v>
      </c>
      <c r="Z41" s="39"/>
      <c r="AA41" s="41"/>
      <c r="AB41" s="42"/>
      <c r="AC41" s="42"/>
      <c r="AD41" s="43"/>
    </row>
    <row r="42" spans="1:30" ht="93" x14ac:dyDescent="0.25">
      <c r="A42" s="37" t="s">
        <v>147</v>
      </c>
      <c r="B42" s="38" t="s">
        <v>148</v>
      </c>
      <c r="C42" s="39" t="s">
        <v>149</v>
      </c>
      <c r="D42" s="39" t="s">
        <v>33</v>
      </c>
      <c r="E42" s="39" t="s">
        <v>46</v>
      </c>
      <c r="F42" s="40">
        <f>SUM(F43:F43)+10930</f>
        <v>10930</v>
      </c>
      <c r="G42" s="40">
        <f>SUM(G43:G43)+10930</f>
        <v>10930</v>
      </c>
      <c r="H42" s="40">
        <f t="shared" ref="H42:O42" si="18">SUM(H43:H43)</f>
        <v>0</v>
      </c>
      <c r="I42" s="40">
        <f t="shared" si="18"/>
        <v>0</v>
      </c>
      <c r="J42" s="40">
        <f t="shared" si="18"/>
        <v>0</v>
      </c>
      <c r="K42" s="40">
        <f t="shared" si="18"/>
        <v>0</v>
      </c>
      <c r="L42" s="40">
        <f t="shared" si="18"/>
        <v>0</v>
      </c>
      <c r="M42" s="40">
        <f t="shared" si="18"/>
        <v>0</v>
      </c>
      <c r="N42" s="40">
        <f t="shared" si="18"/>
        <v>0</v>
      </c>
      <c r="O42" s="40">
        <f t="shared" si="18"/>
        <v>0</v>
      </c>
      <c r="P42" s="40">
        <f>SUM(P43:P43)+10915.05</f>
        <v>10915.05</v>
      </c>
      <c r="Q42" s="40">
        <f>SUM(Q43:Q43)+10915.05</f>
        <v>10915.05</v>
      </c>
      <c r="R42" s="40">
        <f t="shared" ref="R42:Y42" si="19">SUM(R43:R43)</f>
        <v>0</v>
      </c>
      <c r="S42" s="40">
        <f t="shared" si="19"/>
        <v>0</v>
      </c>
      <c r="T42" s="40">
        <f t="shared" si="19"/>
        <v>0</v>
      </c>
      <c r="U42" s="40">
        <f t="shared" si="19"/>
        <v>0</v>
      </c>
      <c r="V42" s="40">
        <f t="shared" si="19"/>
        <v>0</v>
      </c>
      <c r="W42" s="40">
        <f t="shared" si="19"/>
        <v>0</v>
      </c>
      <c r="X42" s="40">
        <f t="shared" si="19"/>
        <v>0</v>
      </c>
      <c r="Y42" s="40">
        <f t="shared" si="19"/>
        <v>0</v>
      </c>
      <c r="Z42" s="39" t="s">
        <v>137</v>
      </c>
      <c r="AA42" s="41" t="s">
        <v>41</v>
      </c>
      <c r="AB42" s="42" t="s">
        <v>150</v>
      </c>
      <c r="AC42" s="42" t="s">
        <v>151</v>
      </c>
      <c r="AD42" s="43" t="s">
        <v>152</v>
      </c>
    </row>
    <row r="43" spans="1:30" ht="46.5" x14ac:dyDescent="0.25">
      <c r="A43" s="37" t="s">
        <v>153</v>
      </c>
      <c r="B43" s="38" t="s">
        <v>141</v>
      </c>
      <c r="C43" s="39"/>
      <c r="D43" s="39"/>
      <c r="E43" s="39"/>
      <c r="F43" s="44">
        <v>0</v>
      </c>
      <c r="G43" s="44">
        <v>0</v>
      </c>
      <c r="H43" s="44">
        <v>0</v>
      </c>
      <c r="I43" s="44">
        <v>0</v>
      </c>
      <c r="J43" s="44">
        <v>0</v>
      </c>
      <c r="K43" s="44">
        <v>0</v>
      </c>
      <c r="L43" s="44">
        <v>0</v>
      </c>
      <c r="M43" s="44">
        <v>0</v>
      </c>
      <c r="N43" s="44">
        <v>0</v>
      </c>
      <c r="O43" s="44">
        <v>0</v>
      </c>
      <c r="P43" s="44">
        <v>0</v>
      </c>
      <c r="Q43" s="44">
        <v>0</v>
      </c>
      <c r="R43" s="44">
        <v>0</v>
      </c>
      <c r="S43" s="44">
        <v>0</v>
      </c>
      <c r="T43" s="44">
        <v>0</v>
      </c>
      <c r="U43" s="44">
        <v>0</v>
      </c>
      <c r="V43" s="44">
        <v>0</v>
      </c>
      <c r="W43" s="44">
        <v>0</v>
      </c>
      <c r="X43" s="44">
        <v>0</v>
      </c>
      <c r="Y43" s="44">
        <v>0</v>
      </c>
      <c r="Z43" s="39"/>
      <c r="AA43" s="41"/>
      <c r="AB43" s="42"/>
      <c r="AC43" s="42"/>
      <c r="AD43" s="43"/>
    </row>
    <row r="44" spans="1:30" ht="46.5" x14ac:dyDescent="0.25">
      <c r="A44" s="37" t="s">
        <v>154</v>
      </c>
      <c r="B44" s="38" t="s">
        <v>155</v>
      </c>
      <c r="C44" s="39" t="s">
        <v>156</v>
      </c>
      <c r="D44" s="39" t="s">
        <v>33</v>
      </c>
      <c r="E44" s="39" t="s">
        <v>46</v>
      </c>
      <c r="F44" s="40">
        <f>SUM(F45:F45)+4900</f>
        <v>4900</v>
      </c>
      <c r="G44" s="40">
        <f>SUM(G45:G45)+4900</f>
        <v>4900</v>
      </c>
      <c r="H44" s="40">
        <f t="shared" ref="H44:O44" si="20">SUM(H45:H45)</f>
        <v>0</v>
      </c>
      <c r="I44" s="40">
        <f t="shared" si="20"/>
        <v>0</v>
      </c>
      <c r="J44" s="40">
        <f t="shared" si="20"/>
        <v>0</v>
      </c>
      <c r="K44" s="40">
        <f t="shared" si="20"/>
        <v>0</v>
      </c>
      <c r="L44" s="40">
        <f t="shared" si="20"/>
        <v>0</v>
      </c>
      <c r="M44" s="40">
        <f t="shared" si="20"/>
        <v>0</v>
      </c>
      <c r="N44" s="40">
        <f t="shared" si="20"/>
        <v>0</v>
      </c>
      <c r="O44" s="40">
        <f t="shared" si="20"/>
        <v>0</v>
      </c>
      <c r="P44" s="40">
        <f>SUM(P45:P45)+4896.39</f>
        <v>4896.3900000000003</v>
      </c>
      <c r="Q44" s="40">
        <f>SUM(Q45:Q45)+4896.39</f>
        <v>4896.3900000000003</v>
      </c>
      <c r="R44" s="40">
        <f t="shared" ref="R44:Y44" si="21">SUM(R45:R45)</f>
        <v>0</v>
      </c>
      <c r="S44" s="40">
        <f t="shared" si="21"/>
        <v>0</v>
      </c>
      <c r="T44" s="40">
        <f t="shared" si="21"/>
        <v>0</v>
      </c>
      <c r="U44" s="40">
        <f t="shared" si="21"/>
        <v>0</v>
      </c>
      <c r="V44" s="40">
        <f t="shared" si="21"/>
        <v>0</v>
      </c>
      <c r="W44" s="40">
        <f t="shared" si="21"/>
        <v>0</v>
      </c>
      <c r="X44" s="40">
        <f t="shared" si="21"/>
        <v>0</v>
      </c>
      <c r="Y44" s="40">
        <f t="shared" si="21"/>
        <v>0</v>
      </c>
      <c r="Z44" s="39" t="s">
        <v>137</v>
      </c>
      <c r="AA44" s="41" t="s">
        <v>41</v>
      </c>
      <c r="AB44" s="42" t="s">
        <v>151</v>
      </c>
      <c r="AC44" s="42" t="s">
        <v>157</v>
      </c>
      <c r="AD44" s="43" t="s">
        <v>145</v>
      </c>
    </row>
    <row r="45" spans="1:30" ht="46.5" x14ac:dyDescent="0.25">
      <c r="A45" s="37" t="s">
        <v>158</v>
      </c>
      <c r="B45" s="38" t="s">
        <v>141</v>
      </c>
      <c r="C45" s="39"/>
      <c r="D45" s="39"/>
      <c r="E45" s="39"/>
      <c r="F45" s="44">
        <v>0</v>
      </c>
      <c r="G45" s="44">
        <v>0</v>
      </c>
      <c r="H45" s="44">
        <v>0</v>
      </c>
      <c r="I45" s="44">
        <v>0</v>
      </c>
      <c r="J45" s="44">
        <v>0</v>
      </c>
      <c r="K45" s="44">
        <v>0</v>
      </c>
      <c r="L45" s="44">
        <v>0</v>
      </c>
      <c r="M45" s="44">
        <v>0</v>
      </c>
      <c r="N45" s="44">
        <v>0</v>
      </c>
      <c r="O45" s="44">
        <v>0</v>
      </c>
      <c r="P45" s="44">
        <v>0</v>
      </c>
      <c r="Q45" s="44">
        <v>0</v>
      </c>
      <c r="R45" s="44">
        <v>0</v>
      </c>
      <c r="S45" s="44">
        <v>0</v>
      </c>
      <c r="T45" s="44">
        <v>0</v>
      </c>
      <c r="U45" s="44">
        <v>0</v>
      </c>
      <c r="V45" s="44">
        <v>0</v>
      </c>
      <c r="W45" s="44">
        <v>0</v>
      </c>
      <c r="X45" s="44">
        <v>0</v>
      </c>
      <c r="Y45" s="44">
        <v>0</v>
      </c>
      <c r="Z45" s="39"/>
      <c r="AA45" s="41"/>
      <c r="AB45" s="42"/>
      <c r="AC45" s="42"/>
      <c r="AD45" s="43"/>
    </row>
    <row r="46" spans="1:30" ht="93" x14ac:dyDescent="0.25">
      <c r="A46" s="37" t="s">
        <v>159</v>
      </c>
      <c r="B46" s="38" t="s">
        <v>160</v>
      </c>
      <c r="C46" s="39" t="s">
        <v>161</v>
      </c>
      <c r="D46" s="39" t="s">
        <v>33</v>
      </c>
      <c r="E46" s="39" t="s">
        <v>46</v>
      </c>
      <c r="F46" s="40">
        <f>SUM(F47:F47)+1610</f>
        <v>1610</v>
      </c>
      <c r="G46" s="40">
        <f>SUM(G47:G47)+1610</f>
        <v>1610</v>
      </c>
      <c r="H46" s="40">
        <f t="shared" ref="H46:O46" si="22">SUM(H47:H47)</f>
        <v>0</v>
      </c>
      <c r="I46" s="40">
        <f t="shared" si="22"/>
        <v>0</v>
      </c>
      <c r="J46" s="40">
        <f t="shared" si="22"/>
        <v>0</v>
      </c>
      <c r="K46" s="40">
        <f t="shared" si="22"/>
        <v>0</v>
      </c>
      <c r="L46" s="40">
        <f t="shared" si="22"/>
        <v>0</v>
      </c>
      <c r="M46" s="40">
        <f t="shared" si="22"/>
        <v>0</v>
      </c>
      <c r="N46" s="40">
        <f t="shared" si="22"/>
        <v>0</v>
      </c>
      <c r="O46" s="40">
        <f t="shared" si="22"/>
        <v>0</v>
      </c>
      <c r="P46" s="40">
        <f>SUM(P47:P47)+1609.13</f>
        <v>1609.13</v>
      </c>
      <c r="Q46" s="40">
        <f>SUM(Q47:Q47)+1609.13</f>
        <v>1609.13</v>
      </c>
      <c r="R46" s="40">
        <f t="shared" ref="R46:Y46" si="23">SUM(R47:R47)</f>
        <v>0</v>
      </c>
      <c r="S46" s="40">
        <f t="shared" si="23"/>
        <v>0</v>
      </c>
      <c r="T46" s="40">
        <f t="shared" si="23"/>
        <v>0</v>
      </c>
      <c r="U46" s="40">
        <f t="shared" si="23"/>
        <v>0</v>
      </c>
      <c r="V46" s="40">
        <f t="shared" si="23"/>
        <v>0</v>
      </c>
      <c r="W46" s="40">
        <f t="shared" si="23"/>
        <v>0</v>
      </c>
      <c r="X46" s="40">
        <f t="shared" si="23"/>
        <v>0</v>
      </c>
      <c r="Y46" s="40">
        <f t="shared" si="23"/>
        <v>0</v>
      </c>
      <c r="Z46" s="39" t="s">
        <v>137</v>
      </c>
      <c r="AA46" s="41" t="s">
        <v>41</v>
      </c>
      <c r="AB46" s="42" t="s">
        <v>162</v>
      </c>
      <c r="AC46" s="42" t="s">
        <v>162</v>
      </c>
      <c r="AD46" s="43" t="s">
        <v>163</v>
      </c>
    </row>
    <row r="47" spans="1:30" ht="46.5" x14ac:dyDescent="0.25">
      <c r="A47" s="37" t="s">
        <v>164</v>
      </c>
      <c r="B47" s="38" t="s">
        <v>141</v>
      </c>
      <c r="C47" s="39"/>
      <c r="D47" s="39"/>
      <c r="E47" s="39"/>
      <c r="F47" s="44">
        <v>0</v>
      </c>
      <c r="G47" s="44">
        <v>0</v>
      </c>
      <c r="H47" s="44">
        <v>0</v>
      </c>
      <c r="I47" s="44">
        <v>0</v>
      </c>
      <c r="J47" s="44">
        <v>0</v>
      </c>
      <c r="K47" s="44">
        <v>0</v>
      </c>
      <c r="L47" s="44">
        <v>0</v>
      </c>
      <c r="M47" s="44">
        <v>0</v>
      </c>
      <c r="N47" s="44">
        <v>0</v>
      </c>
      <c r="O47" s="44">
        <v>0</v>
      </c>
      <c r="P47" s="44">
        <v>0</v>
      </c>
      <c r="Q47" s="44">
        <v>0</v>
      </c>
      <c r="R47" s="44">
        <v>0</v>
      </c>
      <c r="S47" s="44">
        <v>0</v>
      </c>
      <c r="T47" s="44">
        <v>0</v>
      </c>
      <c r="U47" s="44">
        <v>0</v>
      </c>
      <c r="V47" s="44">
        <v>0</v>
      </c>
      <c r="W47" s="44">
        <v>0</v>
      </c>
      <c r="X47" s="44">
        <v>0</v>
      </c>
      <c r="Y47" s="44">
        <v>0</v>
      </c>
      <c r="Z47" s="39"/>
      <c r="AA47" s="41"/>
      <c r="AB47" s="42"/>
      <c r="AC47" s="42"/>
      <c r="AD47" s="43"/>
    </row>
    <row r="48" spans="1:30" ht="67.5" x14ac:dyDescent="0.25">
      <c r="A48" s="30" t="s">
        <v>165</v>
      </c>
      <c r="B48" s="31" t="s">
        <v>166</v>
      </c>
      <c r="C48" s="32" t="s">
        <v>29</v>
      </c>
      <c r="D48" s="32" t="s">
        <v>33</v>
      </c>
      <c r="E48" s="32" t="s">
        <v>39</v>
      </c>
      <c r="F48" s="33">
        <f t="shared" ref="F48:Y48" si="24">F49+F51</f>
        <v>4885.62</v>
      </c>
      <c r="G48" s="33">
        <f t="shared" si="24"/>
        <v>4885.62</v>
      </c>
      <c r="H48" s="33">
        <f t="shared" si="24"/>
        <v>0</v>
      </c>
      <c r="I48" s="33">
        <f t="shared" si="24"/>
        <v>0</v>
      </c>
      <c r="J48" s="33">
        <f t="shared" si="24"/>
        <v>0</v>
      </c>
      <c r="K48" s="33">
        <f t="shared" si="24"/>
        <v>0</v>
      </c>
      <c r="L48" s="33">
        <f t="shared" si="24"/>
        <v>0</v>
      </c>
      <c r="M48" s="33">
        <f t="shared" si="24"/>
        <v>0</v>
      </c>
      <c r="N48" s="33">
        <f t="shared" si="24"/>
        <v>0</v>
      </c>
      <c r="O48" s="33">
        <f t="shared" si="24"/>
        <v>0</v>
      </c>
      <c r="P48" s="33">
        <f t="shared" si="24"/>
        <v>4885.62</v>
      </c>
      <c r="Q48" s="33">
        <f t="shared" si="24"/>
        <v>4885.62</v>
      </c>
      <c r="R48" s="33">
        <f t="shared" si="24"/>
        <v>0</v>
      </c>
      <c r="S48" s="33">
        <f t="shared" si="24"/>
        <v>0</v>
      </c>
      <c r="T48" s="33">
        <f t="shared" si="24"/>
        <v>0</v>
      </c>
      <c r="U48" s="33">
        <f t="shared" si="24"/>
        <v>0</v>
      </c>
      <c r="V48" s="33">
        <f t="shared" si="24"/>
        <v>0</v>
      </c>
      <c r="W48" s="33">
        <f t="shared" si="24"/>
        <v>0</v>
      </c>
      <c r="X48" s="33">
        <f t="shared" si="24"/>
        <v>0</v>
      </c>
      <c r="Y48" s="33">
        <f t="shared" si="24"/>
        <v>0</v>
      </c>
      <c r="Z48" s="32" t="s">
        <v>167</v>
      </c>
      <c r="AA48" s="34" t="s">
        <v>41</v>
      </c>
      <c r="AB48" s="35" t="s">
        <v>168</v>
      </c>
      <c r="AC48" s="35" t="s">
        <v>169</v>
      </c>
      <c r="AD48" s="36"/>
    </row>
    <row r="49" spans="1:30" ht="116.25" x14ac:dyDescent="0.25">
      <c r="A49" s="37" t="s">
        <v>170</v>
      </c>
      <c r="B49" s="38" t="s">
        <v>171</v>
      </c>
      <c r="C49" s="39" t="s">
        <v>29</v>
      </c>
      <c r="D49" s="39" t="s">
        <v>33</v>
      </c>
      <c r="E49" s="39" t="s">
        <v>46</v>
      </c>
      <c r="F49" s="40">
        <f>SUM(F50:F50)+3000</f>
        <v>3000</v>
      </c>
      <c r="G49" s="40">
        <f>SUM(G50:G50)+3000</f>
        <v>3000</v>
      </c>
      <c r="H49" s="40">
        <f t="shared" ref="H49:O49" si="25">SUM(H50:H50)</f>
        <v>0</v>
      </c>
      <c r="I49" s="40">
        <f t="shared" si="25"/>
        <v>0</v>
      </c>
      <c r="J49" s="40">
        <f t="shared" si="25"/>
        <v>0</v>
      </c>
      <c r="K49" s="40">
        <f t="shared" si="25"/>
        <v>0</v>
      </c>
      <c r="L49" s="40">
        <f t="shared" si="25"/>
        <v>0</v>
      </c>
      <c r="M49" s="40">
        <f t="shared" si="25"/>
        <v>0</v>
      </c>
      <c r="N49" s="40">
        <f t="shared" si="25"/>
        <v>0</v>
      </c>
      <c r="O49" s="40">
        <f t="shared" si="25"/>
        <v>0</v>
      </c>
      <c r="P49" s="40">
        <f>SUM(P50:P50)+3000</f>
        <v>3000</v>
      </c>
      <c r="Q49" s="40">
        <f>SUM(Q50:Q50)+3000</f>
        <v>3000</v>
      </c>
      <c r="R49" s="40">
        <f t="shared" ref="R49:Y49" si="26">SUM(R50:R50)</f>
        <v>0</v>
      </c>
      <c r="S49" s="40">
        <f t="shared" si="26"/>
        <v>0</v>
      </c>
      <c r="T49" s="40">
        <f t="shared" si="26"/>
        <v>0</v>
      </c>
      <c r="U49" s="40">
        <f t="shared" si="26"/>
        <v>0</v>
      </c>
      <c r="V49" s="40">
        <f t="shared" si="26"/>
        <v>0</v>
      </c>
      <c r="W49" s="40">
        <f t="shared" si="26"/>
        <v>0</v>
      </c>
      <c r="X49" s="40">
        <f t="shared" si="26"/>
        <v>0</v>
      </c>
      <c r="Y49" s="40">
        <f t="shared" si="26"/>
        <v>0</v>
      </c>
      <c r="Z49" s="39" t="s">
        <v>172</v>
      </c>
      <c r="AA49" s="41" t="s">
        <v>41</v>
      </c>
      <c r="AB49" s="42" t="s">
        <v>83</v>
      </c>
      <c r="AC49" s="42" t="s">
        <v>82</v>
      </c>
      <c r="AD49" s="43"/>
    </row>
    <row r="50" spans="1:30" ht="69.75" x14ac:dyDescent="0.25">
      <c r="A50" s="37" t="s">
        <v>173</v>
      </c>
      <c r="B50" s="38" t="s">
        <v>174</v>
      </c>
      <c r="C50" s="39"/>
      <c r="D50" s="39"/>
      <c r="E50" s="39"/>
      <c r="F50" s="44">
        <v>0</v>
      </c>
      <c r="G50" s="44">
        <v>0</v>
      </c>
      <c r="H50" s="44">
        <v>0</v>
      </c>
      <c r="I50" s="44">
        <v>0</v>
      </c>
      <c r="J50" s="44">
        <v>0</v>
      </c>
      <c r="K50" s="44">
        <v>0</v>
      </c>
      <c r="L50" s="44">
        <v>0</v>
      </c>
      <c r="M50" s="44">
        <v>0</v>
      </c>
      <c r="N50" s="44">
        <v>0</v>
      </c>
      <c r="O50" s="44">
        <v>0</v>
      </c>
      <c r="P50" s="44">
        <v>0</v>
      </c>
      <c r="Q50" s="44">
        <v>0</v>
      </c>
      <c r="R50" s="44">
        <v>0</v>
      </c>
      <c r="S50" s="44">
        <v>0</v>
      </c>
      <c r="T50" s="44">
        <v>0</v>
      </c>
      <c r="U50" s="44">
        <v>0</v>
      </c>
      <c r="V50" s="44">
        <v>0</v>
      </c>
      <c r="W50" s="44">
        <v>0</v>
      </c>
      <c r="X50" s="44">
        <v>0</v>
      </c>
      <c r="Y50" s="44">
        <v>0</v>
      </c>
      <c r="Z50" s="39"/>
      <c r="AA50" s="41"/>
      <c r="AB50" s="42"/>
      <c r="AC50" s="42"/>
      <c r="AD50" s="43"/>
    </row>
    <row r="51" spans="1:30" ht="46.5" x14ac:dyDescent="0.25">
      <c r="A51" s="37" t="s">
        <v>175</v>
      </c>
      <c r="B51" s="38" t="s">
        <v>176</v>
      </c>
      <c r="C51" s="39" t="s">
        <v>29</v>
      </c>
      <c r="D51" s="39" t="s">
        <v>33</v>
      </c>
      <c r="E51" s="39" t="s">
        <v>46</v>
      </c>
      <c r="F51" s="40">
        <f>SUM(F52:F52)+1885.62</f>
        <v>1885.62</v>
      </c>
      <c r="G51" s="40">
        <f>SUM(G52:G52)+1885.62</f>
        <v>1885.62</v>
      </c>
      <c r="H51" s="40">
        <f t="shared" ref="H51:O51" si="27">SUM(H52:H52)</f>
        <v>0</v>
      </c>
      <c r="I51" s="40">
        <f t="shared" si="27"/>
        <v>0</v>
      </c>
      <c r="J51" s="40">
        <f t="shared" si="27"/>
        <v>0</v>
      </c>
      <c r="K51" s="40">
        <f t="shared" si="27"/>
        <v>0</v>
      </c>
      <c r="L51" s="40">
        <f t="shared" si="27"/>
        <v>0</v>
      </c>
      <c r="M51" s="40">
        <f t="shared" si="27"/>
        <v>0</v>
      </c>
      <c r="N51" s="40">
        <f t="shared" si="27"/>
        <v>0</v>
      </c>
      <c r="O51" s="40">
        <f t="shared" si="27"/>
        <v>0</v>
      </c>
      <c r="P51" s="40">
        <f>SUM(P52:P52)+1885.62</f>
        <v>1885.62</v>
      </c>
      <c r="Q51" s="40">
        <f>SUM(Q52:Q52)+1885.62</f>
        <v>1885.62</v>
      </c>
      <c r="R51" s="40">
        <f t="shared" ref="R51:Y51" si="28">SUM(R52:R52)</f>
        <v>0</v>
      </c>
      <c r="S51" s="40">
        <f t="shared" si="28"/>
        <v>0</v>
      </c>
      <c r="T51" s="40">
        <f t="shared" si="28"/>
        <v>0</v>
      </c>
      <c r="U51" s="40">
        <f t="shared" si="28"/>
        <v>0</v>
      </c>
      <c r="V51" s="40">
        <f t="shared" si="28"/>
        <v>0</v>
      </c>
      <c r="W51" s="40">
        <f t="shared" si="28"/>
        <v>0</v>
      </c>
      <c r="X51" s="40">
        <f t="shared" si="28"/>
        <v>0</v>
      </c>
      <c r="Y51" s="40">
        <f t="shared" si="28"/>
        <v>0</v>
      </c>
      <c r="Z51" s="39" t="s">
        <v>177</v>
      </c>
      <c r="AA51" s="41" t="s">
        <v>41</v>
      </c>
      <c r="AB51" s="42" t="s">
        <v>178</v>
      </c>
      <c r="AC51" s="42" t="s">
        <v>42</v>
      </c>
      <c r="AD51" s="43" t="s">
        <v>179</v>
      </c>
    </row>
    <row r="52" spans="1:30" ht="46.5" x14ac:dyDescent="0.25">
      <c r="A52" s="37" t="s">
        <v>180</v>
      </c>
      <c r="B52" s="38" t="s">
        <v>181</v>
      </c>
      <c r="C52" s="39"/>
      <c r="D52" s="39"/>
      <c r="E52" s="39"/>
      <c r="F52" s="44">
        <v>0</v>
      </c>
      <c r="G52" s="44">
        <v>0</v>
      </c>
      <c r="H52" s="44">
        <v>0</v>
      </c>
      <c r="I52" s="44">
        <v>0</v>
      </c>
      <c r="J52" s="44">
        <v>0</v>
      </c>
      <c r="K52" s="44">
        <v>0</v>
      </c>
      <c r="L52" s="44">
        <v>0</v>
      </c>
      <c r="M52" s="44">
        <v>0</v>
      </c>
      <c r="N52" s="44">
        <v>0</v>
      </c>
      <c r="O52" s="44">
        <v>0</v>
      </c>
      <c r="P52" s="44">
        <v>0</v>
      </c>
      <c r="Q52" s="44">
        <v>0</v>
      </c>
      <c r="R52" s="44">
        <v>0</v>
      </c>
      <c r="S52" s="44">
        <v>0</v>
      </c>
      <c r="T52" s="44">
        <v>0</v>
      </c>
      <c r="U52" s="44">
        <v>0</v>
      </c>
      <c r="V52" s="44">
        <v>0</v>
      </c>
      <c r="W52" s="44">
        <v>0</v>
      </c>
      <c r="X52" s="44">
        <v>0</v>
      </c>
      <c r="Y52" s="44">
        <v>0</v>
      </c>
      <c r="Z52" s="39"/>
      <c r="AA52" s="41"/>
      <c r="AB52" s="42"/>
      <c r="AC52" s="42"/>
      <c r="AD52" s="43"/>
    </row>
    <row r="53" spans="1:30" ht="45" x14ac:dyDescent="0.25">
      <c r="A53" s="23" t="s">
        <v>182</v>
      </c>
      <c r="B53" s="24" t="s">
        <v>183</v>
      </c>
      <c r="C53" s="25" t="s">
        <v>29</v>
      </c>
      <c r="D53" s="25" t="s">
        <v>33</v>
      </c>
      <c r="E53" s="25"/>
      <c r="F53" s="26">
        <f t="shared" ref="F53:O54" si="29">SUM(F54:F54)</f>
        <v>5000</v>
      </c>
      <c r="G53" s="26">
        <f t="shared" si="29"/>
        <v>5000</v>
      </c>
      <c r="H53" s="26">
        <f t="shared" si="29"/>
        <v>0</v>
      </c>
      <c r="I53" s="26">
        <f t="shared" si="29"/>
        <v>0</v>
      </c>
      <c r="J53" s="26">
        <f t="shared" si="29"/>
        <v>0</v>
      </c>
      <c r="K53" s="26">
        <f t="shared" si="29"/>
        <v>0</v>
      </c>
      <c r="L53" s="26">
        <f t="shared" si="29"/>
        <v>0</v>
      </c>
      <c r="M53" s="26">
        <f t="shared" si="29"/>
        <v>0</v>
      </c>
      <c r="N53" s="26">
        <f t="shared" si="29"/>
        <v>0</v>
      </c>
      <c r="O53" s="26">
        <f t="shared" si="29"/>
        <v>0</v>
      </c>
      <c r="P53" s="26">
        <f t="shared" ref="P53:Y54" si="30">SUM(P54:P54)</f>
        <v>5000</v>
      </c>
      <c r="Q53" s="26">
        <f t="shared" si="30"/>
        <v>5000</v>
      </c>
      <c r="R53" s="26">
        <f t="shared" si="30"/>
        <v>0</v>
      </c>
      <c r="S53" s="26">
        <f t="shared" si="30"/>
        <v>0</v>
      </c>
      <c r="T53" s="26">
        <f t="shared" si="30"/>
        <v>0</v>
      </c>
      <c r="U53" s="26">
        <f t="shared" si="30"/>
        <v>0</v>
      </c>
      <c r="V53" s="26">
        <f t="shared" si="30"/>
        <v>0</v>
      </c>
      <c r="W53" s="26">
        <f t="shared" si="30"/>
        <v>0</v>
      </c>
      <c r="X53" s="26">
        <f t="shared" si="30"/>
        <v>0</v>
      </c>
      <c r="Y53" s="26">
        <f t="shared" si="30"/>
        <v>0</v>
      </c>
      <c r="Z53" s="25" t="s">
        <v>184</v>
      </c>
      <c r="AA53" s="27" t="s">
        <v>35</v>
      </c>
      <c r="AB53" s="28" t="s">
        <v>185</v>
      </c>
      <c r="AC53" s="28" t="s">
        <v>185</v>
      </c>
      <c r="AD53" s="29"/>
    </row>
    <row r="54" spans="1:30" ht="45" x14ac:dyDescent="0.25">
      <c r="A54" s="30" t="s">
        <v>186</v>
      </c>
      <c r="B54" s="31" t="s">
        <v>187</v>
      </c>
      <c r="C54" s="32" t="s">
        <v>29</v>
      </c>
      <c r="D54" s="32" t="s">
        <v>33</v>
      </c>
      <c r="E54" s="32" t="s">
        <v>39</v>
      </c>
      <c r="F54" s="33">
        <f t="shared" si="29"/>
        <v>5000</v>
      </c>
      <c r="G54" s="33">
        <f t="shared" si="29"/>
        <v>5000</v>
      </c>
      <c r="H54" s="33">
        <f t="shared" si="29"/>
        <v>0</v>
      </c>
      <c r="I54" s="33">
        <f t="shared" si="29"/>
        <v>0</v>
      </c>
      <c r="J54" s="33">
        <f t="shared" si="29"/>
        <v>0</v>
      </c>
      <c r="K54" s="33">
        <f t="shared" si="29"/>
        <v>0</v>
      </c>
      <c r="L54" s="33">
        <f t="shared" si="29"/>
        <v>0</v>
      </c>
      <c r="M54" s="33">
        <f t="shared" si="29"/>
        <v>0</v>
      </c>
      <c r="N54" s="33">
        <f t="shared" si="29"/>
        <v>0</v>
      </c>
      <c r="O54" s="33">
        <f t="shared" si="29"/>
        <v>0</v>
      </c>
      <c r="P54" s="33">
        <f t="shared" si="30"/>
        <v>5000</v>
      </c>
      <c r="Q54" s="33">
        <f t="shared" si="30"/>
        <v>5000</v>
      </c>
      <c r="R54" s="33">
        <f t="shared" si="30"/>
        <v>0</v>
      </c>
      <c r="S54" s="33">
        <f t="shared" si="30"/>
        <v>0</v>
      </c>
      <c r="T54" s="33">
        <f t="shared" si="30"/>
        <v>0</v>
      </c>
      <c r="U54" s="33">
        <f t="shared" si="30"/>
        <v>0</v>
      </c>
      <c r="V54" s="33">
        <f t="shared" si="30"/>
        <v>0</v>
      </c>
      <c r="W54" s="33">
        <f t="shared" si="30"/>
        <v>0</v>
      </c>
      <c r="X54" s="33">
        <f t="shared" si="30"/>
        <v>0</v>
      </c>
      <c r="Y54" s="33">
        <f t="shared" si="30"/>
        <v>0</v>
      </c>
      <c r="Z54" s="32" t="s">
        <v>188</v>
      </c>
      <c r="AA54" s="34" t="s">
        <v>41</v>
      </c>
      <c r="AB54" s="35" t="s">
        <v>56</v>
      </c>
      <c r="AC54" s="35" t="s">
        <v>56</v>
      </c>
      <c r="AD54" s="36"/>
    </row>
    <row r="55" spans="1:30" ht="46.5" x14ac:dyDescent="0.25">
      <c r="A55" s="37" t="s">
        <v>189</v>
      </c>
      <c r="B55" s="38" t="s">
        <v>190</v>
      </c>
      <c r="C55" s="39" t="s">
        <v>29</v>
      </c>
      <c r="D55" s="39" t="s">
        <v>33</v>
      </c>
      <c r="E55" s="39" t="s">
        <v>46</v>
      </c>
      <c r="F55" s="40">
        <f>SUM(F56:F56)+5000</f>
        <v>5000</v>
      </c>
      <c r="G55" s="40">
        <f>SUM(G56:G56)+5000</f>
        <v>5000</v>
      </c>
      <c r="H55" s="40">
        <f t="shared" ref="H55:O55" si="31">SUM(H56:H56)</f>
        <v>0</v>
      </c>
      <c r="I55" s="40">
        <f t="shared" si="31"/>
        <v>0</v>
      </c>
      <c r="J55" s="40">
        <f t="shared" si="31"/>
        <v>0</v>
      </c>
      <c r="K55" s="40">
        <f t="shared" si="31"/>
        <v>0</v>
      </c>
      <c r="L55" s="40">
        <f t="shared" si="31"/>
        <v>0</v>
      </c>
      <c r="M55" s="40">
        <f t="shared" si="31"/>
        <v>0</v>
      </c>
      <c r="N55" s="40">
        <f t="shared" si="31"/>
        <v>0</v>
      </c>
      <c r="O55" s="40">
        <f t="shared" si="31"/>
        <v>0</v>
      </c>
      <c r="P55" s="40">
        <f>SUM(P56:P56)+5000</f>
        <v>5000</v>
      </c>
      <c r="Q55" s="40">
        <f>SUM(Q56:Q56)+5000</f>
        <v>5000</v>
      </c>
      <c r="R55" s="40">
        <f t="shared" ref="R55:Y55" si="32">SUM(R56:R56)</f>
        <v>0</v>
      </c>
      <c r="S55" s="40">
        <f t="shared" si="32"/>
        <v>0</v>
      </c>
      <c r="T55" s="40">
        <f t="shared" si="32"/>
        <v>0</v>
      </c>
      <c r="U55" s="40">
        <f t="shared" si="32"/>
        <v>0</v>
      </c>
      <c r="V55" s="40">
        <f t="shared" si="32"/>
        <v>0</v>
      </c>
      <c r="W55" s="40">
        <f t="shared" si="32"/>
        <v>0</v>
      </c>
      <c r="X55" s="40">
        <f t="shared" si="32"/>
        <v>0</v>
      </c>
      <c r="Y55" s="40">
        <f t="shared" si="32"/>
        <v>0</v>
      </c>
      <c r="Z55" s="39" t="s">
        <v>191</v>
      </c>
      <c r="AA55" s="41" t="s">
        <v>41</v>
      </c>
      <c r="AB55" s="42" t="s">
        <v>49</v>
      </c>
      <c r="AC55" s="42" t="s">
        <v>49</v>
      </c>
      <c r="AD55" s="43"/>
    </row>
    <row r="56" spans="1:30" ht="46.5" x14ac:dyDescent="0.25">
      <c r="A56" s="37" t="s">
        <v>192</v>
      </c>
      <c r="B56" s="38" t="s">
        <v>193</v>
      </c>
      <c r="C56" s="39"/>
      <c r="D56" s="39"/>
      <c r="E56" s="39"/>
      <c r="F56" s="44">
        <v>0</v>
      </c>
      <c r="G56" s="44">
        <v>0</v>
      </c>
      <c r="H56" s="44">
        <v>0</v>
      </c>
      <c r="I56" s="44">
        <v>0</v>
      </c>
      <c r="J56" s="44">
        <v>0</v>
      </c>
      <c r="K56" s="44">
        <v>0</v>
      </c>
      <c r="L56" s="44">
        <v>0</v>
      </c>
      <c r="M56" s="44">
        <v>0</v>
      </c>
      <c r="N56" s="44">
        <v>0</v>
      </c>
      <c r="O56" s="44">
        <v>0</v>
      </c>
      <c r="P56" s="44">
        <v>0</v>
      </c>
      <c r="Q56" s="44">
        <v>0</v>
      </c>
      <c r="R56" s="44">
        <v>0</v>
      </c>
      <c r="S56" s="44">
        <v>0</v>
      </c>
      <c r="T56" s="44">
        <v>0</v>
      </c>
      <c r="U56" s="44">
        <v>0</v>
      </c>
      <c r="V56" s="44">
        <v>0</v>
      </c>
      <c r="W56" s="44">
        <v>0</v>
      </c>
      <c r="X56" s="44">
        <v>0</v>
      </c>
      <c r="Y56" s="44">
        <v>0</v>
      </c>
      <c r="Z56" s="39"/>
      <c r="AA56" s="41"/>
      <c r="AB56" s="42"/>
      <c r="AC56" s="42"/>
      <c r="AD56" s="43"/>
    </row>
    <row r="57" spans="1:30" ht="45" x14ac:dyDescent="0.25">
      <c r="A57" s="23" t="s">
        <v>194</v>
      </c>
      <c r="B57" s="24" t="s">
        <v>195</v>
      </c>
      <c r="C57" s="25" t="s">
        <v>29</v>
      </c>
      <c r="D57" s="25" t="s">
        <v>33</v>
      </c>
      <c r="E57" s="25"/>
      <c r="F57" s="26">
        <f t="shared" ref="F57:Y57" si="33">SUM(F58:F58)</f>
        <v>50000</v>
      </c>
      <c r="G57" s="26">
        <f t="shared" si="33"/>
        <v>50000</v>
      </c>
      <c r="H57" s="26">
        <f t="shared" si="33"/>
        <v>0</v>
      </c>
      <c r="I57" s="26">
        <f t="shared" si="33"/>
        <v>0</v>
      </c>
      <c r="J57" s="26">
        <f t="shared" si="33"/>
        <v>0</v>
      </c>
      <c r="K57" s="26">
        <f t="shared" si="33"/>
        <v>0</v>
      </c>
      <c r="L57" s="26">
        <f t="shared" si="33"/>
        <v>0</v>
      </c>
      <c r="M57" s="26">
        <f t="shared" si="33"/>
        <v>0</v>
      </c>
      <c r="N57" s="26">
        <f t="shared" si="33"/>
        <v>0</v>
      </c>
      <c r="O57" s="26">
        <f t="shared" si="33"/>
        <v>0</v>
      </c>
      <c r="P57" s="26">
        <f t="shared" si="33"/>
        <v>50000</v>
      </c>
      <c r="Q57" s="26">
        <f t="shared" si="33"/>
        <v>50000</v>
      </c>
      <c r="R57" s="26">
        <f t="shared" si="33"/>
        <v>0</v>
      </c>
      <c r="S57" s="26">
        <f t="shared" si="33"/>
        <v>0</v>
      </c>
      <c r="T57" s="26">
        <f t="shared" si="33"/>
        <v>0</v>
      </c>
      <c r="U57" s="26">
        <f t="shared" si="33"/>
        <v>0</v>
      </c>
      <c r="V57" s="26">
        <f t="shared" si="33"/>
        <v>0</v>
      </c>
      <c r="W57" s="26">
        <f t="shared" si="33"/>
        <v>0</v>
      </c>
      <c r="X57" s="26">
        <f t="shared" si="33"/>
        <v>0</v>
      </c>
      <c r="Y57" s="26">
        <f t="shared" si="33"/>
        <v>0</v>
      </c>
      <c r="Z57" s="25" t="s">
        <v>196</v>
      </c>
      <c r="AA57" s="27" t="s">
        <v>35</v>
      </c>
      <c r="AB57" s="28" t="s">
        <v>197</v>
      </c>
      <c r="AC57" s="28" t="s">
        <v>197</v>
      </c>
      <c r="AD57" s="29"/>
    </row>
    <row r="58" spans="1:30" ht="45" x14ac:dyDescent="0.25">
      <c r="A58" s="30" t="s">
        <v>198</v>
      </c>
      <c r="B58" s="31" t="s">
        <v>199</v>
      </c>
      <c r="C58" s="32" t="s">
        <v>29</v>
      </c>
      <c r="D58" s="32" t="s">
        <v>33</v>
      </c>
      <c r="E58" s="32" t="s">
        <v>39</v>
      </c>
      <c r="F58" s="33">
        <f t="shared" ref="F58:Y58" si="34">F59+F61</f>
        <v>50000</v>
      </c>
      <c r="G58" s="33">
        <f t="shared" si="34"/>
        <v>50000</v>
      </c>
      <c r="H58" s="33">
        <f t="shared" si="34"/>
        <v>0</v>
      </c>
      <c r="I58" s="33">
        <f t="shared" si="34"/>
        <v>0</v>
      </c>
      <c r="J58" s="33">
        <f t="shared" si="34"/>
        <v>0</v>
      </c>
      <c r="K58" s="33">
        <f t="shared" si="34"/>
        <v>0</v>
      </c>
      <c r="L58" s="33">
        <f t="shared" si="34"/>
        <v>0</v>
      </c>
      <c r="M58" s="33">
        <f t="shared" si="34"/>
        <v>0</v>
      </c>
      <c r="N58" s="33">
        <f t="shared" si="34"/>
        <v>0</v>
      </c>
      <c r="O58" s="33">
        <f t="shared" si="34"/>
        <v>0</v>
      </c>
      <c r="P58" s="33">
        <f t="shared" si="34"/>
        <v>50000</v>
      </c>
      <c r="Q58" s="33">
        <f t="shared" si="34"/>
        <v>50000</v>
      </c>
      <c r="R58" s="33">
        <f t="shared" si="34"/>
        <v>0</v>
      </c>
      <c r="S58" s="33">
        <f t="shared" si="34"/>
        <v>0</v>
      </c>
      <c r="T58" s="33">
        <f t="shared" si="34"/>
        <v>0</v>
      </c>
      <c r="U58" s="33">
        <f t="shared" si="34"/>
        <v>0</v>
      </c>
      <c r="V58" s="33">
        <f t="shared" si="34"/>
        <v>0</v>
      </c>
      <c r="W58" s="33">
        <f t="shared" si="34"/>
        <v>0</v>
      </c>
      <c r="X58" s="33">
        <f t="shared" si="34"/>
        <v>0</v>
      </c>
      <c r="Y58" s="33">
        <f t="shared" si="34"/>
        <v>0</v>
      </c>
      <c r="Z58" s="32" t="s">
        <v>188</v>
      </c>
      <c r="AA58" s="34" t="s">
        <v>41</v>
      </c>
      <c r="AB58" s="35" t="s">
        <v>200</v>
      </c>
      <c r="AC58" s="35" t="s">
        <v>200</v>
      </c>
      <c r="AD58" s="36"/>
    </row>
    <row r="59" spans="1:30" ht="46.5" x14ac:dyDescent="0.25">
      <c r="A59" s="37" t="s">
        <v>201</v>
      </c>
      <c r="B59" s="38" t="s">
        <v>202</v>
      </c>
      <c r="C59" s="39" t="s">
        <v>29</v>
      </c>
      <c r="D59" s="39" t="s">
        <v>33</v>
      </c>
      <c r="E59" s="39" t="s">
        <v>46</v>
      </c>
      <c r="F59" s="40">
        <f>SUM(F60:F60)+50000</f>
        <v>50000</v>
      </c>
      <c r="G59" s="40">
        <f>SUM(G60:G60)+50000</f>
        <v>50000</v>
      </c>
      <c r="H59" s="40">
        <f t="shared" ref="H59:O59" si="35">SUM(H60:H60)</f>
        <v>0</v>
      </c>
      <c r="I59" s="40">
        <f t="shared" si="35"/>
        <v>0</v>
      </c>
      <c r="J59" s="40">
        <f t="shared" si="35"/>
        <v>0</v>
      </c>
      <c r="K59" s="40">
        <f t="shared" si="35"/>
        <v>0</v>
      </c>
      <c r="L59" s="40">
        <f t="shared" si="35"/>
        <v>0</v>
      </c>
      <c r="M59" s="40">
        <f t="shared" si="35"/>
        <v>0</v>
      </c>
      <c r="N59" s="40">
        <f t="shared" si="35"/>
        <v>0</v>
      </c>
      <c r="O59" s="40">
        <f t="shared" si="35"/>
        <v>0</v>
      </c>
      <c r="P59" s="40">
        <f>SUM(P60:P60)+50000</f>
        <v>50000</v>
      </c>
      <c r="Q59" s="40">
        <f>SUM(Q60:Q60)+50000</f>
        <v>50000</v>
      </c>
      <c r="R59" s="40">
        <f t="shared" ref="R59:Y59" si="36">SUM(R60:R60)</f>
        <v>0</v>
      </c>
      <c r="S59" s="40">
        <f t="shared" si="36"/>
        <v>0</v>
      </c>
      <c r="T59" s="40">
        <f t="shared" si="36"/>
        <v>0</v>
      </c>
      <c r="U59" s="40">
        <f t="shared" si="36"/>
        <v>0</v>
      </c>
      <c r="V59" s="40">
        <f t="shared" si="36"/>
        <v>0</v>
      </c>
      <c r="W59" s="40">
        <f t="shared" si="36"/>
        <v>0</v>
      </c>
      <c r="X59" s="40">
        <f t="shared" si="36"/>
        <v>0</v>
      </c>
      <c r="Y59" s="40">
        <f t="shared" si="36"/>
        <v>0</v>
      </c>
      <c r="Z59" s="39" t="s">
        <v>203</v>
      </c>
      <c r="AA59" s="41" t="s">
        <v>41</v>
      </c>
      <c r="AB59" s="42" t="s">
        <v>80</v>
      </c>
      <c r="AC59" s="42" t="s">
        <v>204</v>
      </c>
      <c r="AD59" s="43"/>
    </row>
    <row r="60" spans="1:30" ht="46.5" x14ac:dyDescent="0.25">
      <c r="A60" s="37" t="s">
        <v>205</v>
      </c>
      <c r="B60" s="38" t="s">
        <v>206</v>
      </c>
      <c r="C60" s="39"/>
      <c r="D60" s="39"/>
      <c r="E60" s="39"/>
      <c r="F60" s="44">
        <v>0</v>
      </c>
      <c r="G60" s="44">
        <v>0</v>
      </c>
      <c r="H60" s="44">
        <v>0</v>
      </c>
      <c r="I60" s="44">
        <v>0</v>
      </c>
      <c r="J60" s="44">
        <v>0</v>
      </c>
      <c r="K60" s="44">
        <v>0</v>
      </c>
      <c r="L60" s="44">
        <v>0</v>
      </c>
      <c r="M60" s="44">
        <v>0</v>
      </c>
      <c r="N60" s="44">
        <v>0</v>
      </c>
      <c r="O60" s="44">
        <v>0</v>
      </c>
      <c r="P60" s="44">
        <v>0</v>
      </c>
      <c r="Q60" s="44">
        <v>0</v>
      </c>
      <c r="R60" s="44">
        <v>0</v>
      </c>
      <c r="S60" s="44">
        <v>0</v>
      </c>
      <c r="T60" s="44">
        <v>0</v>
      </c>
      <c r="U60" s="44">
        <v>0</v>
      </c>
      <c r="V60" s="44">
        <v>0</v>
      </c>
      <c r="W60" s="44">
        <v>0</v>
      </c>
      <c r="X60" s="44">
        <v>0</v>
      </c>
      <c r="Y60" s="44">
        <v>0</v>
      </c>
      <c r="Z60" s="39"/>
      <c r="AA60" s="41"/>
      <c r="AB60" s="42"/>
      <c r="AC60" s="42"/>
      <c r="AD60" s="43"/>
    </row>
    <row r="61" spans="1:30" ht="46.5" x14ac:dyDescent="0.25">
      <c r="A61" s="37" t="s">
        <v>207</v>
      </c>
      <c r="B61" s="38" t="s">
        <v>208</v>
      </c>
      <c r="C61" s="39" t="s">
        <v>29</v>
      </c>
      <c r="D61" s="39" t="s">
        <v>33</v>
      </c>
      <c r="E61" s="39" t="s">
        <v>46</v>
      </c>
      <c r="F61" s="40">
        <f t="shared" ref="F61:Y61" si="37">SUM(F62:F62)</f>
        <v>0</v>
      </c>
      <c r="G61" s="40">
        <f t="shared" si="37"/>
        <v>0</v>
      </c>
      <c r="H61" s="40">
        <f t="shared" si="37"/>
        <v>0</v>
      </c>
      <c r="I61" s="40">
        <f t="shared" si="37"/>
        <v>0</v>
      </c>
      <c r="J61" s="40">
        <f t="shared" si="37"/>
        <v>0</v>
      </c>
      <c r="K61" s="40">
        <f t="shared" si="37"/>
        <v>0</v>
      </c>
      <c r="L61" s="40">
        <f t="shared" si="37"/>
        <v>0</v>
      </c>
      <c r="M61" s="40">
        <f t="shared" si="37"/>
        <v>0</v>
      </c>
      <c r="N61" s="40">
        <f t="shared" si="37"/>
        <v>0</v>
      </c>
      <c r="O61" s="40">
        <f t="shared" si="37"/>
        <v>0</v>
      </c>
      <c r="P61" s="40">
        <f t="shared" si="37"/>
        <v>0</v>
      </c>
      <c r="Q61" s="40">
        <f t="shared" si="37"/>
        <v>0</v>
      </c>
      <c r="R61" s="40">
        <f t="shared" si="37"/>
        <v>0</v>
      </c>
      <c r="S61" s="40">
        <f t="shared" si="37"/>
        <v>0</v>
      </c>
      <c r="T61" s="40">
        <f t="shared" si="37"/>
        <v>0</v>
      </c>
      <c r="U61" s="40">
        <f t="shared" si="37"/>
        <v>0</v>
      </c>
      <c r="V61" s="40">
        <f t="shared" si="37"/>
        <v>0</v>
      </c>
      <c r="W61" s="40">
        <f t="shared" si="37"/>
        <v>0</v>
      </c>
      <c r="X61" s="40">
        <f t="shared" si="37"/>
        <v>0</v>
      </c>
      <c r="Y61" s="40">
        <f t="shared" si="37"/>
        <v>0</v>
      </c>
      <c r="Z61" s="39" t="s">
        <v>209</v>
      </c>
      <c r="AA61" s="41" t="s">
        <v>41</v>
      </c>
      <c r="AB61" s="42" t="s">
        <v>57</v>
      </c>
      <c r="AC61" s="42" t="s">
        <v>56</v>
      </c>
      <c r="AD61" s="43" t="s">
        <v>210</v>
      </c>
    </row>
    <row r="62" spans="1:30" x14ac:dyDescent="0.25">
      <c r="A62" s="37" t="s">
        <v>211</v>
      </c>
      <c r="B62" s="38" t="s">
        <v>212</v>
      </c>
      <c r="C62" s="39"/>
      <c r="D62" s="39"/>
      <c r="E62" s="39"/>
      <c r="F62" s="44">
        <v>0</v>
      </c>
      <c r="G62" s="44">
        <v>0</v>
      </c>
      <c r="H62" s="44">
        <v>0</v>
      </c>
      <c r="I62" s="44">
        <v>0</v>
      </c>
      <c r="J62" s="44">
        <v>0</v>
      </c>
      <c r="K62" s="44">
        <v>0</v>
      </c>
      <c r="L62" s="44">
        <v>0</v>
      </c>
      <c r="M62" s="44">
        <v>0</v>
      </c>
      <c r="N62" s="44">
        <v>0</v>
      </c>
      <c r="O62" s="44">
        <v>0</v>
      </c>
      <c r="P62" s="44">
        <v>0</v>
      </c>
      <c r="Q62" s="44">
        <v>0</v>
      </c>
      <c r="R62" s="44">
        <v>0</v>
      </c>
      <c r="S62" s="44">
        <v>0</v>
      </c>
      <c r="T62" s="44">
        <v>0</v>
      </c>
      <c r="U62" s="44">
        <v>0</v>
      </c>
      <c r="V62" s="44">
        <v>0</v>
      </c>
      <c r="W62" s="44">
        <v>0</v>
      </c>
      <c r="X62" s="44">
        <v>0</v>
      </c>
      <c r="Y62" s="44">
        <v>0</v>
      </c>
      <c r="Z62" s="39"/>
      <c r="AA62" s="41"/>
      <c r="AB62" s="42"/>
      <c r="AC62" s="42"/>
      <c r="AD62" s="43"/>
    </row>
    <row r="63" spans="1:30" ht="67.5" x14ac:dyDescent="0.25">
      <c r="A63" s="23" t="s">
        <v>213</v>
      </c>
      <c r="B63" s="24" t="s">
        <v>214</v>
      </c>
      <c r="C63" s="25" t="s">
        <v>215</v>
      </c>
      <c r="D63" s="25" t="s">
        <v>216</v>
      </c>
      <c r="E63" s="25"/>
      <c r="F63" s="26">
        <f t="shared" ref="F63:Y63" si="38">F64+F70</f>
        <v>48966</v>
      </c>
      <c r="G63" s="26">
        <f t="shared" si="38"/>
        <v>48966</v>
      </c>
      <c r="H63" s="26">
        <f t="shared" si="38"/>
        <v>0</v>
      </c>
      <c r="I63" s="26">
        <f t="shared" si="38"/>
        <v>0</v>
      </c>
      <c r="J63" s="26">
        <f t="shared" si="38"/>
        <v>0</v>
      </c>
      <c r="K63" s="26">
        <f t="shared" si="38"/>
        <v>0</v>
      </c>
      <c r="L63" s="26">
        <f t="shared" si="38"/>
        <v>0</v>
      </c>
      <c r="M63" s="26">
        <f t="shared" si="38"/>
        <v>0</v>
      </c>
      <c r="N63" s="26">
        <f t="shared" si="38"/>
        <v>0</v>
      </c>
      <c r="O63" s="26">
        <f t="shared" si="38"/>
        <v>0</v>
      </c>
      <c r="P63" s="26">
        <f t="shared" si="38"/>
        <v>46412</v>
      </c>
      <c r="Q63" s="26">
        <f t="shared" si="38"/>
        <v>46412</v>
      </c>
      <c r="R63" s="26">
        <f t="shared" si="38"/>
        <v>0</v>
      </c>
      <c r="S63" s="26">
        <f t="shared" si="38"/>
        <v>0</v>
      </c>
      <c r="T63" s="26">
        <f t="shared" si="38"/>
        <v>0</v>
      </c>
      <c r="U63" s="26">
        <f t="shared" si="38"/>
        <v>0</v>
      </c>
      <c r="V63" s="26">
        <f t="shared" si="38"/>
        <v>0</v>
      </c>
      <c r="W63" s="26">
        <f t="shared" si="38"/>
        <v>0</v>
      </c>
      <c r="X63" s="26">
        <f t="shared" si="38"/>
        <v>0</v>
      </c>
      <c r="Y63" s="26">
        <f t="shared" si="38"/>
        <v>0</v>
      </c>
      <c r="Z63" s="25" t="s">
        <v>217</v>
      </c>
      <c r="AA63" s="27" t="s">
        <v>35</v>
      </c>
      <c r="AB63" s="28" t="s">
        <v>218</v>
      </c>
      <c r="AC63" s="28" t="s">
        <v>218</v>
      </c>
      <c r="AD63" s="29"/>
    </row>
    <row r="64" spans="1:30" ht="45" x14ac:dyDescent="0.25">
      <c r="A64" s="30" t="s">
        <v>219</v>
      </c>
      <c r="B64" s="31" t="s">
        <v>220</v>
      </c>
      <c r="C64" s="32" t="s">
        <v>215</v>
      </c>
      <c r="D64" s="32" t="s">
        <v>216</v>
      </c>
      <c r="E64" s="32" t="s">
        <v>39</v>
      </c>
      <c r="F64" s="33">
        <f t="shared" ref="F64:Y64" si="39">F65+F68</f>
        <v>27256</v>
      </c>
      <c r="G64" s="33">
        <f t="shared" si="39"/>
        <v>27256</v>
      </c>
      <c r="H64" s="33">
        <f t="shared" si="39"/>
        <v>0</v>
      </c>
      <c r="I64" s="33">
        <f t="shared" si="39"/>
        <v>0</v>
      </c>
      <c r="J64" s="33">
        <f t="shared" si="39"/>
        <v>0</v>
      </c>
      <c r="K64" s="33">
        <f t="shared" si="39"/>
        <v>0</v>
      </c>
      <c r="L64" s="33">
        <f t="shared" si="39"/>
        <v>0</v>
      </c>
      <c r="M64" s="33">
        <f t="shared" si="39"/>
        <v>0</v>
      </c>
      <c r="N64" s="33">
        <f t="shared" si="39"/>
        <v>0</v>
      </c>
      <c r="O64" s="33">
        <f t="shared" si="39"/>
        <v>0</v>
      </c>
      <c r="P64" s="33">
        <f t="shared" si="39"/>
        <v>24702</v>
      </c>
      <c r="Q64" s="33">
        <f t="shared" si="39"/>
        <v>24702</v>
      </c>
      <c r="R64" s="33">
        <f t="shared" si="39"/>
        <v>0</v>
      </c>
      <c r="S64" s="33">
        <f t="shared" si="39"/>
        <v>0</v>
      </c>
      <c r="T64" s="33">
        <f t="shared" si="39"/>
        <v>0</v>
      </c>
      <c r="U64" s="33">
        <f t="shared" si="39"/>
        <v>0</v>
      </c>
      <c r="V64" s="33">
        <f t="shared" si="39"/>
        <v>0</v>
      </c>
      <c r="W64" s="33">
        <f t="shared" si="39"/>
        <v>0</v>
      </c>
      <c r="X64" s="33">
        <f t="shared" si="39"/>
        <v>0</v>
      </c>
      <c r="Y64" s="33">
        <f t="shared" si="39"/>
        <v>0</v>
      </c>
      <c r="Z64" s="32" t="s">
        <v>188</v>
      </c>
      <c r="AA64" s="34" t="s">
        <v>41</v>
      </c>
      <c r="AB64" s="35" t="s">
        <v>56</v>
      </c>
      <c r="AC64" s="35" t="s">
        <v>56</v>
      </c>
      <c r="AD64" s="36"/>
    </row>
    <row r="65" spans="1:30" ht="69.75" x14ac:dyDescent="0.25">
      <c r="A65" s="37" t="s">
        <v>221</v>
      </c>
      <c r="B65" s="38" t="s">
        <v>222</v>
      </c>
      <c r="C65" s="39" t="s">
        <v>215</v>
      </c>
      <c r="D65" s="39" t="s">
        <v>216</v>
      </c>
      <c r="E65" s="39" t="s">
        <v>46</v>
      </c>
      <c r="F65" s="40">
        <f>SUM(F66:F67)+19256</f>
        <v>19256</v>
      </c>
      <c r="G65" s="40">
        <f>SUM(G66:G67)+19256</f>
        <v>19256</v>
      </c>
      <c r="H65" s="40">
        <f t="shared" ref="H65:O65" si="40">SUM(H66:H67)</f>
        <v>0</v>
      </c>
      <c r="I65" s="40">
        <f t="shared" si="40"/>
        <v>0</v>
      </c>
      <c r="J65" s="40">
        <f t="shared" si="40"/>
        <v>0</v>
      </c>
      <c r="K65" s="40">
        <f t="shared" si="40"/>
        <v>0</v>
      </c>
      <c r="L65" s="40">
        <f t="shared" si="40"/>
        <v>0</v>
      </c>
      <c r="M65" s="40">
        <f t="shared" si="40"/>
        <v>0</v>
      </c>
      <c r="N65" s="40">
        <f t="shared" si="40"/>
        <v>0</v>
      </c>
      <c r="O65" s="40">
        <f t="shared" si="40"/>
        <v>0</v>
      </c>
      <c r="P65" s="40">
        <f>SUM(P66:P67)+16756</f>
        <v>16756</v>
      </c>
      <c r="Q65" s="40">
        <f>SUM(Q66:Q67)+16756</f>
        <v>16756</v>
      </c>
      <c r="R65" s="40">
        <f t="shared" ref="R65:Y65" si="41">SUM(R66:R67)</f>
        <v>0</v>
      </c>
      <c r="S65" s="40">
        <f t="shared" si="41"/>
        <v>0</v>
      </c>
      <c r="T65" s="40">
        <f t="shared" si="41"/>
        <v>0</v>
      </c>
      <c r="U65" s="40">
        <f t="shared" si="41"/>
        <v>0</v>
      </c>
      <c r="V65" s="40">
        <f t="shared" si="41"/>
        <v>0</v>
      </c>
      <c r="W65" s="40">
        <f t="shared" si="41"/>
        <v>0</v>
      </c>
      <c r="X65" s="40">
        <f t="shared" si="41"/>
        <v>0</v>
      </c>
      <c r="Y65" s="40">
        <f t="shared" si="41"/>
        <v>0</v>
      </c>
      <c r="Z65" s="39" t="s">
        <v>223</v>
      </c>
      <c r="AA65" s="41" t="s">
        <v>41</v>
      </c>
      <c r="AB65" s="42" t="s">
        <v>162</v>
      </c>
      <c r="AC65" s="42" t="s">
        <v>139</v>
      </c>
      <c r="AD65" s="43"/>
    </row>
    <row r="66" spans="1:30" x14ac:dyDescent="0.25">
      <c r="A66" s="45"/>
      <c r="B66" s="46"/>
      <c r="C66" s="47"/>
      <c r="D66" s="47"/>
      <c r="E66" s="47"/>
      <c r="F66" s="48">
        <v>0</v>
      </c>
      <c r="G66" s="48">
        <v>0</v>
      </c>
      <c r="H66" s="48">
        <v>0</v>
      </c>
      <c r="I66" s="48">
        <v>0</v>
      </c>
      <c r="J66" s="48">
        <v>0</v>
      </c>
      <c r="K66" s="48">
        <v>0</v>
      </c>
      <c r="L66" s="48">
        <v>0</v>
      </c>
      <c r="M66" s="48">
        <v>0</v>
      </c>
      <c r="N66" s="48">
        <v>0</v>
      </c>
      <c r="O66" s="48">
        <v>0</v>
      </c>
      <c r="P66" s="48">
        <v>0</v>
      </c>
      <c r="Q66" s="48">
        <v>0</v>
      </c>
      <c r="R66" s="48">
        <v>0</v>
      </c>
      <c r="S66" s="48">
        <v>0</v>
      </c>
      <c r="T66" s="48">
        <v>0</v>
      </c>
      <c r="U66" s="48">
        <v>0</v>
      </c>
      <c r="V66" s="48">
        <v>0</v>
      </c>
      <c r="W66" s="48">
        <v>0</v>
      </c>
      <c r="X66" s="48">
        <v>0</v>
      </c>
      <c r="Y66" s="48">
        <v>0</v>
      </c>
      <c r="Z66" s="47" t="s">
        <v>224</v>
      </c>
      <c r="AA66" s="49" t="s">
        <v>41</v>
      </c>
      <c r="AB66" s="50" t="s">
        <v>225</v>
      </c>
      <c r="AC66" s="50" t="s">
        <v>218</v>
      </c>
      <c r="AD66" s="51"/>
    </row>
    <row r="67" spans="1:30" ht="116.25" x14ac:dyDescent="0.25">
      <c r="A67" s="37" t="s">
        <v>226</v>
      </c>
      <c r="B67" s="38" t="s">
        <v>227</v>
      </c>
      <c r="C67" s="39"/>
      <c r="D67" s="39"/>
      <c r="E67" s="39"/>
      <c r="F67" s="44">
        <v>0</v>
      </c>
      <c r="G67" s="44">
        <v>0</v>
      </c>
      <c r="H67" s="44">
        <v>0</v>
      </c>
      <c r="I67" s="44">
        <v>0</v>
      </c>
      <c r="J67" s="44">
        <v>0</v>
      </c>
      <c r="K67" s="44">
        <v>0</v>
      </c>
      <c r="L67" s="44">
        <v>0</v>
      </c>
      <c r="M67" s="44">
        <v>0</v>
      </c>
      <c r="N67" s="44">
        <v>0</v>
      </c>
      <c r="O67" s="44">
        <v>0</v>
      </c>
      <c r="P67" s="44">
        <v>0</v>
      </c>
      <c r="Q67" s="44">
        <v>0</v>
      </c>
      <c r="R67" s="44">
        <v>0</v>
      </c>
      <c r="S67" s="44">
        <v>0</v>
      </c>
      <c r="T67" s="44">
        <v>0</v>
      </c>
      <c r="U67" s="44">
        <v>0</v>
      </c>
      <c r="V67" s="44">
        <v>0</v>
      </c>
      <c r="W67" s="44">
        <v>0</v>
      </c>
      <c r="X67" s="44">
        <v>0</v>
      </c>
      <c r="Y67" s="44">
        <v>0</v>
      </c>
      <c r="Z67" s="39"/>
      <c r="AA67" s="41"/>
      <c r="AB67" s="42"/>
      <c r="AC67" s="42"/>
      <c r="AD67" s="43"/>
    </row>
    <row r="68" spans="1:30" ht="46.5" x14ac:dyDescent="0.25">
      <c r="A68" s="37" t="s">
        <v>228</v>
      </c>
      <c r="B68" s="38" t="s">
        <v>229</v>
      </c>
      <c r="C68" s="39" t="s">
        <v>215</v>
      </c>
      <c r="D68" s="39" t="s">
        <v>216</v>
      </c>
      <c r="E68" s="39" t="s">
        <v>46</v>
      </c>
      <c r="F68" s="40">
        <f>SUM(F69:F69)+8000</f>
        <v>8000</v>
      </c>
      <c r="G68" s="40">
        <f>SUM(G69:G69)+8000</f>
        <v>8000</v>
      </c>
      <c r="H68" s="40">
        <f t="shared" ref="H68:O68" si="42">SUM(H69:H69)</f>
        <v>0</v>
      </c>
      <c r="I68" s="40">
        <f t="shared" si="42"/>
        <v>0</v>
      </c>
      <c r="J68" s="40">
        <f t="shared" si="42"/>
        <v>0</v>
      </c>
      <c r="K68" s="40">
        <f t="shared" si="42"/>
        <v>0</v>
      </c>
      <c r="L68" s="40">
        <f t="shared" si="42"/>
        <v>0</v>
      </c>
      <c r="M68" s="40">
        <f t="shared" si="42"/>
        <v>0</v>
      </c>
      <c r="N68" s="40">
        <f t="shared" si="42"/>
        <v>0</v>
      </c>
      <c r="O68" s="40">
        <f t="shared" si="42"/>
        <v>0</v>
      </c>
      <c r="P68" s="40">
        <f>SUM(P69:P69)+7946</f>
        <v>7946</v>
      </c>
      <c r="Q68" s="40">
        <f>SUM(Q69:Q69)+7946</f>
        <v>7946</v>
      </c>
      <c r="R68" s="40">
        <f t="shared" ref="R68:Y68" si="43">SUM(R69:R69)</f>
        <v>0</v>
      </c>
      <c r="S68" s="40">
        <f t="shared" si="43"/>
        <v>0</v>
      </c>
      <c r="T68" s="40">
        <f t="shared" si="43"/>
        <v>0</v>
      </c>
      <c r="U68" s="40">
        <f t="shared" si="43"/>
        <v>0</v>
      </c>
      <c r="V68" s="40">
        <f t="shared" si="43"/>
        <v>0</v>
      </c>
      <c r="W68" s="40">
        <f t="shared" si="43"/>
        <v>0</v>
      </c>
      <c r="X68" s="40">
        <f t="shared" si="43"/>
        <v>0</v>
      </c>
      <c r="Y68" s="40">
        <f t="shared" si="43"/>
        <v>0</v>
      </c>
      <c r="Z68" s="39" t="s">
        <v>230</v>
      </c>
      <c r="AA68" s="41" t="s">
        <v>41</v>
      </c>
      <c r="AB68" s="42" t="s">
        <v>85</v>
      </c>
      <c r="AC68" s="42" t="s">
        <v>231</v>
      </c>
      <c r="AD68" s="43"/>
    </row>
    <row r="69" spans="1:30" ht="93" x14ac:dyDescent="0.25">
      <c r="A69" s="37" t="s">
        <v>232</v>
      </c>
      <c r="B69" s="38" t="s">
        <v>233</v>
      </c>
      <c r="C69" s="39"/>
      <c r="D69" s="39"/>
      <c r="E69" s="39"/>
      <c r="F69" s="44">
        <v>0</v>
      </c>
      <c r="G69" s="44">
        <v>0</v>
      </c>
      <c r="H69" s="44">
        <v>0</v>
      </c>
      <c r="I69" s="44">
        <v>0</v>
      </c>
      <c r="J69" s="44">
        <v>0</v>
      </c>
      <c r="K69" s="44">
        <v>0</v>
      </c>
      <c r="L69" s="44">
        <v>0</v>
      </c>
      <c r="M69" s="44">
        <v>0</v>
      </c>
      <c r="N69" s="44">
        <v>0</v>
      </c>
      <c r="O69" s="44">
        <v>0</v>
      </c>
      <c r="P69" s="44">
        <v>0</v>
      </c>
      <c r="Q69" s="44">
        <v>0</v>
      </c>
      <c r="R69" s="44">
        <v>0</v>
      </c>
      <c r="S69" s="44">
        <v>0</v>
      </c>
      <c r="T69" s="44">
        <v>0</v>
      </c>
      <c r="U69" s="44">
        <v>0</v>
      </c>
      <c r="V69" s="44">
        <v>0</v>
      </c>
      <c r="W69" s="44">
        <v>0</v>
      </c>
      <c r="X69" s="44">
        <v>0</v>
      </c>
      <c r="Y69" s="44">
        <v>0</v>
      </c>
      <c r="Z69" s="39"/>
      <c r="AA69" s="41"/>
      <c r="AB69" s="42"/>
      <c r="AC69" s="42"/>
      <c r="AD69" s="43"/>
    </row>
    <row r="70" spans="1:30" ht="67.5" x14ac:dyDescent="0.25">
      <c r="A70" s="30" t="s">
        <v>234</v>
      </c>
      <c r="B70" s="31" t="s">
        <v>235</v>
      </c>
      <c r="C70" s="32" t="s">
        <v>215</v>
      </c>
      <c r="D70" s="32" t="s">
        <v>216</v>
      </c>
      <c r="E70" s="32" t="s">
        <v>39</v>
      </c>
      <c r="F70" s="33">
        <f t="shared" ref="F70:Y70" si="44">SUM(F71:F71)</f>
        <v>21710</v>
      </c>
      <c r="G70" s="33">
        <f t="shared" si="44"/>
        <v>21710</v>
      </c>
      <c r="H70" s="33">
        <f t="shared" si="44"/>
        <v>0</v>
      </c>
      <c r="I70" s="33">
        <f t="shared" si="44"/>
        <v>0</v>
      </c>
      <c r="J70" s="33">
        <f t="shared" si="44"/>
        <v>0</v>
      </c>
      <c r="K70" s="33">
        <f t="shared" si="44"/>
        <v>0</v>
      </c>
      <c r="L70" s="33">
        <f t="shared" si="44"/>
        <v>0</v>
      </c>
      <c r="M70" s="33">
        <f t="shared" si="44"/>
        <v>0</v>
      </c>
      <c r="N70" s="33">
        <f t="shared" si="44"/>
        <v>0</v>
      </c>
      <c r="O70" s="33">
        <f t="shared" si="44"/>
        <v>0</v>
      </c>
      <c r="P70" s="33">
        <f t="shared" si="44"/>
        <v>21710</v>
      </c>
      <c r="Q70" s="33">
        <f t="shared" si="44"/>
        <v>21710</v>
      </c>
      <c r="R70" s="33">
        <f t="shared" si="44"/>
        <v>0</v>
      </c>
      <c r="S70" s="33">
        <f t="shared" si="44"/>
        <v>0</v>
      </c>
      <c r="T70" s="33">
        <f t="shared" si="44"/>
        <v>0</v>
      </c>
      <c r="U70" s="33">
        <f t="shared" si="44"/>
        <v>0</v>
      </c>
      <c r="V70" s="33">
        <f t="shared" si="44"/>
        <v>0</v>
      </c>
      <c r="W70" s="33">
        <f t="shared" si="44"/>
        <v>0</v>
      </c>
      <c r="X70" s="33">
        <f t="shared" si="44"/>
        <v>0</v>
      </c>
      <c r="Y70" s="33">
        <f t="shared" si="44"/>
        <v>0</v>
      </c>
      <c r="Z70" s="32" t="s">
        <v>236</v>
      </c>
      <c r="AA70" s="34" t="s">
        <v>41</v>
      </c>
      <c r="AB70" s="35" t="s">
        <v>42</v>
      </c>
      <c r="AC70" s="35" t="s">
        <v>42</v>
      </c>
      <c r="AD70" s="36"/>
    </row>
    <row r="71" spans="1:30" ht="69.75" x14ac:dyDescent="0.25">
      <c r="A71" s="37" t="s">
        <v>237</v>
      </c>
      <c r="B71" s="38" t="s">
        <v>238</v>
      </c>
      <c r="C71" s="39" t="s">
        <v>239</v>
      </c>
      <c r="D71" s="39" t="s">
        <v>216</v>
      </c>
      <c r="E71" s="39" t="s">
        <v>46</v>
      </c>
      <c r="F71" s="40">
        <f>SUM(F72:F73)+21710</f>
        <v>21710</v>
      </c>
      <c r="G71" s="40">
        <f>SUM(G72:G73)+21710</f>
        <v>21710</v>
      </c>
      <c r="H71" s="40">
        <f t="shared" ref="H71:O71" si="45">SUM(H72:H73)</f>
        <v>0</v>
      </c>
      <c r="I71" s="40">
        <f t="shared" si="45"/>
        <v>0</v>
      </c>
      <c r="J71" s="40">
        <f t="shared" si="45"/>
        <v>0</v>
      </c>
      <c r="K71" s="40">
        <f t="shared" si="45"/>
        <v>0</v>
      </c>
      <c r="L71" s="40">
        <f t="shared" si="45"/>
        <v>0</v>
      </c>
      <c r="M71" s="40">
        <f t="shared" si="45"/>
        <v>0</v>
      </c>
      <c r="N71" s="40">
        <f t="shared" si="45"/>
        <v>0</v>
      </c>
      <c r="O71" s="40">
        <f t="shared" si="45"/>
        <v>0</v>
      </c>
      <c r="P71" s="40">
        <f>SUM(P72:P73)+21710</f>
        <v>21710</v>
      </c>
      <c r="Q71" s="40">
        <f>SUM(Q72:Q73)+21710</f>
        <v>21710</v>
      </c>
      <c r="R71" s="40">
        <f t="shared" ref="R71:Y71" si="46">SUM(R72:R73)</f>
        <v>0</v>
      </c>
      <c r="S71" s="40">
        <f t="shared" si="46"/>
        <v>0</v>
      </c>
      <c r="T71" s="40">
        <f t="shared" si="46"/>
        <v>0</v>
      </c>
      <c r="U71" s="40">
        <f t="shared" si="46"/>
        <v>0</v>
      </c>
      <c r="V71" s="40">
        <f t="shared" si="46"/>
        <v>0</v>
      </c>
      <c r="W71" s="40">
        <f t="shared" si="46"/>
        <v>0</v>
      </c>
      <c r="X71" s="40">
        <f t="shared" si="46"/>
        <v>0</v>
      </c>
      <c r="Y71" s="40">
        <f t="shared" si="46"/>
        <v>0</v>
      </c>
      <c r="Z71" s="39" t="s">
        <v>240</v>
      </c>
      <c r="AA71" s="41" t="s">
        <v>41</v>
      </c>
      <c r="AB71" s="42" t="s">
        <v>56</v>
      </c>
      <c r="AC71" s="42" t="s">
        <v>56</v>
      </c>
      <c r="AD71" s="43"/>
    </row>
    <row r="72" spans="1:30" ht="46.5" x14ac:dyDescent="0.25">
      <c r="A72" s="45"/>
      <c r="B72" s="46"/>
      <c r="C72" s="47"/>
      <c r="D72" s="47"/>
      <c r="E72" s="47"/>
      <c r="F72" s="48">
        <v>0</v>
      </c>
      <c r="G72" s="48">
        <v>0</v>
      </c>
      <c r="H72" s="48">
        <v>0</v>
      </c>
      <c r="I72" s="48">
        <v>0</v>
      </c>
      <c r="J72" s="48">
        <v>0</v>
      </c>
      <c r="K72" s="48">
        <v>0</v>
      </c>
      <c r="L72" s="48">
        <v>0</v>
      </c>
      <c r="M72" s="48">
        <v>0</v>
      </c>
      <c r="N72" s="48">
        <v>0</v>
      </c>
      <c r="O72" s="48">
        <v>0</v>
      </c>
      <c r="P72" s="48">
        <v>0</v>
      </c>
      <c r="Q72" s="48">
        <v>0</v>
      </c>
      <c r="R72" s="48">
        <v>0</v>
      </c>
      <c r="S72" s="48">
        <v>0</v>
      </c>
      <c r="T72" s="48">
        <v>0</v>
      </c>
      <c r="U72" s="48">
        <v>0</v>
      </c>
      <c r="V72" s="48">
        <v>0</v>
      </c>
      <c r="W72" s="48">
        <v>0</v>
      </c>
      <c r="X72" s="48">
        <v>0</v>
      </c>
      <c r="Y72" s="48">
        <v>0</v>
      </c>
      <c r="Z72" s="47" t="s">
        <v>241</v>
      </c>
      <c r="AA72" s="49" t="s">
        <v>41</v>
      </c>
      <c r="AB72" s="50" t="s">
        <v>83</v>
      </c>
      <c r="AC72" s="50" t="s">
        <v>83</v>
      </c>
      <c r="AD72" s="51"/>
    </row>
    <row r="73" spans="1:30" ht="46.5" x14ac:dyDescent="0.25">
      <c r="A73" s="37" t="s">
        <v>242</v>
      </c>
      <c r="B73" s="38" t="s">
        <v>243</v>
      </c>
      <c r="C73" s="39"/>
      <c r="D73" s="39"/>
      <c r="E73" s="39"/>
      <c r="F73" s="44">
        <v>0</v>
      </c>
      <c r="G73" s="44">
        <v>0</v>
      </c>
      <c r="H73" s="44">
        <v>0</v>
      </c>
      <c r="I73" s="44">
        <v>0</v>
      </c>
      <c r="J73" s="44">
        <v>0</v>
      </c>
      <c r="K73" s="44">
        <v>0</v>
      </c>
      <c r="L73" s="44">
        <v>0</v>
      </c>
      <c r="M73" s="44">
        <v>0</v>
      </c>
      <c r="N73" s="44">
        <v>0</v>
      </c>
      <c r="O73" s="44">
        <v>0</v>
      </c>
      <c r="P73" s="44">
        <v>0</v>
      </c>
      <c r="Q73" s="44">
        <v>0</v>
      </c>
      <c r="R73" s="44">
        <v>0</v>
      </c>
      <c r="S73" s="44">
        <v>0</v>
      </c>
      <c r="T73" s="44">
        <v>0</v>
      </c>
      <c r="U73" s="44">
        <v>0</v>
      </c>
      <c r="V73" s="44">
        <v>0</v>
      </c>
      <c r="W73" s="44">
        <v>0</v>
      </c>
      <c r="X73" s="44">
        <v>0</v>
      </c>
      <c r="Y73" s="44">
        <v>0</v>
      </c>
      <c r="Z73" s="39"/>
      <c r="AA73" s="41"/>
      <c r="AB73" s="42"/>
      <c r="AC73" s="42"/>
      <c r="AD73" s="43"/>
    </row>
    <row r="74" spans="1:30" ht="67.5" x14ac:dyDescent="0.25">
      <c r="A74" s="23" t="s">
        <v>244</v>
      </c>
      <c r="B74" s="24" t="s">
        <v>245</v>
      </c>
      <c r="C74" s="25" t="s">
        <v>246</v>
      </c>
      <c r="D74" s="25" t="s">
        <v>247</v>
      </c>
      <c r="E74" s="25"/>
      <c r="F74" s="26">
        <f t="shared" ref="F74:O75" si="47">SUM(F75:F75)</f>
        <v>14140</v>
      </c>
      <c r="G74" s="26">
        <f t="shared" si="47"/>
        <v>0</v>
      </c>
      <c r="H74" s="26">
        <f t="shared" si="47"/>
        <v>0</v>
      </c>
      <c r="I74" s="26">
        <f t="shared" si="47"/>
        <v>0</v>
      </c>
      <c r="J74" s="26">
        <f t="shared" si="47"/>
        <v>0</v>
      </c>
      <c r="K74" s="26">
        <f t="shared" si="47"/>
        <v>0</v>
      </c>
      <c r="L74" s="26">
        <f t="shared" si="47"/>
        <v>0</v>
      </c>
      <c r="M74" s="26">
        <f t="shared" si="47"/>
        <v>14140</v>
      </c>
      <c r="N74" s="26">
        <f t="shared" si="47"/>
        <v>0</v>
      </c>
      <c r="O74" s="26">
        <f t="shared" si="47"/>
        <v>0</v>
      </c>
      <c r="P74" s="26">
        <f t="shared" ref="P74:Y75" si="48">SUM(P75:P75)</f>
        <v>11438.18</v>
      </c>
      <c r="Q74" s="26">
        <f t="shared" si="48"/>
        <v>0</v>
      </c>
      <c r="R74" s="26">
        <f t="shared" si="48"/>
        <v>0</v>
      </c>
      <c r="S74" s="26">
        <f t="shared" si="48"/>
        <v>0</v>
      </c>
      <c r="T74" s="26">
        <f t="shared" si="48"/>
        <v>0</v>
      </c>
      <c r="U74" s="26">
        <f t="shared" si="48"/>
        <v>0</v>
      </c>
      <c r="V74" s="26">
        <f t="shared" si="48"/>
        <v>0</v>
      </c>
      <c r="W74" s="26">
        <f t="shared" si="48"/>
        <v>0</v>
      </c>
      <c r="X74" s="26">
        <f t="shared" si="48"/>
        <v>0</v>
      </c>
      <c r="Y74" s="26">
        <f t="shared" si="48"/>
        <v>0</v>
      </c>
      <c r="Z74" s="25" t="s">
        <v>248</v>
      </c>
      <c r="AA74" s="27" t="s">
        <v>35</v>
      </c>
      <c r="AB74" s="28" t="s">
        <v>162</v>
      </c>
      <c r="AC74" s="28" t="s">
        <v>65</v>
      </c>
      <c r="AD74" s="29" t="s">
        <v>249</v>
      </c>
    </row>
    <row r="75" spans="1:30" ht="67.5" x14ac:dyDescent="0.25">
      <c r="A75" s="30" t="s">
        <v>250</v>
      </c>
      <c r="B75" s="31" t="s">
        <v>251</v>
      </c>
      <c r="C75" s="32" t="s">
        <v>246</v>
      </c>
      <c r="D75" s="32" t="s">
        <v>247</v>
      </c>
      <c r="E75" s="32" t="s">
        <v>39</v>
      </c>
      <c r="F75" s="33">
        <f t="shared" si="47"/>
        <v>14140</v>
      </c>
      <c r="G75" s="33">
        <f t="shared" si="47"/>
        <v>0</v>
      </c>
      <c r="H75" s="33">
        <f t="shared" si="47"/>
        <v>0</v>
      </c>
      <c r="I75" s="33">
        <f t="shared" si="47"/>
        <v>0</v>
      </c>
      <c r="J75" s="33">
        <f t="shared" si="47"/>
        <v>0</v>
      </c>
      <c r="K75" s="33">
        <f t="shared" si="47"/>
        <v>0</v>
      </c>
      <c r="L75" s="33">
        <f t="shared" si="47"/>
        <v>0</v>
      </c>
      <c r="M75" s="33">
        <f t="shared" si="47"/>
        <v>14140</v>
      </c>
      <c r="N75" s="33">
        <f t="shared" si="47"/>
        <v>0</v>
      </c>
      <c r="O75" s="33">
        <f t="shared" si="47"/>
        <v>0</v>
      </c>
      <c r="P75" s="33">
        <f t="shared" si="48"/>
        <v>11438.18</v>
      </c>
      <c r="Q75" s="33">
        <f t="shared" si="48"/>
        <v>0</v>
      </c>
      <c r="R75" s="33">
        <f t="shared" si="48"/>
        <v>0</v>
      </c>
      <c r="S75" s="33">
        <f t="shared" si="48"/>
        <v>0</v>
      </c>
      <c r="T75" s="33">
        <f t="shared" si="48"/>
        <v>0</v>
      </c>
      <c r="U75" s="33">
        <f t="shared" si="48"/>
        <v>0</v>
      </c>
      <c r="V75" s="33">
        <f t="shared" si="48"/>
        <v>0</v>
      </c>
      <c r="W75" s="33">
        <f t="shared" si="48"/>
        <v>0</v>
      </c>
      <c r="X75" s="33">
        <f t="shared" si="48"/>
        <v>0</v>
      </c>
      <c r="Y75" s="33">
        <f t="shared" si="48"/>
        <v>0</v>
      </c>
      <c r="Z75" s="32" t="s">
        <v>252</v>
      </c>
      <c r="AA75" s="34" t="s">
        <v>41</v>
      </c>
      <c r="AB75" s="35" t="s">
        <v>162</v>
      </c>
      <c r="AC75" s="35" t="s">
        <v>253</v>
      </c>
      <c r="AD75" s="36" t="s">
        <v>254</v>
      </c>
    </row>
    <row r="76" spans="1:30" ht="46.5" x14ac:dyDescent="0.25">
      <c r="A76" s="37" t="s">
        <v>255</v>
      </c>
      <c r="B76" s="38" t="s">
        <v>256</v>
      </c>
      <c r="C76" s="39" t="s">
        <v>246</v>
      </c>
      <c r="D76" s="39" t="s">
        <v>247</v>
      </c>
      <c r="E76" s="39" t="s">
        <v>257</v>
      </c>
      <c r="F76" s="40">
        <f>SUM(F77:F79)+14140</f>
        <v>14140</v>
      </c>
      <c r="G76" s="40">
        <f t="shared" ref="G76:L76" si="49">SUM(G77:G79)</f>
        <v>0</v>
      </c>
      <c r="H76" s="40">
        <f t="shared" si="49"/>
        <v>0</v>
      </c>
      <c r="I76" s="40">
        <f t="shared" si="49"/>
        <v>0</v>
      </c>
      <c r="J76" s="40">
        <f t="shared" si="49"/>
        <v>0</v>
      </c>
      <c r="K76" s="40">
        <f t="shared" si="49"/>
        <v>0</v>
      </c>
      <c r="L76" s="40">
        <f t="shared" si="49"/>
        <v>0</v>
      </c>
      <c r="M76" s="40">
        <f>SUM(M77:M79)+14140</f>
        <v>14140</v>
      </c>
      <c r="N76" s="40">
        <f>SUM(N77:N79)</f>
        <v>0</v>
      </c>
      <c r="O76" s="40">
        <f>SUM(O77:O79)</f>
        <v>0</v>
      </c>
      <c r="P76" s="40">
        <f>SUM(P77:P79)+11438.18</f>
        <v>11438.18</v>
      </c>
      <c r="Q76" s="40">
        <f t="shared" ref="Q76:Y76" si="50">SUM(Q77:Q79)</f>
        <v>0</v>
      </c>
      <c r="R76" s="40">
        <f t="shared" si="50"/>
        <v>0</v>
      </c>
      <c r="S76" s="40">
        <f t="shared" si="50"/>
        <v>0</v>
      </c>
      <c r="T76" s="40">
        <f t="shared" si="50"/>
        <v>0</v>
      </c>
      <c r="U76" s="40">
        <f t="shared" si="50"/>
        <v>0</v>
      </c>
      <c r="V76" s="40">
        <f t="shared" si="50"/>
        <v>0</v>
      </c>
      <c r="W76" s="40">
        <f t="shared" si="50"/>
        <v>0</v>
      </c>
      <c r="X76" s="40">
        <f t="shared" si="50"/>
        <v>0</v>
      </c>
      <c r="Y76" s="40">
        <f t="shared" si="50"/>
        <v>0</v>
      </c>
      <c r="Z76" s="39" t="s">
        <v>258</v>
      </c>
      <c r="AA76" s="41" t="s">
        <v>41</v>
      </c>
      <c r="AB76" s="42" t="s">
        <v>162</v>
      </c>
      <c r="AC76" s="42" t="s">
        <v>65</v>
      </c>
      <c r="AD76" s="43" t="s">
        <v>259</v>
      </c>
    </row>
    <row r="77" spans="1:30" ht="46.5" x14ac:dyDescent="0.25">
      <c r="A77" s="45"/>
      <c r="B77" s="46"/>
      <c r="C77" s="47"/>
      <c r="D77" s="47"/>
      <c r="E77" s="47"/>
      <c r="F77" s="48">
        <v>0</v>
      </c>
      <c r="G77" s="48">
        <v>0</v>
      </c>
      <c r="H77" s="48">
        <v>0</v>
      </c>
      <c r="I77" s="48">
        <v>0</v>
      </c>
      <c r="J77" s="48">
        <v>0</v>
      </c>
      <c r="K77" s="48">
        <v>0</v>
      </c>
      <c r="L77" s="48">
        <v>0</v>
      </c>
      <c r="M77" s="48">
        <v>0</v>
      </c>
      <c r="N77" s="48">
        <v>0</v>
      </c>
      <c r="O77" s="48">
        <v>0</v>
      </c>
      <c r="P77" s="48">
        <v>0</v>
      </c>
      <c r="Q77" s="48">
        <v>0</v>
      </c>
      <c r="R77" s="48">
        <v>0</v>
      </c>
      <c r="S77" s="48">
        <v>0</v>
      </c>
      <c r="T77" s="48">
        <v>0</v>
      </c>
      <c r="U77" s="48">
        <v>0</v>
      </c>
      <c r="V77" s="48">
        <v>0</v>
      </c>
      <c r="W77" s="48">
        <v>0</v>
      </c>
      <c r="X77" s="48">
        <v>0</v>
      </c>
      <c r="Y77" s="48">
        <v>0</v>
      </c>
      <c r="Z77" s="47" t="s">
        <v>260</v>
      </c>
      <c r="AA77" s="49" t="s">
        <v>41</v>
      </c>
      <c r="AB77" s="50" t="s">
        <v>162</v>
      </c>
      <c r="AC77" s="50" t="s">
        <v>107</v>
      </c>
      <c r="AD77" s="51" t="s">
        <v>249</v>
      </c>
    </row>
    <row r="78" spans="1:30" ht="46.5" x14ac:dyDescent="0.25">
      <c r="A78" s="45"/>
      <c r="B78" s="46"/>
      <c r="C78" s="47"/>
      <c r="D78" s="47"/>
      <c r="E78" s="47"/>
      <c r="F78" s="48">
        <v>0</v>
      </c>
      <c r="G78" s="48">
        <v>0</v>
      </c>
      <c r="H78" s="48">
        <v>0</v>
      </c>
      <c r="I78" s="48">
        <v>0</v>
      </c>
      <c r="J78" s="48">
        <v>0</v>
      </c>
      <c r="K78" s="48">
        <v>0</v>
      </c>
      <c r="L78" s="48">
        <v>0</v>
      </c>
      <c r="M78" s="48">
        <v>0</v>
      </c>
      <c r="N78" s="48">
        <v>0</v>
      </c>
      <c r="O78" s="48">
        <v>0</v>
      </c>
      <c r="P78" s="48">
        <v>0</v>
      </c>
      <c r="Q78" s="48">
        <v>0</v>
      </c>
      <c r="R78" s="48">
        <v>0</v>
      </c>
      <c r="S78" s="48">
        <v>0</v>
      </c>
      <c r="T78" s="48">
        <v>0</v>
      </c>
      <c r="U78" s="48">
        <v>0</v>
      </c>
      <c r="V78" s="48">
        <v>0</v>
      </c>
      <c r="W78" s="48">
        <v>0</v>
      </c>
      <c r="X78" s="48">
        <v>0</v>
      </c>
      <c r="Y78" s="48">
        <v>0</v>
      </c>
      <c r="Z78" s="47" t="s">
        <v>261</v>
      </c>
      <c r="AA78" s="49" t="s">
        <v>41</v>
      </c>
      <c r="AB78" s="50" t="s">
        <v>83</v>
      </c>
      <c r="AC78" s="50" t="s">
        <v>178</v>
      </c>
      <c r="AD78" s="51" t="s">
        <v>262</v>
      </c>
    </row>
    <row r="79" spans="1:30" ht="69.75" x14ac:dyDescent="0.25">
      <c r="A79" s="37" t="s">
        <v>263</v>
      </c>
      <c r="B79" s="38" t="s">
        <v>264</v>
      </c>
      <c r="C79" s="39"/>
      <c r="D79" s="39"/>
      <c r="E79" s="39"/>
      <c r="F79" s="44">
        <v>0</v>
      </c>
      <c r="G79" s="44">
        <v>0</v>
      </c>
      <c r="H79" s="44">
        <v>0</v>
      </c>
      <c r="I79" s="44">
        <v>0</v>
      </c>
      <c r="J79" s="44">
        <v>0</v>
      </c>
      <c r="K79" s="44">
        <v>0</v>
      </c>
      <c r="L79" s="44">
        <v>0</v>
      </c>
      <c r="M79" s="44">
        <v>0</v>
      </c>
      <c r="N79" s="44">
        <v>0</v>
      </c>
      <c r="O79" s="44">
        <v>0</v>
      </c>
      <c r="P79" s="44">
        <v>0</v>
      </c>
      <c r="Q79" s="44">
        <v>0</v>
      </c>
      <c r="R79" s="44">
        <v>0</v>
      </c>
      <c r="S79" s="44">
        <v>0</v>
      </c>
      <c r="T79" s="44">
        <v>0</v>
      </c>
      <c r="U79" s="44">
        <v>0</v>
      </c>
      <c r="V79" s="44">
        <v>0</v>
      </c>
      <c r="W79" s="44">
        <v>0</v>
      </c>
      <c r="X79" s="44">
        <v>0</v>
      </c>
      <c r="Y79" s="44">
        <v>0</v>
      </c>
      <c r="Z79" s="39"/>
      <c r="AA79" s="41"/>
      <c r="AB79" s="42"/>
      <c r="AC79" s="42"/>
      <c r="AD79" s="43"/>
    </row>
    <row r="80" spans="1:30" ht="45" x14ac:dyDescent="0.25">
      <c r="A80" s="23" t="s">
        <v>265</v>
      </c>
      <c r="B80" s="24" t="s">
        <v>266</v>
      </c>
      <c r="C80" s="25" t="s">
        <v>215</v>
      </c>
      <c r="D80" s="25" t="s">
        <v>216</v>
      </c>
      <c r="E80" s="25"/>
      <c r="F80" s="26">
        <f t="shared" ref="F80:O81" si="51">SUM(F81:F81)</f>
        <v>40000</v>
      </c>
      <c r="G80" s="26">
        <f t="shared" si="51"/>
        <v>40000</v>
      </c>
      <c r="H80" s="26">
        <f t="shared" si="51"/>
        <v>0</v>
      </c>
      <c r="I80" s="26">
        <f t="shared" si="51"/>
        <v>0</v>
      </c>
      <c r="J80" s="26">
        <f t="shared" si="51"/>
        <v>0</v>
      </c>
      <c r="K80" s="26">
        <f t="shared" si="51"/>
        <v>0</v>
      </c>
      <c r="L80" s="26">
        <f t="shared" si="51"/>
        <v>0</v>
      </c>
      <c r="M80" s="26">
        <f t="shared" si="51"/>
        <v>0</v>
      </c>
      <c r="N80" s="26">
        <f t="shared" si="51"/>
        <v>0</v>
      </c>
      <c r="O80" s="26">
        <f t="shared" si="51"/>
        <v>0</v>
      </c>
      <c r="P80" s="26">
        <f t="shared" ref="P80:Y81" si="52">SUM(P81:P81)</f>
        <v>40000</v>
      </c>
      <c r="Q80" s="26">
        <f t="shared" si="52"/>
        <v>40000</v>
      </c>
      <c r="R80" s="26">
        <f t="shared" si="52"/>
        <v>0</v>
      </c>
      <c r="S80" s="26">
        <f t="shared" si="52"/>
        <v>0</v>
      </c>
      <c r="T80" s="26">
        <f t="shared" si="52"/>
        <v>0</v>
      </c>
      <c r="U80" s="26">
        <f t="shared" si="52"/>
        <v>0</v>
      </c>
      <c r="V80" s="26">
        <f t="shared" si="52"/>
        <v>0</v>
      </c>
      <c r="W80" s="26">
        <f t="shared" si="52"/>
        <v>0</v>
      </c>
      <c r="X80" s="26">
        <f t="shared" si="52"/>
        <v>0</v>
      </c>
      <c r="Y80" s="26">
        <f t="shared" si="52"/>
        <v>0</v>
      </c>
      <c r="Z80" s="25" t="s">
        <v>267</v>
      </c>
      <c r="AA80" s="27" t="s">
        <v>35</v>
      </c>
      <c r="AB80" s="28" t="s">
        <v>268</v>
      </c>
      <c r="AC80" s="28" t="s">
        <v>268</v>
      </c>
      <c r="AD80" s="29"/>
    </row>
    <row r="81" spans="1:30" ht="67.5" x14ac:dyDescent="0.25">
      <c r="A81" s="30" t="s">
        <v>269</v>
      </c>
      <c r="B81" s="31" t="s">
        <v>270</v>
      </c>
      <c r="C81" s="32" t="s">
        <v>215</v>
      </c>
      <c r="D81" s="32" t="s">
        <v>216</v>
      </c>
      <c r="E81" s="32" t="s">
        <v>39</v>
      </c>
      <c r="F81" s="33">
        <f t="shared" si="51"/>
        <v>40000</v>
      </c>
      <c r="G81" s="33">
        <f t="shared" si="51"/>
        <v>40000</v>
      </c>
      <c r="H81" s="33">
        <f t="shared" si="51"/>
        <v>0</v>
      </c>
      <c r="I81" s="33">
        <f t="shared" si="51"/>
        <v>0</v>
      </c>
      <c r="J81" s="33">
        <f t="shared" si="51"/>
        <v>0</v>
      </c>
      <c r="K81" s="33">
        <f t="shared" si="51"/>
        <v>0</v>
      </c>
      <c r="L81" s="33">
        <f t="shared" si="51"/>
        <v>0</v>
      </c>
      <c r="M81" s="33">
        <f t="shared" si="51"/>
        <v>0</v>
      </c>
      <c r="N81" s="33">
        <f t="shared" si="51"/>
        <v>0</v>
      </c>
      <c r="O81" s="33">
        <f t="shared" si="51"/>
        <v>0</v>
      </c>
      <c r="P81" s="33">
        <f t="shared" si="52"/>
        <v>40000</v>
      </c>
      <c r="Q81" s="33">
        <f t="shared" si="52"/>
        <v>40000</v>
      </c>
      <c r="R81" s="33">
        <f t="shared" si="52"/>
        <v>0</v>
      </c>
      <c r="S81" s="33">
        <f t="shared" si="52"/>
        <v>0</v>
      </c>
      <c r="T81" s="33">
        <f t="shared" si="52"/>
        <v>0</v>
      </c>
      <c r="U81" s="33">
        <f t="shared" si="52"/>
        <v>0</v>
      </c>
      <c r="V81" s="33">
        <f t="shared" si="52"/>
        <v>0</v>
      </c>
      <c r="W81" s="33">
        <f t="shared" si="52"/>
        <v>0</v>
      </c>
      <c r="X81" s="33">
        <f t="shared" si="52"/>
        <v>0</v>
      </c>
      <c r="Y81" s="33">
        <f t="shared" si="52"/>
        <v>0</v>
      </c>
      <c r="Z81" s="32" t="s">
        <v>271</v>
      </c>
      <c r="AA81" s="34" t="s">
        <v>41</v>
      </c>
      <c r="AB81" s="35" t="s">
        <v>56</v>
      </c>
      <c r="AC81" s="35" t="s">
        <v>42</v>
      </c>
      <c r="AD81" s="36"/>
    </row>
    <row r="82" spans="1:30" ht="93" x14ac:dyDescent="0.25">
      <c r="A82" s="37" t="s">
        <v>272</v>
      </c>
      <c r="B82" s="38" t="s">
        <v>273</v>
      </c>
      <c r="C82" s="39" t="s">
        <v>215</v>
      </c>
      <c r="D82" s="39" t="s">
        <v>216</v>
      </c>
      <c r="E82" s="39" t="s">
        <v>46</v>
      </c>
      <c r="F82" s="40">
        <f>SUM(F83:F83)+40000</f>
        <v>40000</v>
      </c>
      <c r="G82" s="40">
        <f>SUM(G83:G83)+40000</f>
        <v>40000</v>
      </c>
      <c r="H82" s="40">
        <f t="shared" ref="H82:O82" si="53">SUM(H83:H83)</f>
        <v>0</v>
      </c>
      <c r="I82" s="40">
        <f t="shared" si="53"/>
        <v>0</v>
      </c>
      <c r="J82" s="40">
        <f t="shared" si="53"/>
        <v>0</v>
      </c>
      <c r="K82" s="40">
        <f t="shared" si="53"/>
        <v>0</v>
      </c>
      <c r="L82" s="40">
        <f t="shared" si="53"/>
        <v>0</v>
      </c>
      <c r="M82" s="40">
        <f t="shared" si="53"/>
        <v>0</v>
      </c>
      <c r="N82" s="40">
        <f t="shared" si="53"/>
        <v>0</v>
      </c>
      <c r="O82" s="40">
        <f t="shared" si="53"/>
        <v>0</v>
      </c>
      <c r="P82" s="40">
        <f>SUM(P83:P83)+40000</f>
        <v>40000</v>
      </c>
      <c r="Q82" s="40">
        <f>SUM(Q83:Q83)+40000</f>
        <v>40000</v>
      </c>
      <c r="R82" s="40">
        <f t="shared" ref="R82:Y82" si="54">SUM(R83:R83)</f>
        <v>0</v>
      </c>
      <c r="S82" s="40">
        <f t="shared" si="54"/>
        <v>0</v>
      </c>
      <c r="T82" s="40">
        <f t="shared" si="54"/>
        <v>0</v>
      </c>
      <c r="U82" s="40">
        <f t="shared" si="54"/>
        <v>0</v>
      </c>
      <c r="V82" s="40">
        <f t="shared" si="54"/>
        <v>0</v>
      </c>
      <c r="W82" s="40">
        <f t="shared" si="54"/>
        <v>0</v>
      </c>
      <c r="X82" s="40">
        <f t="shared" si="54"/>
        <v>0</v>
      </c>
      <c r="Y82" s="40">
        <f t="shared" si="54"/>
        <v>0</v>
      </c>
      <c r="Z82" s="39" t="s">
        <v>274</v>
      </c>
      <c r="AA82" s="41" t="s">
        <v>41</v>
      </c>
      <c r="AB82" s="42" t="s">
        <v>56</v>
      </c>
      <c r="AC82" s="42" t="s">
        <v>42</v>
      </c>
      <c r="AD82" s="43"/>
    </row>
    <row r="83" spans="1:30" ht="46.5" x14ac:dyDescent="0.25">
      <c r="A83" s="37" t="s">
        <v>275</v>
      </c>
      <c r="B83" s="38" t="s">
        <v>276</v>
      </c>
      <c r="C83" s="39"/>
      <c r="D83" s="39"/>
      <c r="E83" s="39"/>
      <c r="F83" s="44">
        <v>0</v>
      </c>
      <c r="G83" s="44">
        <v>0</v>
      </c>
      <c r="H83" s="44">
        <v>0</v>
      </c>
      <c r="I83" s="44">
        <v>0</v>
      </c>
      <c r="J83" s="44">
        <v>0</v>
      </c>
      <c r="K83" s="44">
        <v>0</v>
      </c>
      <c r="L83" s="44">
        <v>0</v>
      </c>
      <c r="M83" s="44">
        <v>0</v>
      </c>
      <c r="N83" s="44">
        <v>0</v>
      </c>
      <c r="O83" s="44">
        <v>0</v>
      </c>
      <c r="P83" s="44">
        <v>0</v>
      </c>
      <c r="Q83" s="44">
        <v>0</v>
      </c>
      <c r="R83" s="44">
        <v>0</v>
      </c>
      <c r="S83" s="44">
        <v>0</v>
      </c>
      <c r="T83" s="44">
        <v>0</v>
      </c>
      <c r="U83" s="44">
        <v>0</v>
      </c>
      <c r="V83" s="44">
        <v>0</v>
      </c>
      <c r="W83" s="44">
        <v>0</v>
      </c>
      <c r="X83" s="44">
        <v>0</v>
      </c>
      <c r="Y83" s="44">
        <v>0</v>
      </c>
      <c r="Z83" s="39"/>
      <c r="AA83" s="41"/>
      <c r="AB83" s="42"/>
      <c r="AC83" s="42"/>
      <c r="AD83" s="43"/>
    </row>
    <row r="84" spans="1:30" ht="90" x14ac:dyDescent="0.25">
      <c r="A84" s="23" t="s">
        <v>277</v>
      </c>
      <c r="B84" s="24" t="s">
        <v>278</v>
      </c>
      <c r="C84" s="25" t="s">
        <v>29</v>
      </c>
      <c r="D84" s="25" t="s">
        <v>33</v>
      </c>
      <c r="E84" s="25"/>
      <c r="F84" s="26">
        <f t="shared" ref="F84:O85" si="55">SUM(F85:F85)</f>
        <v>40500.230000000003</v>
      </c>
      <c r="G84" s="26">
        <f t="shared" si="55"/>
        <v>0</v>
      </c>
      <c r="H84" s="26">
        <f t="shared" si="55"/>
        <v>0</v>
      </c>
      <c r="I84" s="26">
        <f t="shared" si="55"/>
        <v>0</v>
      </c>
      <c r="J84" s="26">
        <f t="shared" si="55"/>
        <v>0</v>
      </c>
      <c r="K84" s="26">
        <f t="shared" si="55"/>
        <v>0</v>
      </c>
      <c r="L84" s="26">
        <f t="shared" si="55"/>
        <v>40500.230000000003</v>
      </c>
      <c r="M84" s="26">
        <f t="shared" si="55"/>
        <v>0</v>
      </c>
      <c r="N84" s="26">
        <f t="shared" si="55"/>
        <v>0</v>
      </c>
      <c r="O84" s="26">
        <f t="shared" si="55"/>
        <v>0</v>
      </c>
      <c r="P84" s="26">
        <f t="shared" ref="P84:Y85" si="56">SUM(P85:P85)</f>
        <v>40500.230000000003</v>
      </c>
      <c r="Q84" s="26">
        <f t="shared" si="56"/>
        <v>0</v>
      </c>
      <c r="R84" s="26">
        <f t="shared" si="56"/>
        <v>0</v>
      </c>
      <c r="S84" s="26">
        <f t="shared" si="56"/>
        <v>0</v>
      </c>
      <c r="T84" s="26">
        <f t="shared" si="56"/>
        <v>0</v>
      </c>
      <c r="U84" s="26">
        <f t="shared" si="56"/>
        <v>0</v>
      </c>
      <c r="V84" s="26">
        <f t="shared" si="56"/>
        <v>40500.230000000003</v>
      </c>
      <c r="W84" s="26">
        <f t="shared" si="56"/>
        <v>0</v>
      </c>
      <c r="X84" s="26">
        <f t="shared" si="56"/>
        <v>0</v>
      </c>
      <c r="Y84" s="26">
        <f t="shared" si="56"/>
        <v>0</v>
      </c>
      <c r="Z84" s="25" t="s">
        <v>279</v>
      </c>
      <c r="AA84" s="27" t="s">
        <v>35</v>
      </c>
      <c r="AB84" s="28" t="s">
        <v>280</v>
      </c>
      <c r="AC84" s="28" t="s">
        <v>280</v>
      </c>
      <c r="AD84" s="29"/>
    </row>
    <row r="85" spans="1:30" ht="90" x14ac:dyDescent="0.25">
      <c r="A85" s="30" t="s">
        <v>281</v>
      </c>
      <c r="B85" s="31" t="s">
        <v>282</v>
      </c>
      <c r="C85" s="32" t="s">
        <v>29</v>
      </c>
      <c r="D85" s="32" t="s">
        <v>33</v>
      </c>
      <c r="E85" s="32" t="s">
        <v>283</v>
      </c>
      <c r="F85" s="33">
        <f t="shared" si="55"/>
        <v>40500.230000000003</v>
      </c>
      <c r="G85" s="33">
        <f t="shared" si="55"/>
        <v>0</v>
      </c>
      <c r="H85" s="33">
        <f t="shared" si="55"/>
        <v>0</v>
      </c>
      <c r="I85" s="33">
        <f t="shared" si="55"/>
        <v>0</v>
      </c>
      <c r="J85" s="33">
        <f t="shared" si="55"/>
        <v>0</v>
      </c>
      <c r="K85" s="33">
        <f t="shared" si="55"/>
        <v>0</v>
      </c>
      <c r="L85" s="33">
        <f t="shared" si="55"/>
        <v>40500.230000000003</v>
      </c>
      <c r="M85" s="33">
        <f t="shared" si="55"/>
        <v>0</v>
      </c>
      <c r="N85" s="33">
        <f t="shared" si="55"/>
        <v>0</v>
      </c>
      <c r="O85" s="33">
        <f t="shared" si="55"/>
        <v>0</v>
      </c>
      <c r="P85" s="33">
        <f t="shared" si="56"/>
        <v>40500.230000000003</v>
      </c>
      <c r="Q85" s="33">
        <f t="shared" si="56"/>
        <v>0</v>
      </c>
      <c r="R85" s="33">
        <f t="shared" si="56"/>
        <v>0</v>
      </c>
      <c r="S85" s="33">
        <f t="shared" si="56"/>
        <v>0</v>
      </c>
      <c r="T85" s="33">
        <f t="shared" si="56"/>
        <v>0</v>
      </c>
      <c r="U85" s="33">
        <f t="shared" si="56"/>
        <v>0</v>
      </c>
      <c r="V85" s="33">
        <f t="shared" si="56"/>
        <v>40500.230000000003</v>
      </c>
      <c r="W85" s="33">
        <f t="shared" si="56"/>
        <v>0</v>
      </c>
      <c r="X85" s="33">
        <f t="shared" si="56"/>
        <v>0</v>
      </c>
      <c r="Y85" s="33">
        <f t="shared" si="56"/>
        <v>0</v>
      </c>
      <c r="Z85" s="32" t="s">
        <v>284</v>
      </c>
      <c r="AA85" s="34" t="s">
        <v>35</v>
      </c>
      <c r="AB85" s="35" t="s">
        <v>285</v>
      </c>
      <c r="AC85" s="35" t="s">
        <v>285</v>
      </c>
      <c r="AD85" s="36"/>
    </row>
    <row r="86" spans="1:30" ht="46.5" x14ac:dyDescent="0.25">
      <c r="A86" s="37" t="s">
        <v>286</v>
      </c>
      <c r="B86" s="38" t="s">
        <v>287</v>
      </c>
      <c r="C86" s="39" t="s">
        <v>29</v>
      </c>
      <c r="D86" s="39" t="s">
        <v>91</v>
      </c>
      <c r="E86" s="39" t="s">
        <v>288</v>
      </c>
      <c r="F86" s="40">
        <f>SUM(F87:F87)+40500.23</f>
        <v>40500.230000000003</v>
      </c>
      <c r="G86" s="40">
        <f>SUM(G87:G87)</f>
        <v>0</v>
      </c>
      <c r="H86" s="40">
        <f>SUM(H87:H87)</f>
        <v>0</v>
      </c>
      <c r="I86" s="40">
        <f>SUM(I87:I87)</f>
        <v>0</v>
      </c>
      <c r="J86" s="40">
        <f>SUM(J87:J87)</f>
        <v>0</v>
      </c>
      <c r="K86" s="40">
        <f>SUM(K87:K87)</f>
        <v>0</v>
      </c>
      <c r="L86" s="40">
        <f>SUM(L87:L87)+40500.23</f>
        <v>40500.230000000003</v>
      </c>
      <c r="M86" s="40">
        <f>SUM(M87:M87)</f>
        <v>0</v>
      </c>
      <c r="N86" s="40">
        <f>SUM(N87:N87)</f>
        <v>0</v>
      </c>
      <c r="O86" s="40">
        <f>SUM(O87:O87)</f>
        <v>0</v>
      </c>
      <c r="P86" s="40">
        <f>SUM(P87:P87)+40500.23</f>
        <v>40500.230000000003</v>
      </c>
      <c r="Q86" s="40">
        <f>SUM(Q87:Q87)</f>
        <v>0</v>
      </c>
      <c r="R86" s="40">
        <f>SUM(R87:R87)</f>
        <v>0</v>
      </c>
      <c r="S86" s="40">
        <f>SUM(S87:S87)</f>
        <v>0</v>
      </c>
      <c r="T86" s="40">
        <f>SUM(T87:T87)</f>
        <v>0</v>
      </c>
      <c r="U86" s="40">
        <f>SUM(U87:U87)</f>
        <v>0</v>
      </c>
      <c r="V86" s="40">
        <f>SUM(V87:V87)+40500.23</f>
        <v>40500.230000000003</v>
      </c>
      <c r="W86" s="40">
        <f>SUM(W87:W87)</f>
        <v>0</v>
      </c>
      <c r="X86" s="40">
        <f>SUM(X87:X87)</f>
        <v>0</v>
      </c>
      <c r="Y86" s="40">
        <f>SUM(Y87:Y87)</f>
        <v>0</v>
      </c>
      <c r="Z86" s="39" t="s">
        <v>289</v>
      </c>
      <c r="AA86" s="41" t="s">
        <v>41</v>
      </c>
      <c r="AB86" s="42" t="s">
        <v>290</v>
      </c>
      <c r="AC86" s="42" t="s">
        <v>290</v>
      </c>
      <c r="AD86" s="43"/>
    </row>
    <row r="87" spans="1:30" ht="46.5" x14ac:dyDescent="0.25">
      <c r="A87" s="37" t="s">
        <v>291</v>
      </c>
      <c r="B87" s="38" t="s">
        <v>292</v>
      </c>
      <c r="C87" s="39"/>
      <c r="D87" s="39"/>
      <c r="E87" s="39"/>
      <c r="F87" s="44">
        <v>0</v>
      </c>
      <c r="G87" s="44">
        <v>0</v>
      </c>
      <c r="H87" s="44">
        <v>0</v>
      </c>
      <c r="I87" s="44">
        <v>0</v>
      </c>
      <c r="J87" s="44">
        <v>0</v>
      </c>
      <c r="K87" s="44">
        <v>0</v>
      </c>
      <c r="L87" s="44">
        <v>0</v>
      </c>
      <c r="M87" s="44">
        <v>0</v>
      </c>
      <c r="N87" s="44">
        <v>0</v>
      </c>
      <c r="O87" s="44">
        <v>0</v>
      </c>
      <c r="P87" s="44">
        <v>0</v>
      </c>
      <c r="Q87" s="44">
        <v>0</v>
      </c>
      <c r="R87" s="44">
        <v>0</v>
      </c>
      <c r="S87" s="44">
        <v>0</v>
      </c>
      <c r="T87" s="44">
        <v>0</v>
      </c>
      <c r="U87" s="44">
        <v>0</v>
      </c>
      <c r="V87" s="44">
        <v>0</v>
      </c>
      <c r="W87" s="44">
        <v>0</v>
      </c>
      <c r="X87" s="44">
        <v>0</v>
      </c>
      <c r="Y87" s="44">
        <v>0</v>
      </c>
      <c r="Z87" s="39"/>
      <c r="AA87" s="41"/>
      <c r="AB87" s="42"/>
      <c r="AC87" s="42"/>
      <c r="AD87" s="43"/>
    </row>
    <row r="88" spans="1:30" ht="90" x14ac:dyDescent="0.25">
      <c r="A88" s="23" t="s">
        <v>293</v>
      </c>
      <c r="B88" s="24" t="s">
        <v>294</v>
      </c>
      <c r="C88" s="25" t="s">
        <v>29</v>
      </c>
      <c r="D88" s="25" t="s">
        <v>33</v>
      </c>
      <c r="E88" s="25"/>
      <c r="F88" s="26">
        <f t="shared" ref="F88:Y88" si="57">SUM(F89:F89)</f>
        <v>0</v>
      </c>
      <c r="G88" s="26">
        <f t="shared" si="57"/>
        <v>0</v>
      </c>
      <c r="H88" s="26">
        <f t="shared" si="57"/>
        <v>0</v>
      </c>
      <c r="I88" s="26">
        <f t="shared" si="57"/>
        <v>0</v>
      </c>
      <c r="J88" s="26">
        <f t="shared" si="57"/>
        <v>0</v>
      </c>
      <c r="K88" s="26">
        <f t="shared" si="57"/>
        <v>0</v>
      </c>
      <c r="L88" s="26">
        <f t="shared" si="57"/>
        <v>0</v>
      </c>
      <c r="M88" s="26">
        <f t="shared" si="57"/>
        <v>0</v>
      </c>
      <c r="N88" s="26">
        <f t="shared" si="57"/>
        <v>0</v>
      </c>
      <c r="O88" s="26">
        <f t="shared" si="57"/>
        <v>0</v>
      </c>
      <c r="P88" s="26">
        <f t="shared" si="57"/>
        <v>0</v>
      </c>
      <c r="Q88" s="26">
        <f t="shared" si="57"/>
        <v>0</v>
      </c>
      <c r="R88" s="26">
        <f t="shared" si="57"/>
        <v>0</v>
      </c>
      <c r="S88" s="26">
        <f t="shared" si="57"/>
        <v>0</v>
      </c>
      <c r="T88" s="26">
        <f t="shared" si="57"/>
        <v>0</v>
      </c>
      <c r="U88" s="26">
        <f t="shared" si="57"/>
        <v>0</v>
      </c>
      <c r="V88" s="26">
        <f t="shared" si="57"/>
        <v>0</v>
      </c>
      <c r="W88" s="26">
        <f t="shared" si="57"/>
        <v>0</v>
      </c>
      <c r="X88" s="26">
        <f t="shared" si="57"/>
        <v>0</v>
      </c>
      <c r="Y88" s="26">
        <f t="shared" si="57"/>
        <v>0</v>
      </c>
      <c r="Z88" s="25" t="s">
        <v>295</v>
      </c>
      <c r="AA88" s="27" t="s">
        <v>35</v>
      </c>
      <c r="AB88" s="28" t="s">
        <v>268</v>
      </c>
      <c r="AC88" s="28" t="s">
        <v>268</v>
      </c>
      <c r="AD88" s="29"/>
    </row>
    <row r="89" spans="1:30" ht="67.5" x14ac:dyDescent="0.25">
      <c r="A89" s="30" t="s">
        <v>296</v>
      </c>
      <c r="B89" s="31" t="s">
        <v>297</v>
      </c>
      <c r="C89" s="32" t="s">
        <v>29</v>
      </c>
      <c r="D89" s="32" t="s">
        <v>33</v>
      </c>
      <c r="E89" s="32" t="s">
        <v>283</v>
      </c>
      <c r="F89" s="33">
        <f t="shared" ref="F89:Y89" si="58">F90+F92</f>
        <v>0</v>
      </c>
      <c r="G89" s="33">
        <f t="shared" si="58"/>
        <v>0</v>
      </c>
      <c r="H89" s="33">
        <f t="shared" si="58"/>
        <v>0</v>
      </c>
      <c r="I89" s="33">
        <f t="shared" si="58"/>
        <v>0</v>
      </c>
      <c r="J89" s="33">
        <f t="shared" si="58"/>
        <v>0</v>
      </c>
      <c r="K89" s="33">
        <f t="shared" si="58"/>
        <v>0</v>
      </c>
      <c r="L89" s="33">
        <f t="shared" si="58"/>
        <v>0</v>
      </c>
      <c r="M89" s="33">
        <f t="shared" si="58"/>
        <v>0</v>
      </c>
      <c r="N89" s="33">
        <f t="shared" si="58"/>
        <v>0</v>
      </c>
      <c r="O89" s="33">
        <f t="shared" si="58"/>
        <v>0</v>
      </c>
      <c r="P89" s="33">
        <f t="shared" si="58"/>
        <v>0</v>
      </c>
      <c r="Q89" s="33">
        <f t="shared" si="58"/>
        <v>0</v>
      </c>
      <c r="R89" s="33">
        <f t="shared" si="58"/>
        <v>0</v>
      </c>
      <c r="S89" s="33">
        <f t="shared" si="58"/>
        <v>0</v>
      </c>
      <c r="T89" s="33">
        <f t="shared" si="58"/>
        <v>0</v>
      </c>
      <c r="U89" s="33">
        <f t="shared" si="58"/>
        <v>0</v>
      </c>
      <c r="V89" s="33">
        <f t="shared" si="58"/>
        <v>0</v>
      </c>
      <c r="W89" s="33">
        <f t="shared" si="58"/>
        <v>0</v>
      </c>
      <c r="X89" s="33">
        <f t="shared" si="58"/>
        <v>0</v>
      </c>
      <c r="Y89" s="33">
        <f t="shared" si="58"/>
        <v>0</v>
      </c>
      <c r="Z89" s="32" t="s">
        <v>298</v>
      </c>
      <c r="AA89" s="34" t="s">
        <v>35</v>
      </c>
      <c r="AB89" s="35" t="s">
        <v>299</v>
      </c>
      <c r="AC89" s="35" t="s">
        <v>299</v>
      </c>
      <c r="AD89" s="36"/>
    </row>
    <row r="90" spans="1:30" ht="46.5" x14ac:dyDescent="0.25">
      <c r="A90" s="37" t="s">
        <v>300</v>
      </c>
      <c r="B90" s="38" t="s">
        <v>301</v>
      </c>
      <c r="C90" s="39" t="s">
        <v>29</v>
      </c>
      <c r="D90" s="39" t="s">
        <v>45</v>
      </c>
      <c r="E90" s="39" t="s">
        <v>288</v>
      </c>
      <c r="F90" s="40">
        <f t="shared" ref="F90:Y90" si="59">SUM(F91:F91)</f>
        <v>0</v>
      </c>
      <c r="G90" s="40">
        <f t="shared" si="59"/>
        <v>0</v>
      </c>
      <c r="H90" s="40">
        <f t="shared" si="59"/>
        <v>0</v>
      </c>
      <c r="I90" s="40">
        <f t="shared" si="59"/>
        <v>0</v>
      </c>
      <c r="J90" s="40">
        <f t="shared" si="59"/>
        <v>0</v>
      </c>
      <c r="K90" s="40">
        <f t="shared" si="59"/>
        <v>0</v>
      </c>
      <c r="L90" s="40">
        <f t="shared" si="59"/>
        <v>0</v>
      </c>
      <c r="M90" s="40">
        <f t="shared" si="59"/>
        <v>0</v>
      </c>
      <c r="N90" s="40">
        <f t="shared" si="59"/>
        <v>0</v>
      </c>
      <c r="O90" s="40">
        <f t="shared" si="59"/>
        <v>0</v>
      </c>
      <c r="P90" s="40">
        <f t="shared" si="59"/>
        <v>0</v>
      </c>
      <c r="Q90" s="40">
        <f t="shared" si="59"/>
        <v>0</v>
      </c>
      <c r="R90" s="40">
        <f t="shared" si="59"/>
        <v>0</v>
      </c>
      <c r="S90" s="40">
        <f t="shared" si="59"/>
        <v>0</v>
      </c>
      <c r="T90" s="40">
        <f t="shared" si="59"/>
        <v>0</v>
      </c>
      <c r="U90" s="40">
        <f t="shared" si="59"/>
        <v>0</v>
      </c>
      <c r="V90" s="40">
        <f t="shared" si="59"/>
        <v>0</v>
      </c>
      <c r="W90" s="40">
        <f t="shared" si="59"/>
        <v>0</v>
      </c>
      <c r="X90" s="40">
        <f t="shared" si="59"/>
        <v>0</v>
      </c>
      <c r="Y90" s="40">
        <f t="shared" si="59"/>
        <v>0</v>
      </c>
      <c r="Z90" s="39" t="s">
        <v>302</v>
      </c>
      <c r="AA90" s="41" t="s">
        <v>41</v>
      </c>
      <c r="AB90" s="42" t="s">
        <v>178</v>
      </c>
      <c r="AC90" s="42" t="s">
        <v>64</v>
      </c>
      <c r="AD90" s="43"/>
    </row>
    <row r="91" spans="1:30" ht="46.5" x14ac:dyDescent="0.25">
      <c r="A91" s="37" t="s">
        <v>303</v>
      </c>
      <c r="B91" s="38" t="s">
        <v>304</v>
      </c>
      <c r="C91" s="39"/>
      <c r="D91" s="39"/>
      <c r="E91" s="39"/>
      <c r="F91" s="44">
        <v>0</v>
      </c>
      <c r="G91" s="44">
        <v>0</v>
      </c>
      <c r="H91" s="44">
        <v>0</v>
      </c>
      <c r="I91" s="44">
        <v>0</v>
      </c>
      <c r="J91" s="44">
        <v>0</v>
      </c>
      <c r="K91" s="44">
        <v>0</v>
      </c>
      <c r="L91" s="44">
        <v>0</v>
      </c>
      <c r="M91" s="44">
        <v>0</v>
      </c>
      <c r="N91" s="44">
        <v>0</v>
      </c>
      <c r="O91" s="44">
        <v>0</v>
      </c>
      <c r="P91" s="44">
        <v>0</v>
      </c>
      <c r="Q91" s="44">
        <v>0</v>
      </c>
      <c r="R91" s="44">
        <v>0</v>
      </c>
      <c r="S91" s="44">
        <v>0</v>
      </c>
      <c r="T91" s="44">
        <v>0</v>
      </c>
      <c r="U91" s="44">
        <v>0</v>
      </c>
      <c r="V91" s="44">
        <v>0</v>
      </c>
      <c r="W91" s="44">
        <v>0</v>
      </c>
      <c r="X91" s="44">
        <v>0</v>
      </c>
      <c r="Y91" s="44">
        <v>0</v>
      </c>
      <c r="Z91" s="39"/>
      <c r="AA91" s="41"/>
      <c r="AB91" s="42"/>
      <c r="AC91" s="42"/>
      <c r="AD91" s="43"/>
    </row>
    <row r="92" spans="1:30" ht="46.5" x14ac:dyDescent="0.25">
      <c r="A92" s="37" t="s">
        <v>305</v>
      </c>
      <c r="B92" s="38" t="s">
        <v>306</v>
      </c>
      <c r="C92" s="39" t="s">
        <v>29</v>
      </c>
      <c r="D92" s="39" t="s">
        <v>91</v>
      </c>
      <c r="E92" s="39" t="s">
        <v>288</v>
      </c>
      <c r="F92" s="40">
        <f t="shared" ref="F92:Y92" si="60">SUM(F93:F93)</f>
        <v>0</v>
      </c>
      <c r="G92" s="40">
        <f t="shared" si="60"/>
        <v>0</v>
      </c>
      <c r="H92" s="40">
        <f t="shared" si="60"/>
        <v>0</v>
      </c>
      <c r="I92" s="40">
        <f t="shared" si="60"/>
        <v>0</v>
      </c>
      <c r="J92" s="40">
        <f t="shared" si="60"/>
        <v>0</v>
      </c>
      <c r="K92" s="40">
        <f t="shared" si="60"/>
        <v>0</v>
      </c>
      <c r="L92" s="40">
        <f t="shared" si="60"/>
        <v>0</v>
      </c>
      <c r="M92" s="40">
        <f t="shared" si="60"/>
        <v>0</v>
      </c>
      <c r="N92" s="40">
        <f t="shared" si="60"/>
        <v>0</v>
      </c>
      <c r="O92" s="40">
        <f t="shared" si="60"/>
        <v>0</v>
      </c>
      <c r="P92" s="40">
        <f t="shared" si="60"/>
        <v>0</v>
      </c>
      <c r="Q92" s="40">
        <f t="shared" si="60"/>
        <v>0</v>
      </c>
      <c r="R92" s="40">
        <f t="shared" si="60"/>
        <v>0</v>
      </c>
      <c r="S92" s="40">
        <f t="shared" si="60"/>
        <v>0</v>
      </c>
      <c r="T92" s="40">
        <f t="shared" si="60"/>
        <v>0</v>
      </c>
      <c r="U92" s="40">
        <f t="shared" si="60"/>
        <v>0</v>
      </c>
      <c r="V92" s="40">
        <f t="shared" si="60"/>
        <v>0</v>
      </c>
      <c r="W92" s="40">
        <f t="shared" si="60"/>
        <v>0</v>
      </c>
      <c r="X92" s="40">
        <f t="shared" si="60"/>
        <v>0</v>
      </c>
      <c r="Y92" s="40">
        <f t="shared" si="60"/>
        <v>0</v>
      </c>
      <c r="Z92" s="39" t="s">
        <v>307</v>
      </c>
      <c r="AA92" s="41" t="s">
        <v>41</v>
      </c>
      <c r="AB92" s="42" t="s">
        <v>42</v>
      </c>
      <c r="AC92" s="42" t="s">
        <v>57</v>
      </c>
      <c r="AD92" s="43" t="s">
        <v>259</v>
      </c>
    </row>
    <row r="93" spans="1:30" ht="46.5" x14ac:dyDescent="0.25">
      <c r="A93" s="37" t="s">
        <v>308</v>
      </c>
      <c r="B93" s="38" t="s">
        <v>309</v>
      </c>
      <c r="C93" s="39"/>
      <c r="D93" s="39"/>
      <c r="E93" s="39"/>
      <c r="F93" s="44">
        <v>0</v>
      </c>
      <c r="G93" s="44">
        <v>0</v>
      </c>
      <c r="H93" s="44">
        <v>0</v>
      </c>
      <c r="I93" s="44">
        <v>0</v>
      </c>
      <c r="J93" s="44">
        <v>0</v>
      </c>
      <c r="K93" s="44">
        <v>0</v>
      </c>
      <c r="L93" s="44">
        <v>0</v>
      </c>
      <c r="M93" s="44">
        <v>0</v>
      </c>
      <c r="N93" s="44">
        <v>0</v>
      </c>
      <c r="O93" s="44">
        <v>0</v>
      </c>
      <c r="P93" s="44">
        <v>0</v>
      </c>
      <c r="Q93" s="44">
        <v>0</v>
      </c>
      <c r="R93" s="44">
        <v>0</v>
      </c>
      <c r="S93" s="44">
        <v>0</v>
      </c>
      <c r="T93" s="44">
        <v>0</v>
      </c>
      <c r="U93" s="44">
        <v>0</v>
      </c>
      <c r="V93" s="44">
        <v>0</v>
      </c>
      <c r="W93" s="44">
        <v>0</v>
      </c>
      <c r="X93" s="44">
        <v>0</v>
      </c>
      <c r="Y93" s="44">
        <v>0</v>
      </c>
      <c r="Z93" s="39"/>
      <c r="AA93" s="41"/>
      <c r="AB93" s="42"/>
      <c r="AC93" s="42"/>
      <c r="AD93" s="43"/>
    </row>
    <row r="94" spans="1:30" ht="45" x14ac:dyDescent="0.25">
      <c r="A94" s="16" t="s">
        <v>310</v>
      </c>
      <c r="B94" s="17" t="s">
        <v>311</v>
      </c>
      <c r="C94" s="18" t="s">
        <v>312</v>
      </c>
      <c r="D94" s="18" t="s">
        <v>313</v>
      </c>
      <c r="E94" s="18"/>
      <c r="F94" s="19">
        <f t="shared" ref="F94:Y94" si="61">F95+F129+F133+F139+F157+F174+F180+F187+F191+F195+F199</f>
        <v>3801118.0099999993</v>
      </c>
      <c r="G94" s="19">
        <f t="shared" si="61"/>
        <v>712970.32000000007</v>
      </c>
      <c r="H94" s="19">
        <f t="shared" si="61"/>
        <v>0</v>
      </c>
      <c r="I94" s="19">
        <f t="shared" si="61"/>
        <v>0</v>
      </c>
      <c r="J94" s="19">
        <f t="shared" si="61"/>
        <v>0</v>
      </c>
      <c r="K94" s="19">
        <f t="shared" si="61"/>
        <v>553291.44999999995</v>
      </c>
      <c r="L94" s="19">
        <f t="shared" si="61"/>
        <v>2387758.2700000005</v>
      </c>
      <c r="M94" s="19">
        <f t="shared" si="61"/>
        <v>147097.97000000003</v>
      </c>
      <c r="N94" s="19">
        <f t="shared" si="61"/>
        <v>0</v>
      </c>
      <c r="O94" s="19">
        <f t="shared" si="61"/>
        <v>0</v>
      </c>
      <c r="P94" s="19">
        <f t="shared" si="61"/>
        <v>3165252.7499999995</v>
      </c>
      <c r="Q94" s="19">
        <f t="shared" si="61"/>
        <v>447341.85</v>
      </c>
      <c r="R94" s="19">
        <f t="shared" si="61"/>
        <v>0</v>
      </c>
      <c r="S94" s="19">
        <f t="shared" si="61"/>
        <v>0</v>
      </c>
      <c r="T94" s="19">
        <f t="shared" si="61"/>
        <v>0</v>
      </c>
      <c r="U94" s="19">
        <f t="shared" si="61"/>
        <v>477252.25</v>
      </c>
      <c r="V94" s="19">
        <f t="shared" si="61"/>
        <v>6416.83</v>
      </c>
      <c r="W94" s="19">
        <f t="shared" si="61"/>
        <v>114334.89</v>
      </c>
      <c r="X94" s="19">
        <f t="shared" si="61"/>
        <v>0</v>
      </c>
      <c r="Y94" s="19">
        <f t="shared" si="61"/>
        <v>0</v>
      </c>
      <c r="Z94" s="18"/>
      <c r="AA94" s="20"/>
      <c r="AB94" s="21"/>
      <c r="AC94" s="21"/>
      <c r="AD94" s="22"/>
    </row>
    <row r="95" spans="1:30" ht="45" x14ac:dyDescent="0.25">
      <c r="A95" s="23" t="s">
        <v>314</v>
      </c>
      <c r="B95" s="24" t="s">
        <v>315</v>
      </c>
      <c r="C95" s="25" t="s">
        <v>312</v>
      </c>
      <c r="D95" s="25" t="s">
        <v>316</v>
      </c>
      <c r="E95" s="25"/>
      <c r="F95" s="26">
        <f t="shared" ref="F95:Y95" si="62">F96+F99+F121</f>
        <v>1166837.6599999999</v>
      </c>
      <c r="G95" s="26">
        <f t="shared" si="62"/>
        <v>142654.12</v>
      </c>
      <c r="H95" s="26">
        <f t="shared" si="62"/>
        <v>0</v>
      </c>
      <c r="I95" s="26">
        <f t="shared" si="62"/>
        <v>0</v>
      </c>
      <c r="J95" s="26">
        <f t="shared" si="62"/>
        <v>0</v>
      </c>
      <c r="K95" s="26">
        <f t="shared" si="62"/>
        <v>183254.55</v>
      </c>
      <c r="L95" s="26">
        <f t="shared" si="62"/>
        <v>818018.37</v>
      </c>
      <c r="M95" s="26">
        <f t="shared" si="62"/>
        <v>22910.62</v>
      </c>
      <c r="N95" s="26">
        <f t="shared" si="62"/>
        <v>0</v>
      </c>
      <c r="O95" s="26">
        <f t="shared" si="62"/>
        <v>0</v>
      </c>
      <c r="P95" s="26">
        <f t="shared" si="62"/>
        <v>1164785.17</v>
      </c>
      <c r="Q95" s="26">
        <f t="shared" si="62"/>
        <v>142392.41999999998</v>
      </c>
      <c r="R95" s="26">
        <f t="shared" si="62"/>
        <v>0</v>
      </c>
      <c r="S95" s="26">
        <f t="shared" si="62"/>
        <v>0</v>
      </c>
      <c r="T95" s="26">
        <f t="shared" si="62"/>
        <v>0</v>
      </c>
      <c r="U95" s="26">
        <f t="shared" si="62"/>
        <v>134502.20000000001</v>
      </c>
      <c r="V95" s="26">
        <f t="shared" si="62"/>
        <v>0</v>
      </c>
      <c r="W95" s="26">
        <f t="shared" si="62"/>
        <v>22910.62</v>
      </c>
      <c r="X95" s="26">
        <f t="shared" si="62"/>
        <v>0</v>
      </c>
      <c r="Y95" s="26">
        <f t="shared" si="62"/>
        <v>0</v>
      </c>
      <c r="Z95" s="25" t="s">
        <v>317</v>
      </c>
      <c r="AA95" s="27" t="s">
        <v>35</v>
      </c>
      <c r="AB95" s="28" t="s">
        <v>49</v>
      </c>
      <c r="AC95" s="28" t="s">
        <v>225</v>
      </c>
      <c r="AD95" s="29"/>
    </row>
    <row r="96" spans="1:30" ht="112.5" x14ac:dyDescent="0.25">
      <c r="A96" s="30" t="s">
        <v>318</v>
      </c>
      <c r="B96" s="31" t="s">
        <v>319</v>
      </c>
      <c r="C96" s="32" t="s">
        <v>312</v>
      </c>
      <c r="D96" s="32" t="s">
        <v>316</v>
      </c>
      <c r="E96" s="32" t="s">
        <v>39</v>
      </c>
      <c r="F96" s="33">
        <f t="shared" ref="F96:Y96" si="63">SUM(F97:F97)</f>
        <v>1013467.74</v>
      </c>
      <c r="G96" s="33">
        <f t="shared" si="63"/>
        <v>52097.62</v>
      </c>
      <c r="H96" s="33">
        <f t="shared" si="63"/>
        <v>0</v>
      </c>
      <c r="I96" s="33">
        <f t="shared" si="63"/>
        <v>0</v>
      </c>
      <c r="J96" s="33">
        <f t="shared" si="63"/>
        <v>0</v>
      </c>
      <c r="K96" s="33">
        <f t="shared" si="63"/>
        <v>143351.75</v>
      </c>
      <c r="L96" s="33">
        <f t="shared" si="63"/>
        <v>818018.37</v>
      </c>
      <c r="M96" s="33">
        <f t="shared" si="63"/>
        <v>0</v>
      </c>
      <c r="N96" s="33">
        <f t="shared" si="63"/>
        <v>0</v>
      </c>
      <c r="O96" s="33">
        <f t="shared" si="63"/>
        <v>0</v>
      </c>
      <c r="P96" s="33">
        <f t="shared" si="63"/>
        <v>1011535.25</v>
      </c>
      <c r="Q96" s="33">
        <f t="shared" si="63"/>
        <v>51955.92</v>
      </c>
      <c r="R96" s="33">
        <f t="shared" si="63"/>
        <v>0</v>
      </c>
      <c r="S96" s="33">
        <f t="shared" si="63"/>
        <v>0</v>
      </c>
      <c r="T96" s="33">
        <f t="shared" si="63"/>
        <v>0</v>
      </c>
      <c r="U96" s="33">
        <f t="shared" si="63"/>
        <v>94599.4</v>
      </c>
      <c r="V96" s="33">
        <f t="shared" si="63"/>
        <v>0</v>
      </c>
      <c r="W96" s="33">
        <f t="shared" si="63"/>
        <v>0</v>
      </c>
      <c r="X96" s="33">
        <f t="shared" si="63"/>
        <v>0</v>
      </c>
      <c r="Y96" s="33">
        <f t="shared" si="63"/>
        <v>0</v>
      </c>
      <c r="Z96" s="32" t="s">
        <v>320</v>
      </c>
      <c r="AA96" s="34" t="s">
        <v>41</v>
      </c>
      <c r="AB96" s="35" t="s">
        <v>178</v>
      </c>
      <c r="AC96" s="35" t="s">
        <v>178</v>
      </c>
      <c r="AD96" s="36"/>
    </row>
    <row r="97" spans="1:30" ht="69.75" x14ac:dyDescent="0.25">
      <c r="A97" s="37" t="s">
        <v>321</v>
      </c>
      <c r="B97" s="38" t="s">
        <v>322</v>
      </c>
      <c r="C97" s="39" t="s">
        <v>312</v>
      </c>
      <c r="D97" s="39" t="s">
        <v>323</v>
      </c>
      <c r="E97" s="39" t="s">
        <v>46</v>
      </c>
      <c r="F97" s="40">
        <f>SUM(F98:F98)+1013467.74</f>
        <v>1013467.74</v>
      </c>
      <c r="G97" s="40">
        <f>SUM(G98:G98)+52097.62</f>
        <v>52097.62</v>
      </c>
      <c r="H97" s="40">
        <f>SUM(H98:H98)</f>
        <v>0</v>
      </c>
      <c r="I97" s="40">
        <f>SUM(I98:I98)</f>
        <v>0</v>
      </c>
      <c r="J97" s="40">
        <f>SUM(J98:J98)</f>
        <v>0</v>
      </c>
      <c r="K97" s="40">
        <f>SUM(K98:K98)+143351.75</f>
        <v>143351.75</v>
      </c>
      <c r="L97" s="40">
        <f>SUM(L98:L98)+818018.37</f>
        <v>818018.37</v>
      </c>
      <c r="M97" s="40">
        <f>SUM(M98:M98)</f>
        <v>0</v>
      </c>
      <c r="N97" s="40">
        <f>SUM(N98:N98)</f>
        <v>0</v>
      </c>
      <c r="O97" s="40">
        <f>SUM(O98:O98)</f>
        <v>0</v>
      </c>
      <c r="P97" s="40">
        <f>SUM(P98:P98)+1011535.25</f>
        <v>1011535.25</v>
      </c>
      <c r="Q97" s="40">
        <f>SUM(Q98:Q98)+51955.92</f>
        <v>51955.92</v>
      </c>
      <c r="R97" s="40">
        <f>SUM(R98:R98)</f>
        <v>0</v>
      </c>
      <c r="S97" s="40">
        <f>SUM(S98:S98)</f>
        <v>0</v>
      </c>
      <c r="T97" s="40">
        <f>SUM(T98:T98)</f>
        <v>0</v>
      </c>
      <c r="U97" s="40">
        <f>SUM(U98:U98)+94599.4</f>
        <v>94599.4</v>
      </c>
      <c r="V97" s="40">
        <f>SUM(V98:V98)</f>
        <v>0</v>
      </c>
      <c r="W97" s="40">
        <f>SUM(W98:W98)</f>
        <v>0</v>
      </c>
      <c r="X97" s="40">
        <f>SUM(X98:X98)</f>
        <v>0</v>
      </c>
      <c r="Y97" s="40">
        <f>SUM(Y98:Y98)</f>
        <v>0</v>
      </c>
      <c r="Z97" s="39" t="s">
        <v>324</v>
      </c>
      <c r="AA97" s="41" t="s">
        <v>41</v>
      </c>
      <c r="AB97" s="42" t="s">
        <v>56</v>
      </c>
      <c r="AC97" s="42" t="s">
        <v>56</v>
      </c>
      <c r="AD97" s="43"/>
    </row>
    <row r="98" spans="1:30" ht="46.5" x14ac:dyDescent="0.25">
      <c r="A98" s="37" t="s">
        <v>325</v>
      </c>
      <c r="B98" s="38" t="s">
        <v>326</v>
      </c>
      <c r="C98" s="39"/>
      <c r="D98" s="39"/>
      <c r="E98" s="39"/>
      <c r="F98" s="44">
        <v>0</v>
      </c>
      <c r="G98" s="44">
        <v>0</v>
      </c>
      <c r="H98" s="44">
        <v>0</v>
      </c>
      <c r="I98" s="44">
        <v>0</v>
      </c>
      <c r="J98" s="44">
        <v>0</v>
      </c>
      <c r="K98" s="44">
        <v>0</v>
      </c>
      <c r="L98" s="44">
        <v>0</v>
      </c>
      <c r="M98" s="44">
        <v>0</v>
      </c>
      <c r="N98" s="44">
        <v>0</v>
      </c>
      <c r="O98" s="44">
        <v>0</v>
      </c>
      <c r="P98" s="44">
        <v>0</v>
      </c>
      <c r="Q98" s="44">
        <v>0</v>
      </c>
      <c r="R98" s="44">
        <v>0</v>
      </c>
      <c r="S98" s="44">
        <v>0</v>
      </c>
      <c r="T98" s="44">
        <v>0</v>
      </c>
      <c r="U98" s="44">
        <v>0</v>
      </c>
      <c r="V98" s="44">
        <v>0</v>
      </c>
      <c r="W98" s="44">
        <v>0</v>
      </c>
      <c r="X98" s="44">
        <v>0</v>
      </c>
      <c r="Y98" s="44">
        <v>0</v>
      </c>
      <c r="Z98" s="39"/>
      <c r="AA98" s="41"/>
      <c r="AB98" s="42"/>
      <c r="AC98" s="42"/>
      <c r="AD98" s="43"/>
    </row>
    <row r="99" spans="1:30" ht="135" x14ac:dyDescent="0.25">
      <c r="A99" s="30" t="s">
        <v>327</v>
      </c>
      <c r="B99" s="31" t="s">
        <v>328</v>
      </c>
      <c r="C99" s="32" t="s">
        <v>312</v>
      </c>
      <c r="D99" s="32" t="s">
        <v>316</v>
      </c>
      <c r="E99" s="32" t="s">
        <v>283</v>
      </c>
      <c r="F99" s="33">
        <f t="shared" ref="F99:Y99" si="64">F100+F102+F104+F106+F108+F110+F112+F114+F116</f>
        <v>147077.91999999998</v>
      </c>
      <c r="G99" s="33">
        <f t="shared" si="64"/>
        <v>84264.5</v>
      </c>
      <c r="H99" s="33">
        <f t="shared" si="64"/>
        <v>0</v>
      </c>
      <c r="I99" s="33">
        <f t="shared" si="64"/>
        <v>0</v>
      </c>
      <c r="J99" s="33">
        <f t="shared" si="64"/>
        <v>0</v>
      </c>
      <c r="K99" s="33">
        <f t="shared" si="64"/>
        <v>39902.800000000003</v>
      </c>
      <c r="L99" s="33">
        <f t="shared" si="64"/>
        <v>0</v>
      </c>
      <c r="M99" s="33">
        <f t="shared" si="64"/>
        <v>22910.62</v>
      </c>
      <c r="N99" s="33">
        <f t="shared" si="64"/>
        <v>0</v>
      </c>
      <c r="O99" s="33">
        <f t="shared" si="64"/>
        <v>0</v>
      </c>
      <c r="P99" s="33">
        <f t="shared" si="64"/>
        <v>146957.91999999998</v>
      </c>
      <c r="Q99" s="33">
        <f t="shared" si="64"/>
        <v>84144.5</v>
      </c>
      <c r="R99" s="33">
        <f t="shared" si="64"/>
        <v>0</v>
      </c>
      <c r="S99" s="33">
        <f t="shared" si="64"/>
        <v>0</v>
      </c>
      <c r="T99" s="33">
        <f t="shared" si="64"/>
        <v>0</v>
      </c>
      <c r="U99" s="33">
        <f t="shared" si="64"/>
        <v>39902.800000000003</v>
      </c>
      <c r="V99" s="33">
        <f t="shared" si="64"/>
        <v>0</v>
      </c>
      <c r="W99" s="33">
        <f t="shared" si="64"/>
        <v>22910.62</v>
      </c>
      <c r="X99" s="33">
        <f t="shared" si="64"/>
        <v>0</v>
      </c>
      <c r="Y99" s="33">
        <f t="shared" si="64"/>
        <v>0</v>
      </c>
      <c r="Z99" s="32" t="s">
        <v>329</v>
      </c>
      <c r="AA99" s="34" t="s">
        <v>330</v>
      </c>
      <c r="AB99" s="35" t="s">
        <v>331</v>
      </c>
      <c r="AC99" s="35" t="s">
        <v>331</v>
      </c>
      <c r="AD99" s="36"/>
    </row>
    <row r="100" spans="1:30" ht="93" x14ac:dyDescent="0.25">
      <c r="A100" s="37" t="s">
        <v>332</v>
      </c>
      <c r="B100" s="38" t="s">
        <v>333</v>
      </c>
      <c r="C100" s="39" t="s">
        <v>312</v>
      </c>
      <c r="D100" s="39" t="s">
        <v>316</v>
      </c>
      <c r="E100" s="39" t="s">
        <v>334</v>
      </c>
      <c r="F100" s="40">
        <f>SUM(F101:F101)+120</f>
        <v>120</v>
      </c>
      <c r="G100" s="40">
        <f>SUM(G101:G101)+120</f>
        <v>120</v>
      </c>
      <c r="H100" s="40">
        <f t="shared" ref="H100:Y100" si="65">SUM(H101:H101)</f>
        <v>0</v>
      </c>
      <c r="I100" s="40">
        <f t="shared" si="65"/>
        <v>0</v>
      </c>
      <c r="J100" s="40">
        <f t="shared" si="65"/>
        <v>0</v>
      </c>
      <c r="K100" s="40">
        <f t="shared" si="65"/>
        <v>0</v>
      </c>
      <c r="L100" s="40">
        <f t="shared" si="65"/>
        <v>0</v>
      </c>
      <c r="M100" s="40">
        <f t="shared" si="65"/>
        <v>0</v>
      </c>
      <c r="N100" s="40">
        <f t="shared" si="65"/>
        <v>0</v>
      </c>
      <c r="O100" s="40">
        <f t="shared" si="65"/>
        <v>0</v>
      </c>
      <c r="P100" s="40">
        <f t="shared" si="65"/>
        <v>0</v>
      </c>
      <c r="Q100" s="40">
        <f t="shared" si="65"/>
        <v>0</v>
      </c>
      <c r="R100" s="40">
        <f t="shared" si="65"/>
        <v>0</v>
      </c>
      <c r="S100" s="40">
        <f t="shared" si="65"/>
        <v>0</v>
      </c>
      <c r="T100" s="40">
        <f t="shared" si="65"/>
        <v>0</v>
      </c>
      <c r="U100" s="40">
        <f t="shared" si="65"/>
        <v>0</v>
      </c>
      <c r="V100" s="40">
        <f t="shared" si="65"/>
        <v>0</v>
      </c>
      <c r="W100" s="40">
        <f t="shared" si="65"/>
        <v>0</v>
      </c>
      <c r="X100" s="40">
        <f t="shared" si="65"/>
        <v>0</v>
      </c>
      <c r="Y100" s="40">
        <f t="shared" si="65"/>
        <v>0</v>
      </c>
      <c r="Z100" s="39" t="s">
        <v>335</v>
      </c>
      <c r="AA100" s="41" t="s">
        <v>41</v>
      </c>
      <c r="AB100" s="42" t="s">
        <v>56</v>
      </c>
      <c r="AC100" s="42" t="s">
        <v>57</v>
      </c>
      <c r="AD100" s="43" t="s">
        <v>336</v>
      </c>
    </row>
    <row r="101" spans="1:30" ht="46.5" x14ac:dyDescent="0.25">
      <c r="A101" s="37" t="s">
        <v>337</v>
      </c>
      <c r="B101" s="38" t="s">
        <v>338</v>
      </c>
      <c r="C101" s="39"/>
      <c r="D101" s="39"/>
      <c r="E101" s="39"/>
      <c r="F101" s="44">
        <v>0</v>
      </c>
      <c r="G101" s="44">
        <v>0</v>
      </c>
      <c r="H101" s="44">
        <v>0</v>
      </c>
      <c r="I101" s="44">
        <v>0</v>
      </c>
      <c r="J101" s="44">
        <v>0</v>
      </c>
      <c r="K101" s="44">
        <v>0</v>
      </c>
      <c r="L101" s="44">
        <v>0</v>
      </c>
      <c r="M101" s="44">
        <v>0</v>
      </c>
      <c r="N101" s="44">
        <v>0</v>
      </c>
      <c r="O101" s="44">
        <v>0</v>
      </c>
      <c r="P101" s="44">
        <v>0</v>
      </c>
      <c r="Q101" s="44">
        <v>0</v>
      </c>
      <c r="R101" s="44">
        <v>0</v>
      </c>
      <c r="S101" s="44">
        <v>0</v>
      </c>
      <c r="T101" s="44">
        <v>0</v>
      </c>
      <c r="U101" s="44">
        <v>0</v>
      </c>
      <c r="V101" s="44">
        <v>0</v>
      </c>
      <c r="W101" s="44">
        <v>0</v>
      </c>
      <c r="X101" s="44">
        <v>0</v>
      </c>
      <c r="Y101" s="44">
        <v>0</v>
      </c>
      <c r="Z101" s="39"/>
      <c r="AA101" s="41"/>
      <c r="AB101" s="42"/>
      <c r="AC101" s="42"/>
      <c r="AD101" s="43"/>
    </row>
    <row r="102" spans="1:30" ht="93" x14ac:dyDescent="0.25">
      <c r="A102" s="37" t="s">
        <v>339</v>
      </c>
      <c r="B102" s="38" t="s">
        <v>340</v>
      </c>
      <c r="C102" s="39" t="s">
        <v>312</v>
      </c>
      <c r="D102" s="39" t="s">
        <v>316</v>
      </c>
      <c r="E102" s="39" t="s">
        <v>334</v>
      </c>
      <c r="F102" s="40">
        <f>SUM(F103:F103)+484</f>
        <v>484</v>
      </c>
      <c r="G102" s="40">
        <f>SUM(G103:G103)+484</f>
        <v>484</v>
      </c>
      <c r="H102" s="40">
        <f t="shared" ref="H102:O102" si="66">SUM(H103:H103)</f>
        <v>0</v>
      </c>
      <c r="I102" s="40">
        <f t="shared" si="66"/>
        <v>0</v>
      </c>
      <c r="J102" s="40">
        <f t="shared" si="66"/>
        <v>0</v>
      </c>
      <c r="K102" s="40">
        <f t="shared" si="66"/>
        <v>0</v>
      </c>
      <c r="L102" s="40">
        <f t="shared" si="66"/>
        <v>0</v>
      </c>
      <c r="M102" s="40">
        <f t="shared" si="66"/>
        <v>0</v>
      </c>
      <c r="N102" s="40">
        <f t="shared" si="66"/>
        <v>0</v>
      </c>
      <c r="O102" s="40">
        <f t="shared" si="66"/>
        <v>0</v>
      </c>
      <c r="P102" s="40">
        <f>SUM(P103:P103)+484</f>
        <v>484</v>
      </c>
      <c r="Q102" s="40">
        <f>SUM(Q103:Q103)+484</f>
        <v>484</v>
      </c>
      <c r="R102" s="40">
        <f t="shared" ref="R102:Y102" si="67">SUM(R103:R103)</f>
        <v>0</v>
      </c>
      <c r="S102" s="40">
        <f t="shared" si="67"/>
        <v>0</v>
      </c>
      <c r="T102" s="40">
        <f t="shared" si="67"/>
        <v>0</v>
      </c>
      <c r="U102" s="40">
        <f t="shared" si="67"/>
        <v>0</v>
      </c>
      <c r="V102" s="40">
        <f t="shared" si="67"/>
        <v>0</v>
      </c>
      <c r="W102" s="40">
        <f t="shared" si="67"/>
        <v>0</v>
      </c>
      <c r="X102" s="40">
        <f t="shared" si="67"/>
        <v>0</v>
      </c>
      <c r="Y102" s="40">
        <f t="shared" si="67"/>
        <v>0</v>
      </c>
      <c r="Z102" s="39" t="s">
        <v>335</v>
      </c>
      <c r="AA102" s="41" t="s">
        <v>41</v>
      </c>
      <c r="AB102" s="42" t="s">
        <v>56</v>
      </c>
      <c r="AC102" s="42" t="s">
        <v>56</v>
      </c>
      <c r="AD102" s="43"/>
    </row>
    <row r="103" spans="1:30" ht="46.5" x14ac:dyDescent="0.25">
      <c r="A103" s="37" t="s">
        <v>341</v>
      </c>
      <c r="B103" s="38" t="s">
        <v>338</v>
      </c>
      <c r="C103" s="39"/>
      <c r="D103" s="39"/>
      <c r="E103" s="39"/>
      <c r="F103" s="44">
        <v>0</v>
      </c>
      <c r="G103" s="44">
        <v>0</v>
      </c>
      <c r="H103" s="44">
        <v>0</v>
      </c>
      <c r="I103" s="44">
        <v>0</v>
      </c>
      <c r="J103" s="44">
        <v>0</v>
      </c>
      <c r="K103" s="44">
        <v>0</v>
      </c>
      <c r="L103" s="44">
        <v>0</v>
      </c>
      <c r="M103" s="44">
        <v>0</v>
      </c>
      <c r="N103" s="44">
        <v>0</v>
      </c>
      <c r="O103" s="44">
        <v>0</v>
      </c>
      <c r="P103" s="44">
        <v>0</v>
      </c>
      <c r="Q103" s="44">
        <v>0</v>
      </c>
      <c r="R103" s="44">
        <v>0</v>
      </c>
      <c r="S103" s="44">
        <v>0</v>
      </c>
      <c r="T103" s="44">
        <v>0</v>
      </c>
      <c r="U103" s="44">
        <v>0</v>
      </c>
      <c r="V103" s="44">
        <v>0</v>
      </c>
      <c r="W103" s="44">
        <v>0</v>
      </c>
      <c r="X103" s="44">
        <v>0</v>
      </c>
      <c r="Y103" s="44">
        <v>0</v>
      </c>
      <c r="Z103" s="39"/>
      <c r="AA103" s="41"/>
      <c r="AB103" s="42"/>
      <c r="AC103" s="42"/>
      <c r="AD103" s="43"/>
    </row>
    <row r="104" spans="1:30" ht="93" x14ac:dyDescent="0.25">
      <c r="A104" s="37" t="s">
        <v>342</v>
      </c>
      <c r="B104" s="38" t="s">
        <v>343</v>
      </c>
      <c r="C104" s="39" t="s">
        <v>312</v>
      </c>
      <c r="D104" s="39" t="s">
        <v>316</v>
      </c>
      <c r="E104" s="39" t="s">
        <v>334</v>
      </c>
      <c r="F104" s="40">
        <f>SUM(F105:F105)+786.5</f>
        <v>786.5</v>
      </c>
      <c r="G104" s="40">
        <f>SUM(G105:G105)+786.5</f>
        <v>786.5</v>
      </c>
      <c r="H104" s="40">
        <f t="shared" ref="H104:O104" si="68">SUM(H105:H105)</f>
        <v>0</v>
      </c>
      <c r="I104" s="40">
        <f t="shared" si="68"/>
        <v>0</v>
      </c>
      <c r="J104" s="40">
        <f t="shared" si="68"/>
        <v>0</v>
      </c>
      <c r="K104" s="40">
        <f t="shared" si="68"/>
        <v>0</v>
      </c>
      <c r="L104" s="40">
        <f t="shared" si="68"/>
        <v>0</v>
      </c>
      <c r="M104" s="40">
        <f t="shared" si="68"/>
        <v>0</v>
      </c>
      <c r="N104" s="40">
        <f t="shared" si="68"/>
        <v>0</v>
      </c>
      <c r="O104" s="40">
        <f t="shared" si="68"/>
        <v>0</v>
      </c>
      <c r="P104" s="40">
        <f>SUM(P105:P105)+786.5</f>
        <v>786.5</v>
      </c>
      <c r="Q104" s="40">
        <f>SUM(Q105:Q105)+786.5</f>
        <v>786.5</v>
      </c>
      <c r="R104" s="40">
        <f t="shared" ref="R104:Y104" si="69">SUM(R105:R105)</f>
        <v>0</v>
      </c>
      <c r="S104" s="40">
        <f t="shared" si="69"/>
        <v>0</v>
      </c>
      <c r="T104" s="40">
        <f t="shared" si="69"/>
        <v>0</v>
      </c>
      <c r="U104" s="40">
        <f t="shared" si="69"/>
        <v>0</v>
      </c>
      <c r="V104" s="40">
        <f t="shared" si="69"/>
        <v>0</v>
      </c>
      <c r="W104" s="40">
        <f t="shared" si="69"/>
        <v>0</v>
      </c>
      <c r="X104" s="40">
        <f t="shared" si="69"/>
        <v>0</v>
      </c>
      <c r="Y104" s="40">
        <f t="shared" si="69"/>
        <v>0</v>
      </c>
      <c r="Z104" s="39" t="s">
        <v>335</v>
      </c>
      <c r="AA104" s="41" t="s">
        <v>41</v>
      </c>
      <c r="AB104" s="42" t="s">
        <v>56</v>
      </c>
      <c r="AC104" s="42" t="s">
        <v>56</v>
      </c>
      <c r="AD104" s="43"/>
    </row>
    <row r="105" spans="1:30" ht="46.5" x14ac:dyDescent="0.25">
      <c r="A105" s="37" t="s">
        <v>344</v>
      </c>
      <c r="B105" s="38" t="s">
        <v>338</v>
      </c>
      <c r="C105" s="39"/>
      <c r="D105" s="39"/>
      <c r="E105" s="39"/>
      <c r="F105" s="44">
        <v>0</v>
      </c>
      <c r="G105" s="44">
        <v>0</v>
      </c>
      <c r="H105" s="44">
        <v>0</v>
      </c>
      <c r="I105" s="44">
        <v>0</v>
      </c>
      <c r="J105" s="44">
        <v>0</v>
      </c>
      <c r="K105" s="44">
        <v>0</v>
      </c>
      <c r="L105" s="44">
        <v>0</v>
      </c>
      <c r="M105" s="44">
        <v>0</v>
      </c>
      <c r="N105" s="44">
        <v>0</v>
      </c>
      <c r="O105" s="44">
        <v>0</v>
      </c>
      <c r="P105" s="44">
        <v>0</v>
      </c>
      <c r="Q105" s="44">
        <v>0</v>
      </c>
      <c r="R105" s="44">
        <v>0</v>
      </c>
      <c r="S105" s="44">
        <v>0</v>
      </c>
      <c r="T105" s="44">
        <v>0</v>
      </c>
      <c r="U105" s="44">
        <v>0</v>
      </c>
      <c r="V105" s="44">
        <v>0</v>
      </c>
      <c r="W105" s="44">
        <v>0</v>
      </c>
      <c r="X105" s="44">
        <v>0</v>
      </c>
      <c r="Y105" s="44">
        <v>0</v>
      </c>
      <c r="Z105" s="39"/>
      <c r="AA105" s="41"/>
      <c r="AB105" s="42"/>
      <c r="AC105" s="42"/>
      <c r="AD105" s="43"/>
    </row>
    <row r="106" spans="1:30" ht="93" x14ac:dyDescent="0.25">
      <c r="A106" s="37" t="s">
        <v>345</v>
      </c>
      <c r="B106" s="38" t="s">
        <v>346</v>
      </c>
      <c r="C106" s="39" t="s">
        <v>312</v>
      </c>
      <c r="D106" s="39" t="s">
        <v>316</v>
      </c>
      <c r="E106" s="39" t="s">
        <v>334</v>
      </c>
      <c r="F106" s="40">
        <f t="shared" ref="F106:Y106" si="70">SUM(F107:F107)</f>
        <v>0</v>
      </c>
      <c r="G106" s="40">
        <f t="shared" si="70"/>
        <v>0</v>
      </c>
      <c r="H106" s="40">
        <f t="shared" si="70"/>
        <v>0</v>
      </c>
      <c r="I106" s="40">
        <f t="shared" si="70"/>
        <v>0</v>
      </c>
      <c r="J106" s="40">
        <f t="shared" si="70"/>
        <v>0</v>
      </c>
      <c r="K106" s="40">
        <f t="shared" si="70"/>
        <v>0</v>
      </c>
      <c r="L106" s="40">
        <f t="shared" si="70"/>
        <v>0</v>
      </c>
      <c r="M106" s="40">
        <f t="shared" si="70"/>
        <v>0</v>
      </c>
      <c r="N106" s="40">
        <f t="shared" si="70"/>
        <v>0</v>
      </c>
      <c r="O106" s="40">
        <f t="shared" si="70"/>
        <v>0</v>
      </c>
      <c r="P106" s="40">
        <f t="shared" si="70"/>
        <v>0</v>
      </c>
      <c r="Q106" s="40">
        <f t="shared" si="70"/>
        <v>0</v>
      </c>
      <c r="R106" s="40">
        <f t="shared" si="70"/>
        <v>0</v>
      </c>
      <c r="S106" s="40">
        <f t="shared" si="70"/>
        <v>0</v>
      </c>
      <c r="T106" s="40">
        <f t="shared" si="70"/>
        <v>0</v>
      </c>
      <c r="U106" s="40">
        <f t="shared" si="70"/>
        <v>0</v>
      </c>
      <c r="V106" s="40">
        <f t="shared" si="70"/>
        <v>0</v>
      </c>
      <c r="W106" s="40">
        <f t="shared" si="70"/>
        <v>0</v>
      </c>
      <c r="X106" s="40">
        <f t="shared" si="70"/>
        <v>0</v>
      </c>
      <c r="Y106" s="40">
        <f t="shared" si="70"/>
        <v>0</v>
      </c>
      <c r="Z106" s="39" t="s">
        <v>335</v>
      </c>
      <c r="AA106" s="41" t="s">
        <v>41</v>
      </c>
      <c r="AB106" s="42" t="s">
        <v>56</v>
      </c>
      <c r="AC106" s="42" t="s">
        <v>56</v>
      </c>
      <c r="AD106" s="43"/>
    </row>
    <row r="107" spans="1:30" ht="46.5" x14ac:dyDescent="0.25">
      <c r="A107" s="37" t="s">
        <v>347</v>
      </c>
      <c r="B107" s="38" t="s">
        <v>338</v>
      </c>
      <c r="C107" s="39"/>
      <c r="D107" s="39"/>
      <c r="E107" s="39"/>
      <c r="F107" s="44">
        <v>0</v>
      </c>
      <c r="G107" s="44">
        <v>0</v>
      </c>
      <c r="H107" s="44">
        <v>0</v>
      </c>
      <c r="I107" s="44">
        <v>0</v>
      </c>
      <c r="J107" s="44">
        <v>0</v>
      </c>
      <c r="K107" s="44">
        <v>0</v>
      </c>
      <c r="L107" s="44">
        <v>0</v>
      </c>
      <c r="M107" s="44">
        <v>0</v>
      </c>
      <c r="N107" s="44">
        <v>0</v>
      </c>
      <c r="O107" s="44">
        <v>0</v>
      </c>
      <c r="P107" s="44">
        <v>0</v>
      </c>
      <c r="Q107" s="44">
        <v>0</v>
      </c>
      <c r="R107" s="44">
        <v>0</v>
      </c>
      <c r="S107" s="44">
        <v>0</v>
      </c>
      <c r="T107" s="44">
        <v>0</v>
      </c>
      <c r="U107" s="44">
        <v>0</v>
      </c>
      <c r="V107" s="44">
        <v>0</v>
      </c>
      <c r="W107" s="44">
        <v>0</v>
      </c>
      <c r="X107" s="44">
        <v>0</v>
      </c>
      <c r="Y107" s="44">
        <v>0</v>
      </c>
      <c r="Z107" s="39"/>
      <c r="AA107" s="41"/>
      <c r="AB107" s="42"/>
      <c r="AC107" s="42"/>
      <c r="AD107" s="43"/>
    </row>
    <row r="108" spans="1:30" ht="93" x14ac:dyDescent="0.25">
      <c r="A108" s="37" t="s">
        <v>348</v>
      </c>
      <c r="B108" s="38" t="s">
        <v>349</v>
      </c>
      <c r="C108" s="39" t="s">
        <v>312</v>
      </c>
      <c r="D108" s="39" t="s">
        <v>316</v>
      </c>
      <c r="E108" s="39" t="s">
        <v>334</v>
      </c>
      <c r="F108" s="40">
        <f t="shared" ref="F108:Y108" si="71">SUM(F109:F109)</f>
        <v>0</v>
      </c>
      <c r="G108" s="40">
        <f t="shared" si="71"/>
        <v>0</v>
      </c>
      <c r="H108" s="40">
        <f t="shared" si="71"/>
        <v>0</v>
      </c>
      <c r="I108" s="40">
        <f t="shared" si="71"/>
        <v>0</v>
      </c>
      <c r="J108" s="40">
        <f t="shared" si="71"/>
        <v>0</v>
      </c>
      <c r="K108" s="40">
        <f t="shared" si="71"/>
        <v>0</v>
      </c>
      <c r="L108" s="40">
        <f t="shared" si="71"/>
        <v>0</v>
      </c>
      <c r="M108" s="40">
        <f t="shared" si="71"/>
        <v>0</v>
      </c>
      <c r="N108" s="40">
        <f t="shared" si="71"/>
        <v>0</v>
      </c>
      <c r="O108" s="40">
        <f t="shared" si="71"/>
        <v>0</v>
      </c>
      <c r="P108" s="40">
        <f t="shared" si="71"/>
        <v>0</v>
      </c>
      <c r="Q108" s="40">
        <f t="shared" si="71"/>
        <v>0</v>
      </c>
      <c r="R108" s="40">
        <f t="shared" si="71"/>
        <v>0</v>
      </c>
      <c r="S108" s="40">
        <f t="shared" si="71"/>
        <v>0</v>
      </c>
      <c r="T108" s="40">
        <f t="shared" si="71"/>
        <v>0</v>
      </c>
      <c r="U108" s="40">
        <f t="shared" si="71"/>
        <v>0</v>
      </c>
      <c r="V108" s="40">
        <f t="shared" si="71"/>
        <v>0</v>
      </c>
      <c r="W108" s="40">
        <f t="shared" si="71"/>
        <v>0</v>
      </c>
      <c r="X108" s="40">
        <f t="shared" si="71"/>
        <v>0</v>
      </c>
      <c r="Y108" s="40">
        <f t="shared" si="71"/>
        <v>0</v>
      </c>
      <c r="Z108" s="39" t="s">
        <v>335</v>
      </c>
      <c r="AA108" s="41" t="s">
        <v>41</v>
      </c>
      <c r="AB108" s="42" t="s">
        <v>56</v>
      </c>
      <c r="AC108" s="42" t="s">
        <v>57</v>
      </c>
      <c r="AD108" s="43" t="s">
        <v>350</v>
      </c>
    </row>
    <row r="109" spans="1:30" ht="46.5" x14ac:dyDescent="0.25">
      <c r="A109" s="37" t="s">
        <v>351</v>
      </c>
      <c r="B109" s="38" t="s">
        <v>338</v>
      </c>
      <c r="C109" s="39"/>
      <c r="D109" s="39"/>
      <c r="E109" s="39"/>
      <c r="F109" s="44">
        <v>0</v>
      </c>
      <c r="G109" s="44">
        <v>0</v>
      </c>
      <c r="H109" s="44">
        <v>0</v>
      </c>
      <c r="I109" s="44">
        <v>0</v>
      </c>
      <c r="J109" s="44">
        <v>0</v>
      </c>
      <c r="K109" s="44">
        <v>0</v>
      </c>
      <c r="L109" s="44">
        <v>0</v>
      </c>
      <c r="M109" s="44">
        <v>0</v>
      </c>
      <c r="N109" s="44">
        <v>0</v>
      </c>
      <c r="O109" s="44">
        <v>0</v>
      </c>
      <c r="P109" s="44">
        <v>0</v>
      </c>
      <c r="Q109" s="44">
        <v>0</v>
      </c>
      <c r="R109" s="44">
        <v>0</v>
      </c>
      <c r="S109" s="44">
        <v>0</v>
      </c>
      <c r="T109" s="44">
        <v>0</v>
      </c>
      <c r="U109" s="44">
        <v>0</v>
      </c>
      <c r="V109" s="44">
        <v>0</v>
      </c>
      <c r="W109" s="44">
        <v>0</v>
      </c>
      <c r="X109" s="44">
        <v>0</v>
      </c>
      <c r="Y109" s="44">
        <v>0</v>
      </c>
      <c r="Z109" s="39"/>
      <c r="AA109" s="41"/>
      <c r="AB109" s="42"/>
      <c r="AC109" s="42"/>
      <c r="AD109" s="43"/>
    </row>
    <row r="110" spans="1:30" ht="93" x14ac:dyDescent="0.25">
      <c r="A110" s="37" t="s">
        <v>352</v>
      </c>
      <c r="B110" s="38" t="s">
        <v>353</v>
      </c>
      <c r="C110" s="39" t="s">
        <v>312</v>
      </c>
      <c r="D110" s="39" t="s">
        <v>316</v>
      </c>
      <c r="E110" s="39" t="s">
        <v>334</v>
      </c>
      <c r="F110" s="40">
        <f>SUM(F111:F111)+82874</f>
        <v>82874</v>
      </c>
      <c r="G110" s="40">
        <f>SUM(G111:G111)+82874</f>
        <v>82874</v>
      </c>
      <c r="H110" s="40">
        <f t="shared" ref="H110:O110" si="72">SUM(H111:H111)</f>
        <v>0</v>
      </c>
      <c r="I110" s="40">
        <f t="shared" si="72"/>
        <v>0</v>
      </c>
      <c r="J110" s="40">
        <f t="shared" si="72"/>
        <v>0</v>
      </c>
      <c r="K110" s="40">
        <f t="shared" si="72"/>
        <v>0</v>
      </c>
      <c r="L110" s="40">
        <f t="shared" si="72"/>
        <v>0</v>
      </c>
      <c r="M110" s="40">
        <f t="shared" si="72"/>
        <v>0</v>
      </c>
      <c r="N110" s="40">
        <f t="shared" si="72"/>
        <v>0</v>
      </c>
      <c r="O110" s="40">
        <f t="shared" si="72"/>
        <v>0</v>
      </c>
      <c r="P110" s="40">
        <f>SUM(P111:P111)+82874</f>
        <v>82874</v>
      </c>
      <c r="Q110" s="40">
        <f>SUM(Q111:Q111)+82874</f>
        <v>82874</v>
      </c>
      <c r="R110" s="40">
        <f t="shared" ref="R110:Y110" si="73">SUM(R111:R111)</f>
        <v>0</v>
      </c>
      <c r="S110" s="40">
        <f t="shared" si="73"/>
        <v>0</v>
      </c>
      <c r="T110" s="40">
        <f t="shared" si="73"/>
        <v>0</v>
      </c>
      <c r="U110" s="40">
        <f t="shared" si="73"/>
        <v>0</v>
      </c>
      <c r="V110" s="40">
        <f t="shared" si="73"/>
        <v>0</v>
      </c>
      <c r="W110" s="40">
        <f t="shared" si="73"/>
        <v>0</v>
      </c>
      <c r="X110" s="40">
        <f t="shared" si="73"/>
        <v>0</v>
      </c>
      <c r="Y110" s="40">
        <f t="shared" si="73"/>
        <v>0</v>
      </c>
      <c r="Z110" s="39" t="s">
        <v>335</v>
      </c>
      <c r="AA110" s="41" t="s">
        <v>41</v>
      </c>
      <c r="AB110" s="42" t="s">
        <v>56</v>
      </c>
      <c r="AC110" s="42" t="s">
        <v>57</v>
      </c>
      <c r="AD110" s="43" t="s">
        <v>354</v>
      </c>
    </row>
    <row r="111" spans="1:30" ht="46.5" x14ac:dyDescent="0.25">
      <c r="A111" s="37" t="s">
        <v>355</v>
      </c>
      <c r="B111" s="38" t="s">
        <v>338</v>
      </c>
      <c r="C111" s="39"/>
      <c r="D111" s="39"/>
      <c r="E111" s="39"/>
      <c r="F111" s="44">
        <v>0</v>
      </c>
      <c r="G111" s="44">
        <v>0</v>
      </c>
      <c r="H111" s="44">
        <v>0</v>
      </c>
      <c r="I111" s="44">
        <v>0</v>
      </c>
      <c r="J111" s="44">
        <v>0</v>
      </c>
      <c r="K111" s="44">
        <v>0</v>
      </c>
      <c r="L111" s="44">
        <v>0</v>
      </c>
      <c r="M111" s="44">
        <v>0</v>
      </c>
      <c r="N111" s="44">
        <v>0</v>
      </c>
      <c r="O111" s="44">
        <v>0</v>
      </c>
      <c r="P111" s="44">
        <v>0</v>
      </c>
      <c r="Q111" s="44">
        <v>0</v>
      </c>
      <c r="R111" s="44">
        <v>0</v>
      </c>
      <c r="S111" s="44">
        <v>0</v>
      </c>
      <c r="T111" s="44">
        <v>0</v>
      </c>
      <c r="U111" s="44">
        <v>0</v>
      </c>
      <c r="V111" s="44">
        <v>0</v>
      </c>
      <c r="W111" s="44">
        <v>0</v>
      </c>
      <c r="X111" s="44">
        <v>0</v>
      </c>
      <c r="Y111" s="44">
        <v>0</v>
      </c>
      <c r="Z111" s="39"/>
      <c r="AA111" s="41"/>
      <c r="AB111" s="42"/>
      <c r="AC111" s="42"/>
      <c r="AD111" s="43"/>
    </row>
    <row r="112" spans="1:30" ht="93" x14ac:dyDescent="0.25">
      <c r="A112" s="37" t="s">
        <v>356</v>
      </c>
      <c r="B112" s="38" t="s">
        <v>357</v>
      </c>
      <c r="C112" s="39" t="s">
        <v>312</v>
      </c>
      <c r="D112" s="39" t="s">
        <v>316</v>
      </c>
      <c r="E112" s="39" t="s">
        <v>334</v>
      </c>
      <c r="F112" s="40">
        <f t="shared" ref="F112:Y112" si="74">SUM(F113:F113)</f>
        <v>0</v>
      </c>
      <c r="G112" s="40">
        <f t="shared" si="74"/>
        <v>0</v>
      </c>
      <c r="H112" s="40">
        <f t="shared" si="74"/>
        <v>0</v>
      </c>
      <c r="I112" s="40">
        <f t="shared" si="74"/>
        <v>0</v>
      </c>
      <c r="J112" s="40">
        <f t="shared" si="74"/>
        <v>0</v>
      </c>
      <c r="K112" s="40">
        <f t="shared" si="74"/>
        <v>0</v>
      </c>
      <c r="L112" s="40">
        <f t="shared" si="74"/>
        <v>0</v>
      </c>
      <c r="M112" s="40">
        <f t="shared" si="74"/>
        <v>0</v>
      </c>
      <c r="N112" s="40">
        <f t="shared" si="74"/>
        <v>0</v>
      </c>
      <c r="O112" s="40">
        <f t="shared" si="74"/>
        <v>0</v>
      </c>
      <c r="P112" s="40">
        <f t="shared" si="74"/>
        <v>0</v>
      </c>
      <c r="Q112" s="40">
        <f t="shared" si="74"/>
        <v>0</v>
      </c>
      <c r="R112" s="40">
        <f t="shared" si="74"/>
        <v>0</v>
      </c>
      <c r="S112" s="40">
        <f t="shared" si="74"/>
        <v>0</v>
      </c>
      <c r="T112" s="40">
        <f t="shared" si="74"/>
        <v>0</v>
      </c>
      <c r="U112" s="40">
        <f t="shared" si="74"/>
        <v>0</v>
      </c>
      <c r="V112" s="40">
        <f t="shared" si="74"/>
        <v>0</v>
      </c>
      <c r="W112" s="40">
        <f t="shared" si="74"/>
        <v>0</v>
      </c>
      <c r="X112" s="40">
        <f t="shared" si="74"/>
        <v>0</v>
      </c>
      <c r="Y112" s="40">
        <f t="shared" si="74"/>
        <v>0</v>
      </c>
      <c r="Z112" s="39" t="s">
        <v>335</v>
      </c>
      <c r="AA112" s="41" t="s">
        <v>41</v>
      </c>
      <c r="AB112" s="42" t="s">
        <v>56</v>
      </c>
      <c r="AC112" s="42" t="s">
        <v>57</v>
      </c>
      <c r="AD112" s="43" t="s">
        <v>358</v>
      </c>
    </row>
    <row r="113" spans="1:30" ht="46.5" x14ac:dyDescent="0.25">
      <c r="A113" s="37" t="s">
        <v>359</v>
      </c>
      <c r="B113" s="38" t="s">
        <v>338</v>
      </c>
      <c r="C113" s="39"/>
      <c r="D113" s="39"/>
      <c r="E113" s="39"/>
      <c r="F113" s="44">
        <v>0</v>
      </c>
      <c r="G113" s="44">
        <v>0</v>
      </c>
      <c r="H113" s="44">
        <v>0</v>
      </c>
      <c r="I113" s="44">
        <v>0</v>
      </c>
      <c r="J113" s="44">
        <v>0</v>
      </c>
      <c r="K113" s="44">
        <v>0</v>
      </c>
      <c r="L113" s="44">
        <v>0</v>
      </c>
      <c r="M113" s="44">
        <v>0</v>
      </c>
      <c r="N113" s="44">
        <v>0</v>
      </c>
      <c r="O113" s="44">
        <v>0</v>
      </c>
      <c r="P113" s="44">
        <v>0</v>
      </c>
      <c r="Q113" s="44">
        <v>0</v>
      </c>
      <c r="R113" s="44">
        <v>0</v>
      </c>
      <c r="S113" s="44">
        <v>0</v>
      </c>
      <c r="T113" s="44">
        <v>0</v>
      </c>
      <c r="U113" s="44">
        <v>0</v>
      </c>
      <c r="V113" s="44">
        <v>0</v>
      </c>
      <c r="W113" s="44">
        <v>0</v>
      </c>
      <c r="X113" s="44">
        <v>0</v>
      </c>
      <c r="Y113" s="44">
        <v>0</v>
      </c>
      <c r="Z113" s="39"/>
      <c r="AA113" s="41"/>
      <c r="AB113" s="42"/>
      <c r="AC113" s="42"/>
      <c r="AD113" s="43"/>
    </row>
    <row r="114" spans="1:30" ht="93" x14ac:dyDescent="0.25">
      <c r="A114" s="37" t="s">
        <v>360</v>
      </c>
      <c r="B114" s="38" t="s">
        <v>361</v>
      </c>
      <c r="C114" s="39" t="s">
        <v>312</v>
      </c>
      <c r="D114" s="39" t="s">
        <v>316</v>
      </c>
      <c r="E114" s="39" t="s">
        <v>334</v>
      </c>
      <c r="F114" s="40">
        <f>SUM(F115:F115)+22910.62</f>
        <v>22910.62</v>
      </c>
      <c r="G114" s="40">
        <f t="shared" ref="G114:L114" si="75">SUM(G115:G115)</f>
        <v>0</v>
      </c>
      <c r="H114" s="40">
        <f t="shared" si="75"/>
        <v>0</v>
      </c>
      <c r="I114" s="40">
        <f t="shared" si="75"/>
        <v>0</v>
      </c>
      <c r="J114" s="40">
        <f t="shared" si="75"/>
        <v>0</v>
      </c>
      <c r="K114" s="40">
        <f t="shared" si="75"/>
        <v>0</v>
      </c>
      <c r="L114" s="40">
        <f t="shared" si="75"/>
        <v>0</v>
      </c>
      <c r="M114" s="40">
        <f>SUM(M115:M115)+22910.62</f>
        <v>22910.62</v>
      </c>
      <c r="N114" s="40">
        <f>SUM(N115:N115)</f>
        <v>0</v>
      </c>
      <c r="O114" s="40">
        <f>SUM(O115:O115)</f>
        <v>0</v>
      </c>
      <c r="P114" s="40">
        <f>SUM(P115:P115)+22910.62</f>
        <v>22910.62</v>
      </c>
      <c r="Q114" s="40">
        <f t="shared" ref="Q114:V114" si="76">SUM(Q115:Q115)</f>
        <v>0</v>
      </c>
      <c r="R114" s="40">
        <f t="shared" si="76"/>
        <v>0</v>
      </c>
      <c r="S114" s="40">
        <f t="shared" si="76"/>
        <v>0</v>
      </c>
      <c r="T114" s="40">
        <f t="shared" si="76"/>
        <v>0</v>
      </c>
      <c r="U114" s="40">
        <f t="shared" si="76"/>
        <v>0</v>
      </c>
      <c r="V114" s="40">
        <f t="shared" si="76"/>
        <v>0</v>
      </c>
      <c r="W114" s="40">
        <f>SUM(W115:W115)+22910.62</f>
        <v>22910.62</v>
      </c>
      <c r="X114" s="40">
        <f>SUM(X115:X115)</f>
        <v>0</v>
      </c>
      <c r="Y114" s="40">
        <f>SUM(Y115:Y115)</f>
        <v>0</v>
      </c>
      <c r="Z114" s="39" t="s">
        <v>335</v>
      </c>
      <c r="AA114" s="41" t="s">
        <v>41</v>
      </c>
      <c r="AB114" s="42" t="s">
        <v>56</v>
      </c>
      <c r="AC114" s="42" t="s">
        <v>57</v>
      </c>
      <c r="AD114" s="43" t="s">
        <v>354</v>
      </c>
    </row>
    <row r="115" spans="1:30" ht="46.5" x14ac:dyDescent="0.25">
      <c r="A115" s="37" t="s">
        <v>362</v>
      </c>
      <c r="B115" s="38" t="s">
        <v>338</v>
      </c>
      <c r="C115" s="39"/>
      <c r="D115" s="39"/>
      <c r="E115" s="39"/>
      <c r="F115" s="44">
        <v>0</v>
      </c>
      <c r="G115" s="44">
        <v>0</v>
      </c>
      <c r="H115" s="44">
        <v>0</v>
      </c>
      <c r="I115" s="44">
        <v>0</v>
      </c>
      <c r="J115" s="44">
        <v>0</v>
      </c>
      <c r="K115" s="44">
        <v>0</v>
      </c>
      <c r="L115" s="44">
        <v>0</v>
      </c>
      <c r="M115" s="44">
        <v>0</v>
      </c>
      <c r="N115" s="44">
        <v>0</v>
      </c>
      <c r="O115" s="44">
        <v>0</v>
      </c>
      <c r="P115" s="44">
        <v>0</v>
      </c>
      <c r="Q115" s="44">
        <v>0</v>
      </c>
      <c r="R115" s="44">
        <v>0</v>
      </c>
      <c r="S115" s="44">
        <v>0</v>
      </c>
      <c r="T115" s="44">
        <v>0</v>
      </c>
      <c r="U115" s="44">
        <v>0</v>
      </c>
      <c r="V115" s="44">
        <v>0</v>
      </c>
      <c r="W115" s="44">
        <v>0</v>
      </c>
      <c r="X115" s="44">
        <v>0</v>
      </c>
      <c r="Y115" s="44">
        <v>0</v>
      </c>
      <c r="Z115" s="39"/>
      <c r="AA115" s="41"/>
      <c r="AB115" s="42"/>
      <c r="AC115" s="42"/>
      <c r="AD115" s="43"/>
    </row>
    <row r="116" spans="1:30" ht="93" x14ac:dyDescent="0.25">
      <c r="A116" s="37" t="s">
        <v>363</v>
      </c>
      <c r="B116" s="38" t="s">
        <v>364</v>
      </c>
      <c r="C116" s="39" t="s">
        <v>312</v>
      </c>
      <c r="D116" s="39" t="s">
        <v>365</v>
      </c>
      <c r="E116" s="39" t="s">
        <v>334</v>
      </c>
      <c r="F116" s="40">
        <f>SUM(F117:F120)+39902.8</f>
        <v>39902.800000000003</v>
      </c>
      <c r="G116" s="40">
        <f>SUM(G117:G120)</f>
        <v>0</v>
      </c>
      <c r="H116" s="40">
        <f>SUM(H117:H120)</f>
        <v>0</v>
      </c>
      <c r="I116" s="40">
        <f>SUM(I117:I120)</f>
        <v>0</v>
      </c>
      <c r="J116" s="40">
        <f>SUM(J117:J120)</f>
        <v>0</v>
      </c>
      <c r="K116" s="40">
        <f>SUM(K117:K120)+39902.8</f>
        <v>39902.800000000003</v>
      </c>
      <c r="L116" s="40">
        <f>SUM(L117:L120)</f>
        <v>0</v>
      </c>
      <c r="M116" s="40">
        <f>SUM(M117:M120)</f>
        <v>0</v>
      </c>
      <c r="N116" s="40">
        <f>SUM(N117:N120)</f>
        <v>0</v>
      </c>
      <c r="O116" s="40">
        <f>SUM(O117:O120)</f>
        <v>0</v>
      </c>
      <c r="P116" s="40">
        <f>SUM(P117:P120)+39902.8</f>
        <v>39902.800000000003</v>
      </c>
      <c r="Q116" s="40">
        <f>SUM(Q117:Q120)</f>
        <v>0</v>
      </c>
      <c r="R116" s="40">
        <f>SUM(R117:R120)</f>
        <v>0</v>
      </c>
      <c r="S116" s="40">
        <f>SUM(S117:S120)</f>
        <v>0</v>
      </c>
      <c r="T116" s="40">
        <f>SUM(T117:T120)</f>
        <v>0</v>
      </c>
      <c r="U116" s="40">
        <f>SUM(U117:U120)+39902.8</f>
        <v>39902.800000000003</v>
      </c>
      <c r="V116" s="40">
        <f>SUM(V117:V120)</f>
        <v>0</v>
      </c>
      <c r="W116" s="40">
        <f>SUM(W117:W120)</f>
        <v>0</v>
      </c>
      <c r="X116" s="40">
        <f>SUM(X117:X120)</f>
        <v>0</v>
      </c>
      <c r="Y116" s="40">
        <f>SUM(Y117:Y120)</f>
        <v>0</v>
      </c>
      <c r="Z116" s="39" t="s">
        <v>366</v>
      </c>
      <c r="AA116" s="41" t="s">
        <v>41</v>
      </c>
      <c r="AB116" s="42" t="s">
        <v>56</v>
      </c>
      <c r="AC116" s="42" t="s">
        <v>57</v>
      </c>
      <c r="AD116" s="43"/>
    </row>
    <row r="117" spans="1:30" ht="46.5" x14ac:dyDescent="0.25">
      <c r="A117" s="45"/>
      <c r="B117" s="46"/>
      <c r="C117" s="47"/>
      <c r="D117" s="47"/>
      <c r="E117" s="47"/>
      <c r="F117" s="48">
        <v>0</v>
      </c>
      <c r="G117" s="48">
        <v>0</v>
      </c>
      <c r="H117" s="48">
        <v>0</v>
      </c>
      <c r="I117" s="48">
        <v>0</v>
      </c>
      <c r="J117" s="48">
        <v>0</v>
      </c>
      <c r="K117" s="48">
        <v>0</v>
      </c>
      <c r="L117" s="48">
        <v>0</v>
      </c>
      <c r="M117" s="48">
        <v>0</v>
      </c>
      <c r="N117" s="48">
        <v>0</v>
      </c>
      <c r="O117" s="48">
        <v>0</v>
      </c>
      <c r="P117" s="48">
        <v>0</v>
      </c>
      <c r="Q117" s="48">
        <v>0</v>
      </c>
      <c r="R117" s="48">
        <v>0</v>
      </c>
      <c r="S117" s="48">
        <v>0</v>
      </c>
      <c r="T117" s="48">
        <v>0</v>
      </c>
      <c r="U117" s="48">
        <v>0</v>
      </c>
      <c r="V117" s="48">
        <v>0</v>
      </c>
      <c r="W117" s="48">
        <v>0</v>
      </c>
      <c r="X117" s="48">
        <v>0</v>
      </c>
      <c r="Y117" s="48">
        <v>0</v>
      </c>
      <c r="Z117" s="47" t="s">
        <v>367</v>
      </c>
      <c r="AA117" s="49" t="s">
        <v>35</v>
      </c>
      <c r="AB117" s="50" t="s">
        <v>285</v>
      </c>
      <c r="AC117" s="50" t="s">
        <v>57</v>
      </c>
      <c r="AD117" s="51"/>
    </row>
    <row r="118" spans="1:30" ht="69.75" x14ac:dyDescent="0.25">
      <c r="A118" s="45"/>
      <c r="B118" s="46"/>
      <c r="C118" s="47"/>
      <c r="D118" s="47"/>
      <c r="E118" s="47"/>
      <c r="F118" s="48">
        <v>0</v>
      </c>
      <c r="G118" s="48">
        <v>0</v>
      </c>
      <c r="H118" s="48">
        <v>0</v>
      </c>
      <c r="I118" s="48">
        <v>0</v>
      </c>
      <c r="J118" s="48">
        <v>0</v>
      </c>
      <c r="K118" s="48">
        <v>0</v>
      </c>
      <c r="L118" s="48">
        <v>0</v>
      </c>
      <c r="M118" s="48">
        <v>0</v>
      </c>
      <c r="N118" s="48">
        <v>0</v>
      </c>
      <c r="O118" s="48">
        <v>0</v>
      </c>
      <c r="P118" s="48">
        <v>0</v>
      </c>
      <c r="Q118" s="48">
        <v>0</v>
      </c>
      <c r="R118" s="48">
        <v>0</v>
      </c>
      <c r="S118" s="48">
        <v>0</v>
      </c>
      <c r="T118" s="48">
        <v>0</v>
      </c>
      <c r="U118" s="48">
        <v>0</v>
      </c>
      <c r="V118" s="48">
        <v>0</v>
      </c>
      <c r="W118" s="48">
        <v>0</v>
      </c>
      <c r="X118" s="48">
        <v>0</v>
      </c>
      <c r="Y118" s="48">
        <v>0</v>
      </c>
      <c r="Z118" s="47" t="s">
        <v>368</v>
      </c>
      <c r="AA118" s="49" t="s">
        <v>35</v>
      </c>
      <c r="AB118" s="50" t="s">
        <v>285</v>
      </c>
      <c r="AC118" s="50" t="s">
        <v>57</v>
      </c>
      <c r="AD118" s="51" t="s">
        <v>369</v>
      </c>
    </row>
    <row r="119" spans="1:30" ht="46.5" x14ac:dyDescent="0.25">
      <c r="A119" s="45"/>
      <c r="B119" s="46"/>
      <c r="C119" s="47"/>
      <c r="D119" s="47"/>
      <c r="E119" s="47"/>
      <c r="F119" s="48">
        <v>0</v>
      </c>
      <c r="G119" s="48">
        <v>0</v>
      </c>
      <c r="H119" s="48">
        <v>0</v>
      </c>
      <c r="I119" s="48">
        <v>0</v>
      </c>
      <c r="J119" s="48">
        <v>0</v>
      </c>
      <c r="K119" s="48">
        <v>0</v>
      </c>
      <c r="L119" s="48">
        <v>0</v>
      </c>
      <c r="M119" s="48">
        <v>0</v>
      </c>
      <c r="N119" s="48">
        <v>0</v>
      </c>
      <c r="O119" s="48">
        <v>0</v>
      </c>
      <c r="P119" s="48">
        <v>0</v>
      </c>
      <c r="Q119" s="48">
        <v>0</v>
      </c>
      <c r="R119" s="48">
        <v>0</v>
      </c>
      <c r="S119" s="48">
        <v>0</v>
      </c>
      <c r="T119" s="48">
        <v>0</v>
      </c>
      <c r="U119" s="48">
        <v>0</v>
      </c>
      <c r="V119" s="48">
        <v>0</v>
      </c>
      <c r="W119" s="48">
        <v>0</v>
      </c>
      <c r="X119" s="48">
        <v>0</v>
      </c>
      <c r="Y119" s="48">
        <v>0</v>
      </c>
      <c r="Z119" s="47" t="s">
        <v>370</v>
      </c>
      <c r="AA119" s="49" t="s">
        <v>35</v>
      </c>
      <c r="AB119" s="50" t="s">
        <v>285</v>
      </c>
      <c r="AC119" s="50" t="s">
        <v>57</v>
      </c>
      <c r="AD119" s="51"/>
    </row>
    <row r="120" spans="1:30" ht="46.5" x14ac:dyDescent="0.25">
      <c r="A120" s="37" t="s">
        <v>371</v>
      </c>
      <c r="B120" s="38" t="s">
        <v>372</v>
      </c>
      <c r="C120" s="39"/>
      <c r="D120" s="39"/>
      <c r="E120" s="39"/>
      <c r="F120" s="44">
        <v>0</v>
      </c>
      <c r="G120" s="44">
        <v>0</v>
      </c>
      <c r="H120" s="44">
        <v>0</v>
      </c>
      <c r="I120" s="44">
        <v>0</v>
      </c>
      <c r="J120" s="44">
        <v>0</v>
      </c>
      <c r="K120" s="44">
        <v>0</v>
      </c>
      <c r="L120" s="44">
        <v>0</v>
      </c>
      <c r="M120" s="44">
        <v>0</v>
      </c>
      <c r="N120" s="44">
        <v>0</v>
      </c>
      <c r="O120" s="44">
        <v>0</v>
      </c>
      <c r="P120" s="44">
        <v>0</v>
      </c>
      <c r="Q120" s="44">
        <v>0</v>
      </c>
      <c r="R120" s="44">
        <v>0</v>
      </c>
      <c r="S120" s="44">
        <v>0</v>
      </c>
      <c r="T120" s="44">
        <v>0</v>
      </c>
      <c r="U120" s="44">
        <v>0</v>
      </c>
      <c r="V120" s="44">
        <v>0</v>
      </c>
      <c r="W120" s="44">
        <v>0</v>
      </c>
      <c r="X120" s="44">
        <v>0</v>
      </c>
      <c r="Y120" s="44">
        <v>0</v>
      </c>
      <c r="Z120" s="39"/>
      <c r="AA120" s="41"/>
      <c r="AB120" s="42"/>
      <c r="AC120" s="42"/>
      <c r="AD120" s="43"/>
    </row>
    <row r="121" spans="1:30" ht="45" x14ac:dyDescent="0.25">
      <c r="A121" s="30" t="s">
        <v>373</v>
      </c>
      <c r="B121" s="31" t="s">
        <v>374</v>
      </c>
      <c r="C121" s="32" t="s">
        <v>312</v>
      </c>
      <c r="D121" s="32" t="s">
        <v>375</v>
      </c>
      <c r="E121" s="32" t="s">
        <v>39</v>
      </c>
      <c r="F121" s="33">
        <f t="shared" ref="F121:Y121" si="77">F122+F124+F126</f>
        <v>6292</v>
      </c>
      <c r="G121" s="33">
        <f t="shared" si="77"/>
        <v>6292</v>
      </c>
      <c r="H121" s="33">
        <f t="shared" si="77"/>
        <v>0</v>
      </c>
      <c r="I121" s="33">
        <f t="shared" si="77"/>
        <v>0</v>
      </c>
      <c r="J121" s="33">
        <f t="shared" si="77"/>
        <v>0</v>
      </c>
      <c r="K121" s="33">
        <f t="shared" si="77"/>
        <v>0</v>
      </c>
      <c r="L121" s="33">
        <f t="shared" si="77"/>
        <v>0</v>
      </c>
      <c r="M121" s="33">
        <f t="shared" si="77"/>
        <v>0</v>
      </c>
      <c r="N121" s="33">
        <f t="shared" si="77"/>
        <v>0</v>
      </c>
      <c r="O121" s="33">
        <f t="shared" si="77"/>
        <v>0</v>
      </c>
      <c r="P121" s="33">
        <f t="shared" si="77"/>
        <v>6292</v>
      </c>
      <c r="Q121" s="33">
        <f t="shared" si="77"/>
        <v>6292</v>
      </c>
      <c r="R121" s="33">
        <f t="shared" si="77"/>
        <v>0</v>
      </c>
      <c r="S121" s="33">
        <f t="shared" si="77"/>
        <v>0</v>
      </c>
      <c r="T121" s="33">
        <f t="shared" si="77"/>
        <v>0</v>
      </c>
      <c r="U121" s="33">
        <f t="shared" si="77"/>
        <v>0</v>
      </c>
      <c r="V121" s="33">
        <f t="shared" si="77"/>
        <v>0</v>
      </c>
      <c r="W121" s="33">
        <f t="shared" si="77"/>
        <v>0</v>
      </c>
      <c r="X121" s="33">
        <f t="shared" si="77"/>
        <v>0</v>
      </c>
      <c r="Y121" s="33">
        <f t="shared" si="77"/>
        <v>0</v>
      </c>
      <c r="Z121" s="32" t="s">
        <v>376</v>
      </c>
      <c r="AA121" s="34" t="s">
        <v>41</v>
      </c>
      <c r="AB121" s="35" t="s">
        <v>42</v>
      </c>
      <c r="AC121" s="35" t="s">
        <v>42</v>
      </c>
      <c r="AD121" s="36"/>
    </row>
    <row r="122" spans="1:30" ht="93" x14ac:dyDescent="0.25">
      <c r="A122" s="37" t="s">
        <v>377</v>
      </c>
      <c r="B122" s="38" t="s">
        <v>378</v>
      </c>
      <c r="C122" s="39" t="s">
        <v>312</v>
      </c>
      <c r="D122" s="39" t="s">
        <v>375</v>
      </c>
      <c r="E122" s="39" t="s">
        <v>46</v>
      </c>
      <c r="F122" s="40">
        <f t="shared" ref="F122:Y122" si="78">SUM(F123:F123)</f>
        <v>0</v>
      </c>
      <c r="G122" s="40">
        <f t="shared" si="78"/>
        <v>0</v>
      </c>
      <c r="H122" s="40">
        <f t="shared" si="78"/>
        <v>0</v>
      </c>
      <c r="I122" s="40">
        <f t="shared" si="78"/>
        <v>0</v>
      </c>
      <c r="J122" s="40">
        <f t="shared" si="78"/>
        <v>0</v>
      </c>
      <c r="K122" s="40">
        <f t="shared" si="78"/>
        <v>0</v>
      </c>
      <c r="L122" s="40">
        <f t="shared" si="78"/>
        <v>0</v>
      </c>
      <c r="M122" s="40">
        <f t="shared" si="78"/>
        <v>0</v>
      </c>
      <c r="N122" s="40">
        <f t="shared" si="78"/>
        <v>0</v>
      </c>
      <c r="O122" s="40">
        <f t="shared" si="78"/>
        <v>0</v>
      </c>
      <c r="P122" s="40">
        <f t="shared" si="78"/>
        <v>0</v>
      </c>
      <c r="Q122" s="40">
        <f t="shared" si="78"/>
        <v>0</v>
      </c>
      <c r="R122" s="40">
        <f t="shared" si="78"/>
        <v>0</v>
      </c>
      <c r="S122" s="40">
        <f t="shared" si="78"/>
        <v>0</v>
      </c>
      <c r="T122" s="40">
        <f t="shared" si="78"/>
        <v>0</v>
      </c>
      <c r="U122" s="40">
        <f t="shared" si="78"/>
        <v>0</v>
      </c>
      <c r="V122" s="40">
        <f t="shared" si="78"/>
        <v>0</v>
      </c>
      <c r="W122" s="40">
        <f t="shared" si="78"/>
        <v>0</v>
      </c>
      <c r="X122" s="40">
        <f t="shared" si="78"/>
        <v>0</v>
      </c>
      <c r="Y122" s="40">
        <f t="shared" si="78"/>
        <v>0</v>
      </c>
      <c r="Z122" s="39" t="s">
        <v>379</v>
      </c>
      <c r="AA122" s="41" t="s">
        <v>41</v>
      </c>
      <c r="AB122" s="42" t="s">
        <v>42</v>
      </c>
      <c r="AC122" s="42" t="s">
        <v>57</v>
      </c>
      <c r="AD122" s="43" t="s">
        <v>380</v>
      </c>
    </row>
    <row r="123" spans="1:30" ht="46.5" x14ac:dyDescent="0.25">
      <c r="A123" s="37" t="s">
        <v>381</v>
      </c>
      <c r="B123" s="38" t="s">
        <v>382</v>
      </c>
      <c r="C123" s="39"/>
      <c r="D123" s="39"/>
      <c r="E123" s="39"/>
      <c r="F123" s="44">
        <v>0</v>
      </c>
      <c r="G123" s="44">
        <v>0</v>
      </c>
      <c r="H123" s="44">
        <v>0</v>
      </c>
      <c r="I123" s="44">
        <v>0</v>
      </c>
      <c r="J123" s="44">
        <v>0</v>
      </c>
      <c r="K123" s="44">
        <v>0</v>
      </c>
      <c r="L123" s="44">
        <v>0</v>
      </c>
      <c r="M123" s="44">
        <v>0</v>
      </c>
      <c r="N123" s="44">
        <v>0</v>
      </c>
      <c r="O123" s="44">
        <v>0</v>
      </c>
      <c r="P123" s="44">
        <v>0</v>
      </c>
      <c r="Q123" s="44">
        <v>0</v>
      </c>
      <c r="R123" s="44">
        <v>0</v>
      </c>
      <c r="S123" s="44">
        <v>0</v>
      </c>
      <c r="T123" s="44">
        <v>0</v>
      </c>
      <c r="U123" s="44">
        <v>0</v>
      </c>
      <c r="V123" s="44">
        <v>0</v>
      </c>
      <c r="W123" s="44">
        <v>0</v>
      </c>
      <c r="X123" s="44">
        <v>0</v>
      </c>
      <c r="Y123" s="44">
        <v>0</v>
      </c>
      <c r="Z123" s="39"/>
      <c r="AA123" s="41"/>
      <c r="AB123" s="42"/>
      <c r="AC123" s="42"/>
      <c r="AD123" s="43"/>
    </row>
    <row r="124" spans="1:30" ht="69.75" x14ac:dyDescent="0.25">
      <c r="A124" s="37" t="s">
        <v>383</v>
      </c>
      <c r="B124" s="38" t="s">
        <v>384</v>
      </c>
      <c r="C124" s="39" t="s">
        <v>312</v>
      </c>
      <c r="D124" s="39" t="s">
        <v>385</v>
      </c>
      <c r="E124" s="39" t="s">
        <v>46</v>
      </c>
      <c r="F124" s="40">
        <f>SUM(F125:F125)+1210</f>
        <v>1210</v>
      </c>
      <c r="G124" s="40">
        <f>SUM(G125:G125)+1210</f>
        <v>1210</v>
      </c>
      <c r="H124" s="40">
        <f t="shared" ref="H124:O124" si="79">SUM(H125:H125)</f>
        <v>0</v>
      </c>
      <c r="I124" s="40">
        <f t="shared" si="79"/>
        <v>0</v>
      </c>
      <c r="J124" s="40">
        <f t="shared" si="79"/>
        <v>0</v>
      </c>
      <c r="K124" s="40">
        <f t="shared" si="79"/>
        <v>0</v>
      </c>
      <c r="L124" s="40">
        <f t="shared" si="79"/>
        <v>0</v>
      </c>
      <c r="M124" s="40">
        <f t="shared" si="79"/>
        <v>0</v>
      </c>
      <c r="N124" s="40">
        <f t="shared" si="79"/>
        <v>0</v>
      </c>
      <c r="O124" s="40">
        <f t="shared" si="79"/>
        <v>0</v>
      </c>
      <c r="P124" s="40">
        <f>SUM(P125:P125)+1210</f>
        <v>1210</v>
      </c>
      <c r="Q124" s="40">
        <f>SUM(Q125:Q125)+1210</f>
        <v>1210</v>
      </c>
      <c r="R124" s="40">
        <f t="shared" ref="R124:Y124" si="80">SUM(R125:R125)</f>
        <v>0</v>
      </c>
      <c r="S124" s="40">
        <f t="shared" si="80"/>
        <v>0</v>
      </c>
      <c r="T124" s="40">
        <f t="shared" si="80"/>
        <v>0</v>
      </c>
      <c r="U124" s="40">
        <f t="shared" si="80"/>
        <v>0</v>
      </c>
      <c r="V124" s="40">
        <f t="shared" si="80"/>
        <v>0</v>
      </c>
      <c r="W124" s="40">
        <f t="shared" si="80"/>
        <v>0</v>
      </c>
      <c r="X124" s="40">
        <f t="shared" si="80"/>
        <v>0</v>
      </c>
      <c r="Y124" s="40">
        <f t="shared" si="80"/>
        <v>0</v>
      </c>
      <c r="Z124" s="39" t="s">
        <v>386</v>
      </c>
      <c r="AA124" s="41" t="s">
        <v>41</v>
      </c>
      <c r="AB124" s="42" t="s">
        <v>56</v>
      </c>
      <c r="AC124" s="42" t="s">
        <v>56</v>
      </c>
      <c r="AD124" s="43"/>
    </row>
    <row r="125" spans="1:30" ht="46.5" x14ac:dyDescent="0.25">
      <c r="A125" s="37" t="s">
        <v>387</v>
      </c>
      <c r="B125" s="38" t="s">
        <v>388</v>
      </c>
      <c r="C125" s="39"/>
      <c r="D125" s="39"/>
      <c r="E125" s="39"/>
      <c r="F125" s="44">
        <v>0</v>
      </c>
      <c r="G125" s="44">
        <v>0</v>
      </c>
      <c r="H125" s="44">
        <v>0</v>
      </c>
      <c r="I125" s="44">
        <v>0</v>
      </c>
      <c r="J125" s="44">
        <v>0</v>
      </c>
      <c r="K125" s="44">
        <v>0</v>
      </c>
      <c r="L125" s="44">
        <v>0</v>
      </c>
      <c r="M125" s="44">
        <v>0</v>
      </c>
      <c r="N125" s="44">
        <v>0</v>
      </c>
      <c r="O125" s="44">
        <v>0</v>
      </c>
      <c r="P125" s="44">
        <v>0</v>
      </c>
      <c r="Q125" s="44">
        <v>0</v>
      </c>
      <c r="R125" s="44">
        <v>0</v>
      </c>
      <c r="S125" s="44">
        <v>0</v>
      </c>
      <c r="T125" s="44">
        <v>0</v>
      </c>
      <c r="U125" s="44">
        <v>0</v>
      </c>
      <c r="V125" s="44">
        <v>0</v>
      </c>
      <c r="W125" s="44">
        <v>0</v>
      </c>
      <c r="X125" s="44">
        <v>0</v>
      </c>
      <c r="Y125" s="44">
        <v>0</v>
      </c>
      <c r="Z125" s="39"/>
      <c r="AA125" s="41"/>
      <c r="AB125" s="42"/>
      <c r="AC125" s="42"/>
      <c r="AD125" s="43"/>
    </row>
    <row r="126" spans="1:30" ht="116.25" x14ac:dyDescent="0.25">
      <c r="A126" s="37" t="s">
        <v>389</v>
      </c>
      <c r="B126" s="38" t="s">
        <v>390</v>
      </c>
      <c r="C126" s="39" t="s">
        <v>391</v>
      </c>
      <c r="D126" s="39" t="s">
        <v>392</v>
      </c>
      <c r="E126" s="39" t="s">
        <v>46</v>
      </c>
      <c r="F126" s="40">
        <f>SUM(F127:F128)+5082</f>
        <v>5082</v>
      </c>
      <c r="G126" s="40">
        <f>SUM(G127:G128)+5082</f>
        <v>5082</v>
      </c>
      <c r="H126" s="40">
        <f t="shared" ref="H126:O126" si="81">SUM(H127:H128)</f>
        <v>0</v>
      </c>
      <c r="I126" s="40">
        <f t="shared" si="81"/>
        <v>0</v>
      </c>
      <c r="J126" s="40">
        <f t="shared" si="81"/>
        <v>0</v>
      </c>
      <c r="K126" s="40">
        <f t="shared" si="81"/>
        <v>0</v>
      </c>
      <c r="L126" s="40">
        <f t="shared" si="81"/>
        <v>0</v>
      </c>
      <c r="M126" s="40">
        <f t="shared" si="81"/>
        <v>0</v>
      </c>
      <c r="N126" s="40">
        <f t="shared" si="81"/>
        <v>0</v>
      </c>
      <c r="O126" s="40">
        <f t="shared" si="81"/>
        <v>0</v>
      </c>
      <c r="P126" s="40">
        <f>SUM(P127:P128)+5082</f>
        <v>5082</v>
      </c>
      <c r="Q126" s="40">
        <f>SUM(Q127:Q128)+5082</f>
        <v>5082</v>
      </c>
      <c r="R126" s="40">
        <f t="shared" ref="R126:Y126" si="82">SUM(R127:R128)</f>
        <v>0</v>
      </c>
      <c r="S126" s="40">
        <f t="shared" si="82"/>
        <v>0</v>
      </c>
      <c r="T126" s="40">
        <f t="shared" si="82"/>
        <v>0</v>
      </c>
      <c r="U126" s="40">
        <f t="shared" si="82"/>
        <v>0</v>
      </c>
      <c r="V126" s="40">
        <f t="shared" si="82"/>
        <v>0</v>
      </c>
      <c r="W126" s="40">
        <f t="shared" si="82"/>
        <v>0</v>
      </c>
      <c r="X126" s="40">
        <f t="shared" si="82"/>
        <v>0</v>
      </c>
      <c r="Y126" s="40">
        <f t="shared" si="82"/>
        <v>0</v>
      </c>
      <c r="Z126" s="39" t="s">
        <v>393</v>
      </c>
      <c r="AA126" s="41" t="s">
        <v>41</v>
      </c>
      <c r="AB126" s="42" t="s">
        <v>56</v>
      </c>
      <c r="AC126" s="42" t="s">
        <v>57</v>
      </c>
      <c r="AD126" s="43"/>
    </row>
    <row r="127" spans="1:30" ht="116.25" x14ac:dyDescent="0.25">
      <c r="A127" s="45"/>
      <c r="B127" s="46"/>
      <c r="C127" s="47"/>
      <c r="D127" s="47"/>
      <c r="E127" s="47"/>
      <c r="F127" s="48">
        <v>0</v>
      </c>
      <c r="G127" s="48">
        <v>0</v>
      </c>
      <c r="H127" s="48">
        <v>0</v>
      </c>
      <c r="I127" s="48">
        <v>0</v>
      </c>
      <c r="J127" s="48">
        <v>0</v>
      </c>
      <c r="K127" s="48">
        <v>0</v>
      </c>
      <c r="L127" s="48">
        <v>0</v>
      </c>
      <c r="M127" s="48">
        <v>0</v>
      </c>
      <c r="N127" s="48">
        <v>0</v>
      </c>
      <c r="O127" s="48">
        <v>0</v>
      </c>
      <c r="P127" s="48">
        <v>0</v>
      </c>
      <c r="Q127" s="48">
        <v>0</v>
      </c>
      <c r="R127" s="48">
        <v>0</v>
      </c>
      <c r="S127" s="48">
        <v>0</v>
      </c>
      <c r="T127" s="48">
        <v>0</v>
      </c>
      <c r="U127" s="48">
        <v>0</v>
      </c>
      <c r="V127" s="48">
        <v>0</v>
      </c>
      <c r="W127" s="48">
        <v>0</v>
      </c>
      <c r="X127" s="48">
        <v>0</v>
      </c>
      <c r="Y127" s="48">
        <v>0</v>
      </c>
      <c r="Z127" s="47" t="s">
        <v>393</v>
      </c>
      <c r="AA127" s="49" t="s">
        <v>41</v>
      </c>
      <c r="AB127" s="50" t="s">
        <v>57</v>
      </c>
      <c r="AC127" s="50" t="s">
        <v>56</v>
      </c>
      <c r="AD127" s="51" t="s">
        <v>394</v>
      </c>
    </row>
    <row r="128" spans="1:30" ht="46.5" x14ac:dyDescent="0.25">
      <c r="A128" s="37" t="s">
        <v>395</v>
      </c>
      <c r="B128" s="38" t="s">
        <v>396</v>
      </c>
      <c r="C128" s="39"/>
      <c r="D128" s="39"/>
      <c r="E128" s="39"/>
      <c r="F128" s="44">
        <v>0</v>
      </c>
      <c r="G128" s="44">
        <v>0</v>
      </c>
      <c r="H128" s="44">
        <v>0</v>
      </c>
      <c r="I128" s="44">
        <v>0</v>
      </c>
      <c r="J128" s="44">
        <v>0</v>
      </c>
      <c r="K128" s="44">
        <v>0</v>
      </c>
      <c r="L128" s="44">
        <v>0</v>
      </c>
      <c r="M128" s="44">
        <v>0</v>
      </c>
      <c r="N128" s="44">
        <v>0</v>
      </c>
      <c r="O128" s="44">
        <v>0</v>
      </c>
      <c r="P128" s="44">
        <v>0</v>
      </c>
      <c r="Q128" s="44">
        <v>0</v>
      </c>
      <c r="R128" s="44">
        <v>0</v>
      </c>
      <c r="S128" s="44">
        <v>0</v>
      </c>
      <c r="T128" s="44">
        <v>0</v>
      </c>
      <c r="U128" s="44">
        <v>0</v>
      </c>
      <c r="V128" s="44">
        <v>0</v>
      </c>
      <c r="W128" s="44">
        <v>0</v>
      </c>
      <c r="X128" s="44">
        <v>0</v>
      </c>
      <c r="Y128" s="44">
        <v>0</v>
      </c>
      <c r="Z128" s="39"/>
      <c r="AA128" s="41"/>
      <c r="AB128" s="42"/>
      <c r="AC128" s="42"/>
      <c r="AD128" s="43"/>
    </row>
    <row r="129" spans="1:30" ht="67.5" x14ac:dyDescent="0.25">
      <c r="A129" s="23" t="s">
        <v>397</v>
      </c>
      <c r="B129" s="24" t="s">
        <v>398</v>
      </c>
      <c r="C129" s="25" t="s">
        <v>312</v>
      </c>
      <c r="D129" s="25" t="s">
        <v>316</v>
      </c>
      <c r="E129" s="25"/>
      <c r="F129" s="26">
        <f t="shared" ref="F129:O130" si="83">SUM(F130:F130)</f>
        <v>12850.2</v>
      </c>
      <c r="G129" s="26">
        <f t="shared" si="83"/>
        <v>12850.2</v>
      </c>
      <c r="H129" s="26">
        <f t="shared" si="83"/>
        <v>0</v>
      </c>
      <c r="I129" s="26">
        <f t="shared" si="83"/>
        <v>0</v>
      </c>
      <c r="J129" s="26">
        <f t="shared" si="83"/>
        <v>0</v>
      </c>
      <c r="K129" s="26">
        <f t="shared" si="83"/>
        <v>0</v>
      </c>
      <c r="L129" s="26">
        <f t="shared" si="83"/>
        <v>0</v>
      </c>
      <c r="M129" s="26">
        <f t="shared" si="83"/>
        <v>0</v>
      </c>
      <c r="N129" s="26">
        <f t="shared" si="83"/>
        <v>0</v>
      </c>
      <c r="O129" s="26">
        <f t="shared" si="83"/>
        <v>0</v>
      </c>
      <c r="P129" s="26">
        <f t="shared" ref="P129:Y130" si="84">SUM(P130:P130)</f>
        <v>12850.2</v>
      </c>
      <c r="Q129" s="26">
        <f t="shared" si="84"/>
        <v>12850.2</v>
      </c>
      <c r="R129" s="26">
        <f t="shared" si="84"/>
        <v>0</v>
      </c>
      <c r="S129" s="26">
        <f t="shared" si="84"/>
        <v>0</v>
      </c>
      <c r="T129" s="26">
        <f t="shared" si="84"/>
        <v>0</v>
      </c>
      <c r="U129" s="26">
        <f t="shared" si="84"/>
        <v>0</v>
      </c>
      <c r="V129" s="26">
        <f t="shared" si="84"/>
        <v>0</v>
      </c>
      <c r="W129" s="26">
        <f t="shared" si="84"/>
        <v>0</v>
      </c>
      <c r="X129" s="26">
        <f t="shared" si="84"/>
        <v>0</v>
      </c>
      <c r="Y129" s="26">
        <f t="shared" si="84"/>
        <v>0</v>
      </c>
      <c r="Z129" s="25" t="s">
        <v>399</v>
      </c>
      <c r="AA129" s="27" t="s">
        <v>35</v>
      </c>
      <c r="AB129" s="28" t="s">
        <v>85</v>
      </c>
      <c r="AC129" s="28" t="s">
        <v>85</v>
      </c>
      <c r="AD129" s="29"/>
    </row>
    <row r="130" spans="1:30" ht="45" x14ac:dyDescent="0.25">
      <c r="A130" s="30" t="s">
        <v>400</v>
      </c>
      <c r="B130" s="31" t="s">
        <v>401</v>
      </c>
      <c r="C130" s="32" t="s">
        <v>312</v>
      </c>
      <c r="D130" s="32" t="s">
        <v>316</v>
      </c>
      <c r="E130" s="32" t="s">
        <v>39</v>
      </c>
      <c r="F130" s="33">
        <f t="shared" si="83"/>
        <v>12850.2</v>
      </c>
      <c r="G130" s="33">
        <f t="shared" si="83"/>
        <v>12850.2</v>
      </c>
      <c r="H130" s="33">
        <f t="shared" si="83"/>
        <v>0</v>
      </c>
      <c r="I130" s="33">
        <f t="shared" si="83"/>
        <v>0</v>
      </c>
      <c r="J130" s="33">
        <f t="shared" si="83"/>
        <v>0</v>
      </c>
      <c r="K130" s="33">
        <f t="shared" si="83"/>
        <v>0</v>
      </c>
      <c r="L130" s="33">
        <f t="shared" si="83"/>
        <v>0</v>
      </c>
      <c r="M130" s="33">
        <f t="shared" si="83"/>
        <v>0</v>
      </c>
      <c r="N130" s="33">
        <f t="shared" si="83"/>
        <v>0</v>
      </c>
      <c r="O130" s="33">
        <f t="shared" si="83"/>
        <v>0</v>
      </c>
      <c r="P130" s="33">
        <f t="shared" si="84"/>
        <v>12850.2</v>
      </c>
      <c r="Q130" s="33">
        <f t="shared" si="84"/>
        <v>12850.2</v>
      </c>
      <c r="R130" s="33">
        <f t="shared" si="84"/>
        <v>0</v>
      </c>
      <c r="S130" s="33">
        <f t="shared" si="84"/>
        <v>0</v>
      </c>
      <c r="T130" s="33">
        <f t="shared" si="84"/>
        <v>0</v>
      </c>
      <c r="U130" s="33">
        <f t="shared" si="84"/>
        <v>0</v>
      </c>
      <c r="V130" s="33">
        <f t="shared" si="84"/>
        <v>0</v>
      </c>
      <c r="W130" s="33">
        <f t="shared" si="84"/>
        <v>0</v>
      </c>
      <c r="X130" s="33">
        <f t="shared" si="84"/>
        <v>0</v>
      </c>
      <c r="Y130" s="33">
        <f t="shared" si="84"/>
        <v>0</v>
      </c>
      <c r="Z130" s="32" t="s">
        <v>402</v>
      </c>
      <c r="AA130" s="34" t="s">
        <v>41</v>
      </c>
      <c r="AB130" s="35" t="s">
        <v>56</v>
      </c>
      <c r="AC130" s="35" t="s">
        <v>56</v>
      </c>
      <c r="AD130" s="36"/>
    </row>
    <row r="131" spans="1:30" ht="69.75" x14ac:dyDescent="0.25">
      <c r="A131" s="37" t="s">
        <v>403</v>
      </c>
      <c r="B131" s="38" t="s">
        <v>404</v>
      </c>
      <c r="C131" s="39" t="s">
        <v>312</v>
      </c>
      <c r="D131" s="39"/>
      <c r="E131" s="39" t="s">
        <v>405</v>
      </c>
      <c r="F131" s="40">
        <f>SUM(F132:F132)+12850.2</f>
        <v>12850.2</v>
      </c>
      <c r="G131" s="40">
        <f>SUM(G132:G132)+12850.2</f>
        <v>12850.2</v>
      </c>
      <c r="H131" s="40">
        <f t="shared" ref="H131:O131" si="85">SUM(H132:H132)</f>
        <v>0</v>
      </c>
      <c r="I131" s="40">
        <f t="shared" si="85"/>
        <v>0</v>
      </c>
      <c r="J131" s="40">
        <f t="shared" si="85"/>
        <v>0</v>
      </c>
      <c r="K131" s="40">
        <f t="shared" si="85"/>
        <v>0</v>
      </c>
      <c r="L131" s="40">
        <f t="shared" si="85"/>
        <v>0</v>
      </c>
      <c r="M131" s="40">
        <f t="shared" si="85"/>
        <v>0</v>
      </c>
      <c r="N131" s="40">
        <f t="shared" si="85"/>
        <v>0</v>
      </c>
      <c r="O131" s="40">
        <f t="shared" si="85"/>
        <v>0</v>
      </c>
      <c r="P131" s="40">
        <f>SUM(P132:P132)+12850.2</f>
        <v>12850.2</v>
      </c>
      <c r="Q131" s="40">
        <f>SUM(Q132:Q132)+12850.2</f>
        <v>12850.2</v>
      </c>
      <c r="R131" s="40">
        <f t="shared" ref="R131:Y131" si="86">SUM(R132:R132)</f>
        <v>0</v>
      </c>
      <c r="S131" s="40">
        <f t="shared" si="86"/>
        <v>0</v>
      </c>
      <c r="T131" s="40">
        <f t="shared" si="86"/>
        <v>0</v>
      </c>
      <c r="U131" s="40">
        <f t="shared" si="86"/>
        <v>0</v>
      </c>
      <c r="V131" s="40">
        <f t="shared" si="86"/>
        <v>0</v>
      </c>
      <c r="W131" s="40">
        <f t="shared" si="86"/>
        <v>0</v>
      </c>
      <c r="X131" s="40">
        <f t="shared" si="86"/>
        <v>0</v>
      </c>
      <c r="Y131" s="40">
        <f t="shared" si="86"/>
        <v>0</v>
      </c>
      <c r="Z131" s="39" t="s">
        <v>406</v>
      </c>
      <c r="AA131" s="41" t="s">
        <v>41</v>
      </c>
      <c r="AB131" s="42" t="s">
        <v>56</v>
      </c>
      <c r="AC131" s="42" t="s">
        <v>56</v>
      </c>
      <c r="AD131" s="43" t="s">
        <v>407</v>
      </c>
    </row>
    <row r="132" spans="1:30" ht="46.5" x14ac:dyDescent="0.25">
      <c r="A132" s="37" t="s">
        <v>408</v>
      </c>
      <c r="B132" s="38" t="s">
        <v>409</v>
      </c>
      <c r="C132" s="39"/>
      <c r="D132" s="39"/>
      <c r="E132" s="39"/>
      <c r="F132" s="44">
        <v>0</v>
      </c>
      <c r="G132" s="44">
        <v>0</v>
      </c>
      <c r="H132" s="44">
        <v>0</v>
      </c>
      <c r="I132" s="44">
        <v>0</v>
      </c>
      <c r="J132" s="44">
        <v>0</v>
      </c>
      <c r="K132" s="44">
        <v>0</v>
      </c>
      <c r="L132" s="44">
        <v>0</v>
      </c>
      <c r="M132" s="44">
        <v>0</v>
      </c>
      <c r="N132" s="44">
        <v>0</v>
      </c>
      <c r="O132" s="44">
        <v>0</v>
      </c>
      <c r="P132" s="44">
        <v>0</v>
      </c>
      <c r="Q132" s="44">
        <v>0</v>
      </c>
      <c r="R132" s="44">
        <v>0</v>
      </c>
      <c r="S132" s="44">
        <v>0</v>
      </c>
      <c r="T132" s="44">
        <v>0</v>
      </c>
      <c r="U132" s="44">
        <v>0</v>
      </c>
      <c r="V132" s="44">
        <v>0</v>
      </c>
      <c r="W132" s="44">
        <v>0</v>
      </c>
      <c r="X132" s="44">
        <v>0</v>
      </c>
      <c r="Y132" s="44">
        <v>0</v>
      </c>
      <c r="Z132" s="39"/>
      <c r="AA132" s="41"/>
      <c r="AB132" s="42"/>
      <c r="AC132" s="42"/>
      <c r="AD132" s="43"/>
    </row>
    <row r="133" spans="1:30" ht="45" x14ac:dyDescent="0.25">
      <c r="A133" s="23" t="s">
        <v>410</v>
      </c>
      <c r="B133" s="24" t="s">
        <v>411</v>
      </c>
      <c r="C133" s="25" t="s">
        <v>312</v>
      </c>
      <c r="D133" s="25" t="s">
        <v>316</v>
      </c>
      <c r="E133" s="25"/>
      <c r="F133" s="26">
        <f t="shared" ref="F133:O134" si="87">SUM(F134:F134)</f>
        <v>547705.18999999994</v>
      </c>
      <c r="G133" s="26">
        <f t="shared" si="87"/>
        <v>225877.33</v>
      </c>
      <c r="H133" s="26">
        <f t="shared" si="87"/>
        <v>0</v>
      </c>
      <c r="I133" s="26">
        <f t="shared" si="87"/>
        <v>0</v>
      </c>
      <c r="J133" s="26">
        <f t="shared" si="87"/>
        <v>0</v>
      </c>
      <c r="K133" s="26">
        <f t="shared" si="87"/>
        <v>9122.67</v>
      </c>
      <c r="L133" s="26">
        <f t="shared" si="87"/>
        <v>312705.19</v>
      </c>
      <c r="M133" s="26">
        <f t="shared" si="87"/>
        <v>0</v>
      </c>
      <c r="N133" s="26">
        <f t="shared" si="87"/>
        <v>0</v>
      </c>
      <c r="O133" s="26">
        <f t="shared" si="87"/>
        <v>0</v>
      </c>
      <c r="P133" s="26">
        <f t="shared" ref="P133:Y134" si="88">SUM(P134:P134)</f>
        <v>383022.54</v>
      </c>
      <c r="Q133" s="26">
        <f t="shared" si="88"/>
        <v>6788.23</v>
      </c>
      <c r="R133" s="26">
        <f t="shared" si="88"/>
        <v>0</v>
      </c>
      <c r="S133" s="26">
        <f t="shared" si="88"/>
        <v>0</v>
      </c>
      <c r="T133" s="26">
        <f t="shared" si="88"/>
        <v>0</v>
      </c>
      <c r="U133" s="26">
        <f t="shared" si="88"/>
        <v>9122.67</v>
      </c>
      <c r="V133" s="26">
        <f t="shared" si="88"/>
        <v>0</v>
      </c>
      <c r="W133" s="26">
        <f t="shared" si="88"/>
        <v>0</v>
      </c>
      <c r="X133" s="26">
        <f t="shared" si="88"/>
        <v>0</v>
      </c>
      <c r="Y133" s="26">
        <f t="shared" si="88"/>
        <v>0</v>
      </c>
      <c r="Z133" s="25" t="s">
        <v>412</v>
      </c>
      <c r="AA133" s="27" t="s">
        <v>35</v>
      </c>
      <c r="AB133" s="28" t="s">
        <v>413</v>
      </c>
      <c r="AC133" s="28" t="s">
        <v>413</v>
      </c>
      <c r="AD133" s="29"/>
    </row>
    <row r="134" spans="1:30" ht="67.5" x14ac:dyDescent="0.25">
      <c r="A134" s="30" t="s">
        <v>414</v>
      </c>
      <c r="B134" s="31" t="s">
        <v>415</v>
      </c>
      <c r="C134" s="32" t="s">
        <v>312</v>
      </c>
      <c r="D134" s="32"/>
      <c r="E134" s="32" t="s">
        <v>39</v>
      </c>
      <c r="F134" s="33">
        <f t="shared" si="87"/>
        <v>547705.18999999994</v>
      </c>
      <c r="G134" s="33">
        <f t="shared" si="87"/>
        <v>225877.33</v>
      </c>
      <c r="H134" s="33">
        <f t="shared" si="87"/>
        <v>0</v>
      </c>
      <c r="I134" s="33">
        <f t="shared" si="87"/>
        <v>0</v>
      </c>
      <c r="J134" s="33">
        <f t="shared" si="87"/>
        <v>0</v>
      </c>
      <c r="K134" s="33">
        <f t="shared" si="87"/>
        <v>9122.67</v>
      </c>
      <c r="L134" s="33">
        <f t="shared" si="87"/>
        <v>312705.19</v>
      </c>
      <c r="M134" s="33">
        <f t="shared" si="87"/>
        <v>0</v>
      </c>
      <c r="N134" s="33">
        <f t="shared" si="87"/>
        <v>0</v>
      </c>
      <c r="O134" s="33">
        <f t="shared" si="87"/>
        <v>0</v>
      </c>
      <c r="P134" s="33">
        <f t="shared" si="88"/>
        <v>383022.54</v>
      </c>
      <c r="Q134" s="33">
        <f t="shared" si="88"/>
        <v>6788.23</v>
      </c>
      <c r="R134" s="33">
        <f t="shared" si="88"/>
        <v>0</v>
      </c>
      <c r="S134" s="33">
        <f t="shared" si="88"/>
        <v>0</v>
      </c>
      <c r="T134" s="33">
        <f t="shared" si="88"/>
        <v>0</v>
      </c>
      <c r="U134" s="33">
        <f t="shared" si="88"/>
        <v>9122.67</v>
      </c>
      <c r="V134" s="33">
        <f t="shared" si="88"/>
        <v>0</v>
      </c>
      <c r="W134" s="33">
        <f t="shared" si="88"/>
        <v>0</v>
      </c>
      <c r="X134" s="33">
        <f t="shared" si="88"/>
        <v>0</v>
      </c>
      <c r="Y134" s="33">
        <f t="shared" si="88"/>
        <v>0</v>
      </c>
      <c r="Z134" s="32" t="s">
        <v>416</v>
      </c>
      <c r="AA134" s="34" t="s">
        <v>417</v>
      </c>
      <c r="AB134" s="35" t="s">
        <v>418</v>
      </c>
      <c r="AC134" s="35" t="s">
        <v>418</v>
      </c>
      <c r="AD134" s="36"/>
    </row>
    <row r="135" spans="1:30" ht="69.75" x14ac:dyDescent="0.25">
      <c r="A135" s="37" t="s">
        <v>419</v>
      </c>
      <c r="B135" s="38" t="s">
        <v>420</v>
      </c>
      <c r="C135" s="39" t="s">
        <v>312</v>
      </c>
      <c r="D135" s="39" t="s">
        <v>316</v>
      </c>
      <c r="E135" s="39" t="s">
        <v>46</v>
      </c>
      <c r="F135" s="40">
        <f>SUM(F136:F138)+547705.19</f>
        <v>547705.18999999994</v>
      </c>
      <c r="G135" s="40">
        <f>SUM(G136:G138)+225877.33</f>
        <v>225877.33</v>
      </c>
      <c r="H135" s="40">
        <f>SUM(H136:H138)</f>
        <v>0</v>
      </c>
      <c r="I135" s="40">
        <f>SUM(I136:I138)</f>
        <v>0</v>
      </c>
      <c r="J135" s="40">
        <f>SUM(J136:J138)</f>
        <v>0</v>
      </c>
      <c r="K135" s="40">
        <f>SUM(K136:K138)+9122.67</f>
        <v>9122.67</v>
      </c>
      <c r="L135" s="40">
        <f>SUM(L136:L138)+312705.19</f>
        <v>312705.19</v>
      </c>
      <c r="M135" s="40">
        <f>SUM(M136:M138)</f>
        <v>0</v>
      </c>
      <c r="N135" s="40">
        <f>SUM(N136:N138)</f>
        <v>0</v>
      </c>
      <c r="O135" s="40">
        <f>SUM(O136:O138)</f>
        <v>0</v>
      </c>
      <c r="P135" s="40">
        <f>SUM(P136:P138)+383022.54</f>
        <v>383022.54</v>
      </c>
      <c r="Q135" s="40">
        <f>SUM(Q136:Q138)+6788.23</f>
        <v>6788.23</v>
      </c>
      <c r="R135" s="40">
        <f>SUM(R136:R138)</f>
        <v>0</v>
      </c>
      <c r="S135" s="40">
        <f>SUM(S136:S138)</f>
        <v>0</v>
      </c>
      <c r="T135" s="40">
        <f>SUM(T136:T138)</f>
        <v>0</v>
      </c>
      <c r="U135" s="40">
        <f>SUM(U136:U138)+9122.67</f>
        <v>9122.67</v>
      </c>
      <c r="V135" s="40">
        <f>SUM(V136:V138)</f>
        <v>0</v>
      </c>
      <c r="W135" s="40">
        <f>SUM(W136:W138)</f>
        <v>0</v>
      </c>
      <c r="X135" s="40">
        <f>SUM(X136:X138)</f>
        <v>0</v>
      </c>
      <c r="Y135" s="40">
        <f>SUM(Y136:Y138)</f>
        <v>0</v>
      </c>
      <c r="Z135" s="39" t="s">
        <v>367</v>
      </c>
      <c r="AA135" s="41" t="s">
        <v>35</v>
      </c>
      <c r="AB135" s="42" t="s">
        <v>80</v>
      </c>
      <c r="AC135" s="42" t="s">
        <v>285</v>
      </c>
      <c r="AD135" s="43"/>
    </row>
    <row r="136" spans="1:30" ht="139.5" x14ac:dyDescent="0.25">
      <c r="A136" s="45"/>
      <c r="B136" s="46"/>
      <c r="C136" s="47"/>
      <c r="D136" s="47"/>
      <c r="E136" s="47"/>
      <c r="F136" s="48">
        <v>0</v>
      </c>
      <c r="G136" s="48">
        <v>0</v>
      </c>
      <c r="H136" s="48">
        <v>0</v>
      </c>
      <c r="I136" s="48">
        <v>0</v>
      </c>
      <c r="J136" s="48">
        <v>0</v>
      </c>
      <c r="K136" s="48">
        <v>0</v>
      </c>
      <c r="L136" s="48">
        <v>0</v>
      </c>
      <c r="M136" s="48">
        <v>0</v>
      </c>
      <c r="N136" s="48">
        <v>0</v>
      </c>
      <c r="O136" s="48">
        <v>0</v>
      </c>
      <c r="P136" s="48">
        <v>0</v>
      </c>
      <c r="Q136" s="48">
        <v>0</v>
      </c>
      <c r="R136" s="48">
        <v>0</v>
      </c>
      <c r="S136" s="48">
        <v>0</v>
      </c>
      <c r="T136" s="48">
        <v>0</v>
      </c>
      <c r="U136" s="48">
        <v>0</v>
      </c>
      <c r="V136" s="48">
        <v>0</v>
      </c>
      <c r="W136" s="48">
        <v>0</v>
      </c>
      <c r="X136" s="48">
        <v>0</v>
      </c>
      <c r="Y136" s="48">
        <v>0</v>
      </c>
      <c r="Z136" s="47" t="s">
        <v>368</v>
      </c>
      <c r="AA136" s="49" t="s">
        <v>35</v>
      </c>
      <c r="AB136" s="50" t="s">
        <v>421</v>
      </c>
      <c r="AC136" s="50" t="s">
        <v>285</v>
      </c>
      <c r="AD136" s="51" t="s">
        <v>422</v>
      </c>
    </row>
    <row r="137" spans="1:30" ht="46.5" x14ac:dyDescent="0.25">
      <c r="A137" s="45"/>
      <c r="B137" s="46"/>
      <c r="C137" s="47"/>
      <c r="D137" s="47"/>
      <c r="E137" s="47"/>
      <c r="F137" s="48">
        <v>0</v>
      </c>
      <c r="G137" s="48">
        <v>0</v>
      </c>
      <c r="H137" s="48">
        <v>0</v>
      </c>
      <c r="I137" s="48">
        <v>0</v>
      </c>
      <c r="J137" s="48">
        <v>0</v>
      </c>
      <c r="K137" s="48">
        <v>0</v>
      </c>
      <c r="L137" s="48">
        <v>0</v>
      </c>
      <c r="M137" s="48">
        <v>0</v>
      </c>
      <c r="N137" s="48">
        <v>0</v>
      </c>
      <c r="O137" s="48">
        <v>0</v>
      </c>
      <c r="P137" s="48">
        <v>0</v>
      </c>
      <c r="Q137" s="48">
        <v>0</v>
      </c>
      <c r="R137" s="48">
        <v>0</v>
      </c>
      <c r="S137" s="48">
        <v>0</v>
      </c>
      <c r="T137" s="48">
        <v>0</v>
      </c>
      <c r="U137" s="48">
        <v>0</v>
      </c>
      <c r="V137" s="48">
        <v>0</v>
      </c>
      <c r="W137" s="48">
        <v>0</v>
      </c>
      <c r="X137" s="48">
        <v>0</v>
      </c>
      <c r="Y137" s="48">
        <v>0</v>
      </c>
      <c r="Z137" s="47" t="s">
        <v>370</v>
      </c>
      <c r="AA137" s="49" t="s">
        <v>35</v>
      </c>
      <c r="AB137" s="50" t="s">
        <v>80</v>
      </c>
      <c r="AC137" s="50" t="s">
        <v>285</v>
      </c>
      <c r="AD137" s="51"/>
    </row>
    <row r="138" spans="1:30" ht="69.75" x14ac:dyDescent="0.25">
      <c r="A138" s="37" t="s">
        <v>423</v>
      </c>
      <c r="B138" s="38" t="s">
        <v>424</v>
      </c>
      <c r="C138" s="39"/>
      <c r="D138" s="39"/>
      <c r="E138" s="39"/>
      <c r="F138" s="44">
        <v>0</v>
      </c>
      <c r="G138" s="44">
        <v>0</v>
      </c>
      <c r="H138" s="44">
        <v>0</v>
      </c>
      <c r="I138" s="44">
        <v>0</v>
      </c>
      <c r="J138" s="44">
        <v>0</v>
      </c>
      <c r="K138" s="44">
        <v>0</v>
      </c>
      <c r="L138" s="44">
        <v>0</v>
      </c>
      <c r="M138" s="44">
        <v>0</v>
      </c>
      <c r="N138" s="44">
        <v>0</v>
      </c>
      <c r="O138" s="44">
        <v>0</v>
      </c>
      <c r="P138" s="44">
        <v>0</v>
      </c>
      <c r="Q138" s="44">
        <v>0</v>
      </c>
      <c r="R138" s="44">
        <v>0</v>
      </c>
      <c r="S138" s="44">
        <v>0</v>
      </c>
      <c r="T138" s="44">
        <v>0</v>
      </c>
      <c r="U138" s="44">
        <v>0</v>
      </c>
      <c r="V138" s="44">
        <v>0</v>
      </c>
      <c r="W138" s="44">
        <v>0</v>
      </c>
      <c r="X138" s="44">
        <v>0</v>
      </c>
      <c r="Y138" s="44">
        <v>0</v>
      </c>
      <c r="Z138" s="39"/>
      <c r="AA138" s="41"/>
      <c r="AB138" s="42"/>
      <c r="AC138" s="42"/>
      <c r="AD138" s="43"/>
    </row>
    <row r="139" spans="1:30" ht="67.5" x14ac:dyDescent="0.25">
      <c r="A139" s="23" t="s">
        <v>425</v>
      </c>
      <c r="B139" s="24" t="s">
        <v>426</v>
      </c>
      <c r="C139" s="25" t="s">
        <v>427</v>
      </c>
      <c r="D139" s="25" t="s">
        <v>428</v>
      </c>
      <c r="E139" s="25"/>
      <c r="F139" s="26">
        <f t="shared" ref="F139:Y139" si="89">SUM(F140:F140)</f>
        <v>289287.83</v>
      </c>
      <c r="G139" s="26">
        <f t="shared" si="89"/>
        <v>34803.07</v>
      </c>
      <c r="H139" s="26">
        <f t="shared" si="89"/>
        <v>0</v>
      </c>
      <c r="I139" s="26">
        <f t="shared" si="89"/>
        <v>0</v>
      </c>
      <c r="J139" s="26">
        <f t="shared" si="89"/>
        <v>0</v>
      </c>
      <c r="K139" s="26">
        <f t="shared" si="89"/>
        <v>41816.31</v>
      </c>
      <c r="L139" s="26">
        <f t="shared" si="89"/>
        <v>180768.15999999997</v>
      </c>
      <c r="M139" s="26">
        <f t="shared" si="89"/>
        <v>31900.29</v>
      </c>
      <c r="N139" s="26">
        <f t="shared" si="89"/>
        <v>0</v>
      </c>
      <c r="O139" s="26">
        <f t="shared" si="89"/>
        <v>0</v>
      </c>
      <c r="P139" s="26">
        <f t="shared" si="89"/>
        <v>289287.83</v>
      </c>
      <c r="Q139" s="26">
        <f t="shared" si="89"/>
        <v>34803.07</v>
      </c>
      <c r="R139" s="26">
        <f t="shared" si="89"/>
        <v>0</v>
      </c>
      <c r="S139" s="26">
        <f t="shared" si="89"/>
        <v>0</v>
      </c>
      <c r="T139" s="26">
        <f t="shared" si="89"/>
        <v>0</v>
      </c>
      <c r="U139" s="26">
        <f t="shared" si="89"/>
        <v>27296.31</v>
      </c>
      <c r="V139" s="26">
        <f t="shared" si="89"/>
        <v>0</v>
      </c>
      <c r="W139" s="26">
        <f t="shared" si="89"/>
        <v>31900.29</v>
      </c>
      <c r="X139" s="26">
        <f t="shared" si="89"/>
        <v>0</v>
      </c>
      <c r="Y139" s="26">
        <f t="shared" si="89"/>
        <v>0</v>
      </c>
      <c r="Z139" s="25" t="s">
        <v>429</v>
      </c>
      <c r="AA139" s="27" t="s">
        <v>35</v>
      </c>
      <c r="AB139" s="28" t="s">
        <v>64</v>
      </c>
      <c r="AC139" s="28" t="s">
        <v>64</v>
      </c>
      <c r="AD139" s="29"/>
    </row>
    <row r="140" spans="1:30" ht="90" x14ac:dyDescent="0.25">
      <c r="A140" s="30" t="s">
        <v>430</v>
      </c>
      <c r="B140" s="31" t="s">
        <v>431</v>
      </c>
      <c r="C140" s="32" t="s">
        <v>427</v>
      </c>
      <c r="D140" s="32" t="s">
        <v>428</v>
      </c>
      <c r="E140" s="32" t="s">
        <v>39</v>
      </c>
      <c r="F140" s="33">
        <f t="shared" ref="F140:Y140" si="90">F141+F142+F144+F146+F151+F155</f>
        <v>289287.83</v>
      </c>
      <c r="G140" s="33">
        <f t="shared" si="90"/>
        <v>34803.07</v>
      </c>
      <c r="H140" s="33">
        <f t="shared" si="90"/>
        <v>0</v>
      </c>
      <c r="I140" s="33">
        <f t="shared" si="90"/>
        <v>0</v>
      </c>
      <c r="J140" s="33">
        <f t="shared" si="90"/>
        <v>0</v>
      </c>
      <c r="K140" s="33">
        <f t="shared" si="90"/>
        <v>41816.31</v>
      </c>
      <c r="L140" s="33">
        <f t="shared" si="90"/>
        <v>180768.15999999997</v>
      </c>
      <c r="M140" s="33">
        <f t="shared" si="90"/>
        <v>31900.29</v>
      </c>
      <c r="N140" s="33">
        <f t="shared" si="90"/>
        <v>0</v>
      </c>
      <c r="O140" s="33">
        <f t="shared" si="90"/>
        <v>0</v>
      </c>
      <c r="P140" s="33">
        <f t="shared" si="90"/>
        <v>289287.83</v>
      </c>
      <c r="Q140" s="33">
        <f t="shared" si="90"/>
        <v>34803.07</v>
      </c>
      <c r="R140" s="33">
        <f t="shared" si="90"/>
        <v>0</v>
      </c>
      <c r="S140" s="33">
        <f t="shared" si="90"/>
        <v>0</v>
      </c>
      <c r="T140" s="33">
        <f t="shared" si="90"/>
        <v>0</v>
      </c>
      <c r="U140" s="33">
        <f t="shared" si="90"/>
        <v>27296.31</v>
      </c>
      <c r="V140" s="33">
        <f t="shared" si="90"/>
        <v>0</v>
      </c>
      <c r="W140" s="33">
        <f t="shared" si="90"/>
        <v>31900.29</v>
      </c>
      <c r="X140" s="33">
        <f t="shared" si="90"/>
        <v>0</v>
      </c>
      <c r="Y140" s="33">
        <f t="shared" si="90"/>
        <v>0</v>
      </c>
      <c r="Z140" s="32" t="s">
        <v>432</v>
      </c>
      <c r="AA140" s="34" t="s">
        <v>41</v>
      </c>
      <c r="AB140" s="35" t="s">
        <v>178</v>
      </c>
      <c r="AC140" s="35" t="s">
        <v>178</v>
      </c>
      <c r="AD140" s="36"/>
    </row>
    <row r="141" spans="1:30" ht="46.5" x14ac:dyDescent="0.25">
      <c r="A141" s="45"/>
      <c r="B141" s="46"/>
      <c r="C141" s="47"/>
      <c r="D141" s="47"/>
      <c r="E141" s="47"/>
      <c r="F141" s="48">
        <v>0</v>
      </c>
      <c r="G141" s="48">
        <v>0</v>
      </c>
      <c r="H141" s="48">
        <v>0</v>
      </c>
      <c r="I141" s="48">
        <v>0</v>
      </c>
      <c r="J141" s="48">
        <v>0</v>
      </c>
      <c r="K141" s="48">
        <v>0</v>
      </c>
      <c r="L141" s="48">
        <v>0</v>
      </c>
      <c r="M141" s="48">
        <v>0</v>
      </c>
      <c r="N141" s="48">
        <v>0</v>
      </c>
      <c r="O141" s="48">
        <v>0</v>
      </c>
      <c r="P141" s="48">
        <v>0</v>
      </c>
      <c r="Q141" s="48">
        <v>0</v>
      </c>
      <c r="R141" s="48">
        <v>0</v>
      </c>
      <c r="S141" s="48">
        <v>0</v>
      </c>
      <c r="T141" s="48">
        <v>0</v>
      </c>
      <c r="U141" s="48">
        <v>0</v>
      </c>
      <c r="V141" s="48">
        <v>0</v>
      </c>
      <c r="W141" s="48">
        <v>0</v>
      </c>
      <c r="X141" s="48">
        <v>0</v>
      </c>
      <c r="Y141" s="48">
        <v>0</v>
      </c>
      <c r="Z141" s="47" t="s">
        <v>433</v>
      </c>
      <c r="AA141" s="49" t="s">
        <v>41</v>
      </c>
      <c r="AB141" s="50" t="s">
        <v>434</v>
      </c>
      <c r="AC141" s="50" t="s">
        <v>434</v>
      </c>
      <c r="AD141" s="51"/>
    </row>
    <row r="142" spans="1:30" ht="93" x14ac:dyDescent="0.25">
      <c r="A142" s="37" t="s">
        <v>435</v>
      </c>
      <c r="B142" s="38" t="s">
        <v>436</v>
      </c>
      <c r="C142" s="39" t="s">
        <v>427</v>
      </c>
      <c r="D142" s="39" t="s">
        <v>437</v>
      </c>
      <c r="E142" s="39" t="s">
        <v>46</v>
      </c>
      <c r="F142" s="40">
        <f t="shared" ref="F142:Y142" si="91">SUM(F143:F143)</f>
        <v>0</v>
      </c>
      <c r="G142" s="40">
        <f t="shared" si="91"/>
        <v>0</v>
      </c>
      <c r="H142" s="40">
        <f t="shared" si="91"/>
        <v>0</v>
      </c>
      <c r="I142" s="40">
        <f t="shared" si="91"/>
        <v>0</v>
      </c>
      <c r="J142" s="40">
        <f t="shared" si="91"/>
        <v>0</v>
      </c>
      <c r="K142" s="40">
        <f t="shared" si="91"/>
        <v>0</v>
      </c>
      <c r="L142" s="40">
        <f t="shared" si="91"/>
        <v>0</v>
      </c>
      <c r="M142" s="40">
        <f t="shared" si="91"/>
        <v>0</v>
      </c>
      <c r="N142" s="40">
        <f t="shared" si="91"/>
        <v>0</v>
      </c>
      <c r="O142" s="40">
        <f t="shared" si="91"/>
        <v>0</v>
      </c>
      <c r="P142" s="40">
        <f t="shared" si="91"/>
        <v>0</v>
      </c>
      <c r="Q142" s="40">
        <f t="shared" si="91"/>
        <v>0</v>
      </c>
      <c r="R142" s="40">
        <f t="shared" si="91"/>
        <v>0</v>
      </c>
      <c r="S142" s="40">
        <f t="shared" si="91"/>
        <v>0</v>
      </c>
      <c r="T142" s="40">
        <f t="shared" si="91"/>
        <v>0</v>
      </c>
      <c r="U142" s="40">
        <f t="shared" si="91"/>
        <v>0</v>
      </c>
      <c r="V142" s="40">
        <f t="shared" si="91"/>
        <v>0</v>
      </c>
      <c r="W142" s="40">
        <f t="shared" si="91"/>
        <v>0</v>
      </c>
      <c r="X142" s="40">
        <f t="shared" si="91"/>
        <v>0</v>
      </c>
      <c r="Y142" s="40">
        <f t="shared" si="91"/>
        <v>0</v>
      </c>
      <c r="Z142" s="39" t="s">
        <v>438</v>
      </c>
      <c r="AA142" s="41" t="s">
        <v>417</v>
      </c>
      <c r="AB142" s="42" t="s">
        <v>439</v>
      </c>
      <c r="AC142" s="42" t="s">
        <v>439</v>
      </c>
      <c r="AD142" s="43"/>
    </row>
    <row r="143" spans="1:30" ht="116.25" x14ac:dyDescent="0.25">
      <c r="A143" s="37" t="s">
        <v>440</v>
      </c>
      <c r="B143" s="38" t="s">
        <v>441</v>
      </c>
      <c r="C143" s="39"/>
      <c r="D143" s="39"/>
      <c r="E143" s="39"/>
      <c r="F143" s="44">
        <v>0</v>
      </c>
      <c r="G143" s="44">
        <v>0</v>
      </c>
      <c r="H143" s="44">
        <v>0</v>
      </c>
      <c r="I143" s="44">
        <v>0</v>
      </c>
      <c r="J143" s="44">
        <v>0</v>
      </c>
      <c r="K143" s="44">
        <v>0</v>
      </c>
      <c r="L143" s="44">
        <v>0</v>
      </c>
      <c r="M143" s="44">
        <v>0</v>
      </c>
      <c r="N143" s="44">
        <v>0</v>
      </c>
      <c r="O143" s="44">
        <v>0</v>
      </c>
      <c r="P143" s="44">
        <v>0</v>
      </c>
      <c r="Q143" s="44">
        <v>0</v>
      </c>
      <c r="R143" s="44">
        <v>0</v>
      </c>
      <c r="S143" s="44">
        <v>0</v>
      </c>
      <c r="T143" s="44">
        <v>0</v>
      </c>
      <c r="U143" s="44">
        <v>0</v>
      </c>
      <c r="V143" s="44">
        <v>0</v>
      </c>
      <c r="W143" s="44">
        <v>0</v>
      </c>
      <c r="X143" s="44">
        <v>0</v>
      </c>
      <c r="Y143" s="44">
        <v>0</v>
      </c>
      <c r="Z143" s="39"/>
      <c r="AA143" s="41"/>
      <c r="AB143" s="42"/>
      <c r="AC143" s="42"/>
      <c r="AD143" s="43"/>
    </row>
    <row r="144" spans="1:30" ht="93" x14ac:dyDescent="0.25">
      <c r="A144" s="37" t="s">
        <v>442</v>
      </c>
      <c r="B144" s="38" t="s">
        <v>443</v>
      </c>
      <c r="C144" s="39" t="s">
        <v>427</v>
      </c>
      <c r="D144" s="39" t="s">
        <v>437</v>
      </c>
      <c r="E144" s="39" t="s">
        <v>46</v>
      </c>
      <c r="F144" s="40">
        <f t="shared" ref="F144:Y144" si="92">SUM(F145:F145)</f>
        <v>0</v>
      </c>
      <c r="G144" s="40">
        <f t="shared" si="92"/>
        <v>0</v>
      </c>
      <c r="H144" s="40">
        <f t="shared" si="92"/>
        <v>0</v>
      </c>
      <c r="I144" s="40">
        <f t="shared" si="92"/>
        <v>0</v>
      </c>
      <c r="J144" s="40">
        <f t="shared" si="92"/>
        <v>0</v>
      </c>
      <c r="K144" s="40">
        <f t="shared" si="92"/>
        <v>0</v>
      </c>
      <c r="L144" s="40">
        <f t="shared" si="92"/>
        <v>0</v>
      </c>
      <c r="M144" s="40">
        <f t="shared" si="92"/>
        <v>0</v>
      </c>
      <c r="N144" s="40">
        <f t="shared" si="92"/>
        <v>0</v>
      </c>
      <c r="O144" s="40">
        <f t="shared" si="92"/>
        <v>0</v>
      </c>
      <c r="P144" s="40">
        <f t="shared" si="92"/>
        <v>0</v>
      </c>
      <c r="Q144" s="40">
        <f t="shared" si="92"/>
        <v>0</v>
      </c>
      <c r="R144" s="40">
        <f t="shared" si="92"/>
        <v>0</v>
      </c>
      <c r="S144" s="40">
        <f t="shared" si="92"/>
        <v>0</v>
      </c>
      <c r="T144" s="40">
        <f t="shared" si="92"/>
        <v>0</v>
      </c>
      <c r="U144" s="40">
        <f t="shared" si="92"/>
        <v>0</v>
      </c>
      <c r="V144" s="40">
        <f t="shared" si="92"/>
        <v>0</v>
      </c>
      <c r="W144" s="40">
        <f t="shared" si="92"/>
        <v>0</v>
      </c>
      <c r="X144" s="40">
        <f t="shared" si="92"/>
        <v>0</v>
      </c>
      <c r="Y144" s="40">
        <f t="shared" si="92"/>
        <v>0</v>
      </c>
      <c r="Z144" s="39" t="s">
        <v>438</v>
      </c>
      <c r="AA144" s="41" t="s">
        <v>417</v>
      </c>
      <c r="AB144" s="42" t="s">
        <v>444</v>
      </c>
      <c r="AC144" s="42" t="s">
        <v>444</v>
      </c>
      <c r="AD144" s="43"/>
    </row>
    <row r="145" spans="1:30" ht="116.25" x14ac:dyDescent="0.25">
      <c r="A145" s="37" t="s">
        <v>445</v>
      </c>
      <c r="B145" s="38" t="s">
        <v>446</v>
      </c>
      <c r="C145" s="39"/>
      <c r="D145" s="39"/>
      <c r="E145" s="39"/>
      <c r="F145" s="44">
        <v>0</v>
      </c>
      <c r="G145" s="44">
        <v>0</v>
      </c>
      <c r="H145" s="44">
        <v>0</v>
      </c>
      <c r="I145" s="44">
        <v>0</v>
      </c>
      <c r="J145" s="44">
        <v>0</v>
      </c>
      <c r="K145" s="44">
        <v>0</v>
      </c>
      <c r="L145" s="44">
        <v>0</v>
      </c>
      <c r="M145" s="44">
        <v>0</v>
      </c>
      <c r="N145" s="44">
        <v>0</v>
      </c>
      <c r="O145" s="44">
        <v>0</v>
      </c>
      <c r="P145" s="44">
        <v>0</v>
      </c>
      <c r="Q145" s="44">
        <v>0</v>
      </c>
      <c r="R145" s="44">
        <v>0</v>
      </c>
      <c r="S145" s="44">
        <v>0</v>
      </c>
      <c r="T145" s="44">
        <v>0</v>
      </c>
      <c r="U145" s="44">
        <v>0</v>
      </c>
      <c r="V145" s="44">
        <v>0</v>
      </c>
      <c r="W145" s="44">
        <v>0</v>
      </c>
      <c r="X145" s="44">
        <v>0</v>
      </c>
      <c r="Y145" s="44">
        <v>0</v>
      </c>
      <c r="Z145" s="39"/>
      <c r="AA145" s="41"/>
      <c r="AB145" s="42"/>
      <c r="AC145" s="42"/>
      <c r="AD145" s="43"/>
    </row>
    <row r="146" spans="1:30" ht="93" x14ac:dyDescent="0.25">
      <c r="A146" s="37" t="s">
        <v>447</v>
      </c>
      <c r="B146" s="38" t="s">
        <v>448</v>
      </c>
      <c r="C146" s="39" t="s">
        <v>427</v>
      </c>
      <c r="D146" s="39" t="s">
        <v>437</v>
      </c>
      <c r="E146" s="39" t="s">
        <v>46</v>
      </c>
      <c r="F146" s="40">
        <f>SUM(F147:F150)+115724.57</f>
        <v>115724.57</v>
      </c>
      <c r="G146" s="40">
        <f>SUM(G147:G150)</f>
        <v>0</v>
      </c>
      <c r="H146" s="40">
        <f>SUM(H147:H150)</f>
        <v>0</v>
      </c>
      <c r="I146" s="40">
        <f>SUM(I147:I150)</f>
        <v>0</v>
      </c>
      <c r="J146" s="40">
        <f>SUM(J147:J150)</f>
        <v>0</v>
      </c>
      <c r="K146" s="40">
        <f>SUM(K147:K150)+27296.31</f>
        <v>27296.31</v>
      </c>
      <c r="L146" s="40">
        <f>SUM(L147:L150)+75164.01</f>
        <v>75164.009999999995</v>
      </c>
      <c r="M146" s="40">
        <f>SUM(M147:M150)+13264.25</f>
        <v>13264.25</v>
      </c>
      <c r="N146" s="40">
        <f>SUM(N147:N150)</f>
        <v>0</v>
      </c>
      <c r="O146" s="40">
        <f>SUM(O147:O150)</f>
        <v>0</v>
      </c>
      <c r="P146" s="40">
        <f>SUM(P147:P150)+115724.57</f>
        <v>115724.57</v>
      </c>
      <c r="Q146" s="40">
        <f>SUM(Q147:Q150)</f>
        <v>0</v>
      </c>
      <c r="R146" s="40">
        <f>SUM(R147:R150)</f>
        <v>0</v>
      </c>
      <c r="S146" s="40">
        <f>SUM(S147:S150)</f>
        <v>0</v>
      </c>
      <c r="T146" s="40">
        <f>SUM(T147:T150)</f>
        <v>0</v>
      </c>
      <c r="U146" s="40">
        <f>SUM(U147:U150)+27296.31</f>
        <v>27296.31</v>
      </c>
      <c r="V146" s="40">
        <f>SUM(V147:V150)</f>
        <v>0</v>
      </c>
      <c r="W146" s="40">
        <f>SUM(W147:W150)+13264.25</f>
        <v>13264.25</v>
      </c>
      <c r="X146" s="40">
        <f>SUM(X147:X150)</f>
        <v>0</v>
      </c>
      <c r="Y146" s="40">
        <f>SUM(Y147:Y150)</f>
        <v>0</v>
      </c>
      <c r="Z146" s="39" t="s">
        <v>449</v>
      </c>
      <c r="AA146" s="41" t="s">
        <v>417</v>
      </c>
      <c r="AB146" s="42" t="s">
        <v>450</v>
      </c>
      <c r="AC146" s="42" t="s">
        <v>450</v>
      </c>
      <c r="AD146" s="43"/>
    </row>
    <row r="147" spans="1:30" ht="69.75" x14ac:dyDescent="0.25">
      <c r="A147" s="45"/>
      <c r="B147" s="46"/>
      <c r="C147" s="47"/>
      <c r="D147" s="47"/>
      <c r="E147" s="47"/>
      <c r="F147" s="48">
        <v>0</v>
      </c>
      <c r="G147" s="48">
        <v>0</v>
      </c>
      <c r="H147" s="48">
        <v>0</v>
      </c>
      <c r="I147" s="48">
        <v>0</v>
      </c>
      <c r="J147" s="48">
        <v>0</v>
      </c>
      <c r="K147" s="48">
        <v>0</v>
      </c>
      <c r="L147" s="48">
        <v>0</v>
      </c>
      <c r="M147" s="48">
        <v>0</v>
      </c>
      <c r="N147" s="48">
        <v>0</v>
      </c>
      <c r="O147" s="48">
        <v>0</v>
      </c>
      <c r="P147" s="48">
        <v>0</v>
      </c>
      <c r="Q147" s="48">
        <v>0</v>
      </c>
      <c r="R147" s="48">
        <v>0</v>
      </c>
      <c r="S147" s="48">
        <v>0</v>
      </c>
      <c r="T147" s="48">
        <v>0</v>
      </c>
      <c r="U147" s="48">
        <v>0</v>
      </c>
      <c r="V147" s="48">
        <v>0</v>
      </c>
      <c r="W147" s="48">
        <v>0</v>
      </c>
      <c r="X147" s="48">
        <v>0</v>
      </c>
      <c r="Y147" s="48">
        <v>0</v>
      </c>
      <c r="Z147" s="47" t="s">
        <v>438</v>
      </c>
      <c r="AA147" s="49" t="s">
        <v>417</v>
      </c>
      <c r="AB147" s="50" t="s">
        <v>450</v>
      </c>
      <c r="AC147" s="50" t="s">
        <v>450</v>
      </c>
      <c r="AD147" s="51"/>
    </row>
    <row r="148" spans="1:30" ht="46.5" x14ac:dyDescent="0.25">
      <c r="A148" s="37" t="s">
        <v>451</v>
      </c>
      <c r="B148" s="38" t="s">
        <v>452</v>
      </c>
      <c r="C148" s="39"/>
      <c r="D148" s="39"/>
      <c r="E148" s="39"/>
      <c r="F148" s="44">
        <v>0</v>
      </c>
      <c r="G148" s="44">
        <v>0</v>
      </c>
      <c r="H148" s="44">
        <v>0</v>
      </c>
      <c r="I148" s="44">
        <v>0</v>
      </c>
      <c r="J148" s="44">
        <v>0</v>
      </c>
      <c r="K148" s="44">
        <v>0</v>
      </c>
      <c r="L148" s="44">
        <v>0</v>
      </c>
      <c r="M148" s="44">
        <v>0</v>
      </c>
      <c r="N148" s="44">
        <v>0</v>
      </c>
      <c r="O148" s="44">
        <v>0</v>
      </c>
      <c r="P148" s="44">
        <v>0</v>
      </c>
      <c r="Q148" s="44">
        <v>0</v>
      </c>
      <c r="R148" s="44">
        <v>0</v>
      </c>
      <c r="S148" s="44">
        <v>0</v>
      </c>
      <c r="T148" s="44">
        <v>0</v>
      </c>
      <c r="U148" s="44">
        <v>0</v>
      </c>
      <c r="V148" s="44">
        <v>0</v>
      </c>
      <c r="W148" s="44">
        <v>0</v>
      </c>
      <c r="X148" s="44">
        <v>0</v>
      </c>
      <c r="Y148" s="44">
        <v>0</v>
      </c>
      <c r="Z148" s="39"/>
      <c r="AA148" s="41"/>
      <c r="AB148" s="42"/>
      <c r="AC148" s="42"/>
      <c r="AD148" s="43"/>
    </row>
    <row r="149" spans="1:30" ht="69.75" x14ac:dyDescent="0.25">
      <c r="A149" s="37" t="s">
        <v>453</v>
      </c>
      <c r="B149" s="38" t="s">
        <v>454</v>
      </c>
      <c r="C149" s="39"/>
      <c r="D149" s="39"/>
      <c r="E149" s="39"/>
      <c r="F149" s="44">
        <v>0</v>
      </c>
      <c r="G149" s="44">
        <v>0</v>
      </c>
      <c r="H149" s="44">
        <v>0</v>
      </c>
      <c r="I149" s="44">
        <v>0</v>
      </c>
      <c r="J149" s="44">
        <v>0</v>
      </c>
      <c r="K149" s="44">
        <v>0</v>
      </c>
      <c r="L149" s="44">
        <v>0</v>
      </c>
      <c r="M149" s="44">
        <v>0</v>
      </c>
      <c r="N149" s="44">
        <v>0</v>
      </c>
      <c r="O149" s="44">
        <v>0</v>
      </c>
      <c r="P149" s="44">
        <v>0</v>
      </c>
      <c r="Q149" s="44">
        <v>0</v>
      </c>
      <c r="R149" s="44">
        <v>0</v>
      </c>
      <c r="S149" s="44">
        <v>0</v>
      </c>
      <c r="T149" s="44">
        <v>0</v>
      </c>
      <c r="U149" s="44">
        <v>0</v>
      </c>
      <c r="V149" s="44">
        <v>0</v>
      </c>
      <c r="W149" s="44">
        <v>0</v>
      </c>
      <c r="X149" s="44">
        <v>0</v>
      </c>
      <c r="Y149" s="44">
        <v>0</v>
      </c>
      <c r="Z149" s="39"/>
      <c r="AA149" s="41"/>
      <c r="AB149" s="42"/>
      <c r="AC149" s="42"/>
      <c r="AD149" s="43"/>
    </row>
    <row r="150" spans="1:30" ht="116.25" x14ac:dyDescent="0.25">
      <c r="A150" s="37" t="s">
        <v>455</v>
      </c>
      <c r="B150" s="38" t="s">
        <v>456</v>
      </c>
      <c r="C150" s="39"/>
      <c r="D150" s="39"/>
      <c r="E150" s="39"/>
      <c r="F150" s="44">
        <v>0</v>
      </c>
      <c r="G150" s="44">
        <v>0</v>
      </c>
      <c r="H150" s="44">
        <v>0</v>
      </c>
      <c r="I150" s="44">
        <v>0</v>
      </c>
      <c r="J150" s="44">
        <v>0</v>
      </c>
      <c r="K150" s="44">
        <v>0</v>
      </c>
      <c r="L150" s="44">
        <v>0</v>
      </c>
      <c r="M150" s="44">
        <v>0</v>
      </c>
      <c r="N150" s="44">
        <v>0</v>
      </c>
      <c r="O150" s="44">
        <v>0</v>
      </c>
      <c r="P150" s="44">
        <v>0</v>
      </c>
      <c r="Q150" s="44">
        <v>0</v>
      </c>
      <c r="R150" s="44">
        <v>0</v>
      </c>
      <c r="S150" s="44">
        <v>0</v>
      </c>
      <c r="T150" s="44">
        <v>0</v>
      </c>
      <c r="U150" s="44">
        <v>0</v>
      </c>
      <c r="V150" s="44">
        <v>0</v>
      </c>
      <c r="W150" s="44">
        <v>0</v>
      </c>
      <c r="X150" s="44">
        <v>0</v>
      </c>
      <c r="Y150" s="44">
        <v>0</v>
      </c>
      <c r="Z150" s="39"/>
      <c r="AA150" s="41"/>
      <c r="AB150" s="42"/>
      <c r="AC150" s="42"/>
      <c r="AD150" s="43"/>
    </row>
    <row r="151" spans="1:30" ht="93" x14ac:dyDescent="0.25">
      <c r="A151" s="37" t="s">
        <v>457</v>
      </c>
      <c r="B151" s="38" t="s">
        <v>458</v>
      </c>
      <c r="C151" s="39" t="s">
        <v>427</v>
      </c>
      <c r="D151" s="39" t="s">
        <v>437</v>
      </c>
      <c r="E151" s="39" t="s">
        <v>46</v>
      </c>
      <c r="F151" s="40">
        <f>SUM(F152:F154)+159043.26</f>
        <v>159043.26</v>
      </c>
      <c r="G151" s="40">
        <f>SUM(G152:G154)+34803.07</f>
        <v>34803.07</v>
      </c>
      <c r="H151" s="40">
        <f>SUM(H152:H154)</f>
        <v>0</v>
      </c>
      <c r="I151" s="40">
        <f>SUM(I152:I154)</f>
        <v>0</v>
      </c>
      <c r="J151" s="40">
        <f>SUM(J152:J154)</f>
        <v>0</v>
      </c>
      <c r="K151" s="40">
        <f>SUM(K152:K154)</f>
        <v>0</v>
      </c>
      <c r="L151" s="40">
        <f>SUM(L152:L154)+105604.15</f>
        <v>105604.15</v>
      </c>
      <c r="M151" s="40">
        <f>SUM(M152:M154)+18636.04</f>
        <v>18636.04</v>
      </c>
      <c r="N151" s="40">
        <f>SUM(N152:N154)</f>
        <v>0</v>
      </c>
      <c r="O151" s="40">
        <f>SUM(O152:O154)</f>
        <v>0</v>
      </c>
      <c r="P151" s="40">
        <f>SUM(P152:P154)+159043.26</f>
        <v>159043.26</v>
      </c>
      <c r="Q151" s="40">
        <f>SUM(Q152:Q154)+34803.07</f>
        <v>34803.07</v>
      </c>
      <c r="R151" s="40">
        <f>SUM(R152:R154)</f>
        <v>0</v>
      </c>
      <c r="S151" s="40">
        <f>SUM(S152:S154)</f>
        <v>0</v>
      </c>
      <c r="T151" s="40">
        <f>SUM(T152:T154)</f>
        <v>0</v>
      </c>
      <c r="U151" s="40">
        <f>SUM(U152:U154)</f>
        <v>0</v>
      </c>
      <c r="V151" s="40">
        <f>SUM(V152:V154)</f>
        <v>0</v>
      </c>
      <c r="W151" s="40">
        <f>SUM(W152:W154)+18636.04</f>
        <v>18636.04</v>
      </c>
      <c r="X151" s="40">
        <f>SUM(X152:X154)</f>
        <v>0</v>
      </c>
      <c r="Y151" s="40">
        <f>SUM(Y152:Y154)</f>
        <v>0</v>
      </c>
      <c r="Z151" s="39" t="s">
        <v>449</v>
      </c>
      <c r="AA151" s="41" t="s">
        <v>417</v>
      </c>
      <c r="AB151" s="42" t="s">
        <v>459</v>
      </c>
      <c r="AC151" s="42" t="s">
        <v>459</v>
      </c>
      <c r="AD151" s="43"/>
    </row>
    <row r="152" spans="1:30" ht="69.75" x14ac:dyDescent="0.25">
      <c r="A152" s="45"/>
      <c r="B152" s="46"/>
      <c r="C152" s="47"/>
      <c r="D152" s="47"/>
      <c r="E152" s="47"/>
      <c r="F152" s="48">
        <v>0</v>
      </c>
      <c r="G152" s="48">
        <v>0</v>
      </c>
      <c r="H152" s="48">
        <v>0</v>
      </c>
      <c r="I152" s="48">
        <v>0</v>
      </c>
      <c r="J152" s="48">
        <v>0</v>
      </c>
      <c r="K152" s="48">
        <v>0</v>
      </c>
      <c r="L152" s="48">
        <v>0</v>
      </c>
      <c r="M152" s="48">
        <v>0</v>
      </c>
      <c r="N152" s="48">
        <v>0</v>
      </c>
      <c r="O152" s="48">
        <v>0</v>
      </c>
      <c r="P152" s="48">
        <v>0</v>
      </c>
      <c r="Q152" s="48">
        <v>0</v>
      </c>
      <c r="R152" s="48">
        <v>0</v>
      </c>
      <c r="S152" s="48">
        <v>0</v>
      </c>
      <c r="T152" s="48">
        <v>0</v>
      </c>
      <c r="U152" s="48">
        <v>0</v>
      </c>
      <c r="V152" s="48">
        <v>0</v>
      </c>
      <c r="W152" s="48">
        <v>0</v>
      </c>
      <c r="X152" s="48">
        <v>0</v>
      </c>
      <c r="Y152" s="48">
        <v>0</v>
      </c>
      <c r="Z152" s="47" t="s">
        <v>438</v>
      </c>
      <c r="AA152" s="49" t="s">
        <v>417</v>
      </c>
      <c r="AB152" s="50" t="s">
        <v>459</v>
      </c>
      <c r="AC152" s="50" t="s">
        <v>459</v>
      </c>
      <c r="AD152" s="51"/>
    </row>
    <row r="153" spans="1:30" ht="46.5" x14ac:dyDescent="0.25">
      <c r="A153" s="37" t="s">
        <v>460</v>
      </c>
      <c r="B153" s="38" t="s">
        <v>461</v>
      </c>
      <c r="C153" s="39"/>
      <c r="D153" s="39"/>
      <c r="E153" s="39"/>
      <c r="F153" s="44">
        <v>0</v>
      </c>
      <c r="G153" s="44">
        <v>0</v>
      </c>
      <c r="H153" s="44">
        <v>0</v>
      </c>
      <c r="I153" s="44">
        <v>0</v>
      </c>
      <c r="J153" s="44">
        <v>0</v>
      </c>
      <c r="K153" s="44">
        <v>0</v>
      </c>
      <c r="L153" s="44">
        <v>0</v>
      </c>
      <c r="M153" s="44">
        <v>0</v>
      </c>
      <c r="N153" s="44">
        <v>0</v>
      </c>
      <c r="O153" s="44">
        <v>0</v>
      </c>
      <c r="P153" s="44">
        <v>0</v>
      </c>
      <c r="Q153" s="44">
        <v>0</v>
      </c>
      <c r="R153" s="44">
        <v>0</v>
      </c>
      <c r="S153" s="44">
        <v>0</v>
      </c>
      <c r="T153" s="44">
        <v>0</v>
      </c>
      <c r="U153" s="44">
        <v>0</v>
      </c>
      <c r="V153" s="44">
        <v>0</v>
      </c>
      <c r="W153" s="44">
        <v>0</v>
      </c>
      <c r="X153" s="44">
        <v>0</v>
      </c>
      <c r="Y153" s="44">
        <v>0</v>
      </c>
      <c r="Z153" s="39"/>
      <c r="AA153" s="41"/>
      <c r="AB153" s="42"/>
      <c r="AC153" s="42"/>
      <c r="AD153" s="43"/>
    </row>
    <row r="154" spans="1:30" ht="116.25" x14ac:dyDescent="0.25">
      <c r="A154" s="37" t="s">
        <v>462</v>
      </c>
      <c r="B154" s="38" t="s">
        <v>463</v>
      </c>
      <c r="C154" s="39"/>
      <c r="D154" s="39"/>
      <c r="E154" s="39"/>
      <c r="F154" s="44">
        <v>0</v>
      </c>
      <c r="G154" s="44">
        <v>0</v>
      </c>
      <c r="H154" s="44">
        <v>0</v>
      </c>
      <c r="I154" s="44">
        <v>0</v>
      </c>
      <c r="J154" s="44">
        <v>0</v>
      </c>
      <c r="K154" s="44">
        <v>0</v>
      </c>
      <c r="L154" s="44">
        <v>0</v>
      </c>
      <c r="M154" s="44">
        <v>0</v>
      </c>
      <c r="N154" s="44">
        <v>0</v>
      </c>
      <c r="O154" s="44">
        <v>0</v>
      </c>
      <c r="P154" s="44">
        <v>0</v>
      </c>
      <c r="Q154" s="44">
        <v>0</v>
      </c>
      <c r="R154" s="44">
        <v>0</v>
      </c>
      <c r="S154" s="44">
        <v>0</v>
      </c>
      <c r="T154" s="44">
        <v>0</v>
      </c>
      <c r="U154" s="44">
        <v>0</v>
      </c>
      <c r="V154" s="44">
        <v>0</v>
      </c>
      <c r="W154" s="44">
        <v>0</v>
      </c>
      <c r="X154" s="44">
        <v>0</v>
      </c>
      <c r="Y154" s="44">
        <v>0</v>
      </c>
      <c r="Z154" s="39"/>
      <c r="AA154" s="41"/>
      <c r="AB154" s="42"/>
      <c r="AC154" s="42"/>
      <c r="AD154" s="43"/>
    </row>
    <row r="155" spans="1:30" ht="93" x14ac:dyDescent="0.25">
      <c r="A155" s="37" t="s">
        <v>464</v>
      </c>
      <c r="B155" s="38" t="s">
        <v>465</v>
      </c>
      <c r="C155" s="39" t="s">
        <v>427</v>
      </c>
      <c r="D155" s="39" t="s">
        <v>437</v>
      </c>
      <c r="E155" s="39" t="s">
        <v>283</v>
      </c>
      <c r="F155" s="40">
        <f>SUM(F156:F156)+14520</f>
        <v>14520</v>
      </c>
      <c r="G155" s="40">
        <f>SUM(G156:G156)</f>
        <v>0</v>
      </c>
      <c r="H155" s="40">
        <f>SUM(H156:H156)</f>
        <v>0</v>
      </c>
      <c r="I155" s="40">
        <f>SUM(I156:I156)</f>
        <v>0</v>
      </c>
      <c r="J155" s="40">
        <f>SUM(J156:J156)</f>
        <v>0</v>
      </c>
      <c r="K155" s="40">
        <f>SUM(K156:K156)+14520</f>
        <v>14520</v>
      </c>
      <c r="L155" s="40">
        <f>SUM(L156:L156)</f>
        <v>0</v>
      </c>
      <c r="M155" s="40">
        <f>SUM(M156:M156)</f>
        <v>0</v>
      </c>
      <c r="N155" s="40">
        <f>SUM(N156:N156)</f>
        <v>0</v>
      </c>
      <c r="O155" s="40">
        <f>SUM(O156:O156)</f>
        <v>0</v>
      </c>
      <c r="P155" s="40">
        <f>SUM(P156:P156)+14520</f>
        <v>14520</v>
      </c>
      <c r="Q155" s="40">
        <f t="shared" ref="Q155:Y155" si="93">SUM(Q156:Q156)</f>
        <v>0</v>
      </c>
      <c r="R155" s="40">
        <f t="shared" si="93"/>
        <v>0</v>
      </c>
      <c r="S155" s="40">
        <f t="shared" si="93"/>
        <v>0</v>
      </c>
      <c r="T155" s="40">
        <f t="shared" si="93"/>
        <v>0</v>
      </c>
      <c r="U155" s="40">
        <f t="shared" si="93"/>
        <v>0</v>
      </c>
      <c r="V155" s="40">
        <f t="shared" si="93"/>
        <v>0</v>
      </c>
      <c r="W155" s="40">
        <f t="shared" si="93"/>
        <v>0</v>
      </c>
      <c r="X155" s="40">
        <f t="shared" si="93"/>
        <v>0</v>
      </c>
      <c r="Y155" s="40">
        <f t="shared" si="93"/>
        <v>0</v>
      </c>
      <c r="Z155" s="39" t="s">
        <v>466</v>
      </c>
      <c r="AA155" s="41" t="s">
        <v>41</v>
      </c>
      <c r="AB155" s="42" t="s">
        <v>56</v>
      </c>
      <c r="AC155" s="42" t="s">
        <v>56</v>
      </c>
      <c r="AD155" s="43"/>
    </row>
    <row r="156" spans="1:30" ht="116.25" x14ac:dyDescent="0.25">
      <c r="A156" s="37" t="s">
        <v>467</v>
      </c>
      <c r="B156" s="38" t="s">
        <v>468</v>
      </c>
      <c r="C156" s="39"/>
      <c r="D156" s="39"/>
      <c r="E156" s="39"/>
      <c r="F156" s="44">
        <v>0</v>
      </c>
      <c r="G156" s="44">
        <v>0</v>
      </c>
      <c r="H156" s="44">
        <v>0</v>
      </c>
      <c r="I156" s="44">
        <v>0</v>
      </c>
      <c r="J156" s="44">
        <v>0</v>
      </c>
      <c r="K156" s="44">
        <v>0</v>
      </c>
      <c r="L156" s="44">
        <v>0</v>
      </c>
      <c r="M156" s="44">
        <v>0</v>
      </c>
      <c r="N156" s="44">
        <v>0</v>
      </c>
      <c r="O156" s="44">
        <v>0</v>
      </c>
      <c r="P156" s="44">
        <v>0</v>
      </c>
      <c r="Q156" s="44">
        <v>0</v>
      </c>
      <c r="R156" s="44">
        <v>0</v>
      </c>
      <c r="S156" s="44">
        <v>0</v>
      </c>
      <c r="T156" s="44">
        <v>0</v>
      </c>
      <c r="U156" s="44">
        <v>0</v>
      </c>
      <c r="V156" s="44">
        <v>0</v>
      </c>
      <c r="W156" s="44">
        <v>0</v>
      </c>
      <c r="X156" s="44">
        <v>0</v>
      </c>
      <c r="Y156" s="44">
        <v>0</v>
      </c>
      <c r="Z156" s="39"/>
      <c r="AA156" s="41"/>
      <c r="AB156" s="42"/>
      <c r="AC156" s="42"/>
      <c r="AD156" s="43"/>
    </row>
    <row r="157" spans="1:30" ht="67.5" x14ac:dyDescent="0.25">
      <c r="A157" s="23" t="s">
        <v>469</v>
      </c>
      <c r="B157" s="24" t="s">
        <v>470</v>
      </c>
      <c r="C157" s="25" t="s">
        <v>312</v>
      </c>
      <c r="D157" s="25" t="s">
        <v>316</v>
      </c>
      <c r="E157" s="25"/>
      <c r="F157" s="26">
        <f t="shared" ref="F157:Y157" si="94">F158+F163</f>
        <v>1675962.1300000001</v>
      </c>
      <c r="G157" s="26">
        <f t="shared" si="94"/>
        <v>243534.77</v>
      </c>
      <c r="H157" s="26">
        <f t="shared" si="94"/>
        <v>0</v>
      </c>
      <c r="I157" s="26">
        <f t="shared" si="94"/>
        <v>0</v>
      </c>
      <c r="J157" s="26">
        <f t="shared" si="94"/>
        <v>0</v>
      </c>
      <c r="K157" s="26">
        <f t="shared" si="94"/>
        <v>319097.92</v>
      </c>
      <c r="L157" s="26">
        <f t="shared" si="94"/>
        <v>1022333.27</v>
      </c>
      <c r="M157" s="26">
        <f t="shared" si="94"/>
        <v>90996.17</v>
      </c>
      <c r="N157" s="26">
        <f t="shared" si="94"/>
        <v>0</v>
      </c>
      <c r="O157" s="26">
        <f t="shared" si="94"/>
        <v>0</v>
      </c>
      <c r="P157" s="26">
        <f t="shared" si="94"/>
        <v>1259146.06</v>
      </c>
      <c r="Q157" s="26">
        <f t="shared" si="94"/>
        <v>236454.41</v>
      </c>
      <c r="R157" s="26">
        <f t="shared" si="94"/>
        <v>0</v>
      </c>
      <c r="S157" s="26">
        <f t="shared" si="94"/>
        <v>0</v>
      </c>
      <c r="T157" s="26">
        <f t="shared" si="94"/>
        <v>0</v>
      </c>
      <c r="U157" s="26">
        <f t="shared" si="94"/>
        <v>306331.07</v>
      </c>
      <c r="V157" s="26">
        <f t="shared" si="94"/>
        <v>0</v>
      </c>
      <c r="W157" s="26">
        <f t="shared" si="94"/>
        <v>58233.09</v>
      </c>
      <c r="X157" s="26">
        <f t="shared" si="94"/>
        <v>0</v>
      </c>
      <c r="Y157" s="26">
        <f t="shared" si="94"/>
        <v>0</v>
      </c>
      <c r="Z157" s="25" t="s">
        <v>471</v>
      </c>
      <c r="AA157" s="27" t="s">
        <v>35</v>
      </c>
      <c r="AB157" s="28" t="s">
        <v>472</v>
      </c>
      <c r="AC157" s="28" t="s">
        <v>472</v>
      </c>
      <c r="AD157" s="29"/>
    </row>
    <row r="158" spans="1:30" ht="67.5" x14ac:dyDescent="0.25">
      <c r="A158" s="30" t="s">
        <v>473</v>
      </c>
      <c r="B158" s="31" t="s">
        <v>474</v>
      </c>
      <c r="C158" s="32" t="s">
        <v>312</v>
      </c>
      <c r="D158" s="32" t="s">
        <v>316</v>
      </c>
      <c r="E158" s="32" t="s">
        <v>39</v>
      </c>
      <c r="F158" s="33">
        <f t="shared" ref="F158:Y158" si="95">F159+F161</f>
        <v>1675220.32</v>
      </c>
      <c r="G158" s="33">
        <f t="shared" si="95"/>
        <v>242792.95999999999</v>
      </c>
      <c r="H158" s="33">
        <f t="shared" si="95"/>
        <v>0</v>
      </c>
      <c r="I158" s="33">
        <f t="shared" si="95"/>
        <v>0</v>
      </c>
      <c r="J158" s="33">
        <f t="shared" si="95"/>
        <v>0</v>
      </c>
      <c r="K158" s="33">
        <f t="shared" si="95"/>
        <v>319097.92</v>
      </c>
      <c r="L158" s="33">
        <f t="shared" si="95"/>
        <v>1022333.27</v>
      </c>
      <c r="M158" s="33">
        <f t="shared" si="95"/>
        <v>90996.17</v>
      </c>
      <c r="N158" s="33">
        <f t="shared" si="95"/>
        <v>0</v>
      </c>
      <c r="O158" s="33">
        <f t="shared" si="95"/>
        <v>0</v>
      </c>
      <c r="P158" s="33">
        <f t="shared" si="95"/>
        <v>1258404.25</v>
      </c>
      <c r="Q158" s="33">
        <f t="shared" si="95"/>
        <v>235712.6</v>
      </c>
      <c r="R158" s="33">
        <f t="shared" si="95"/>
        <v>0</v>
      </c>
      <c r="S158" s="33">
        <f t="shared" si="95"/>
        <v>0</v>
      </c>
      <c r="T158" s="33">
        <f t="shared" si="95"/>
        <v>0</v>
      </c>
      <c r="U158" s="33">
        <f t="shared" si="95"/>
        <v>306331.07</v>
      </c>
      <c r="V158" s="33">
        <f t="shared" si="95"/>
        <v>0</v>
      </c>
      <c r="W158" s="33">
        <f t="shared" si="95"/>
        <v>58233.09</v>
      </c>
      <c r="X158" s="33">
        <f t="shared" si="95"/>
        <v>0</v>
      </c>
      <c r="Y158" s="33">
        <f t="shared" si="95"/>
        <v>0</v>
      </c>
      <c r="Z158" s="32" t="s">
        <v>475</v>
      </c>
      <c r="AA158" s="34" t="s">
        <v>41</v>
      </c>
      <c r="AB158" s="35" t="s">
        <v>42</v>
      </c>
      <c r="AC158" s="35" t="s">
        <v>42</v>
      </c>
      <c r="AD158" s="36"/>
    </row>
    <row r="159" spans="1:30" ht="69.75" x14ac:dyDescent="0.25">
      <c r="A159" s="37" t="s">
        <v>476</v>
      </c>
      <c r="B159" s="38" t="s">
        <v>477</v>
      </c>
      <c r="C159" s="39" t="s">
        <v>312</v>
      </c>
      <c r="D159" s="39" t="s">
        <v>365</v>
      </c>
      <c r="E159" s="39" t="s">
        <v>46</v>
      </c>
      <c r="F159" s="40">
        <f>SUM(F160:F160)+4944.62</f>
        <v>4944.62</v>
      </c>
      <c r="G159" s="40">
        <f>SUM(G160:G160)</f>
        <v>0</v>
      </c>
      <c r="H159" s="40">
        <f>SUM(H160:H160)</f>
        <v>0</v>
      </c>
      <c r="I159" s="40">
        <f>SUM(I160:I160)</f>
        <v>0</v>
      </c>
      <c r="J159" s="40">
        <f>SUM(J160:J160)</f>
        <v>0</v>
      </c>
      <c r="K159" s="40">
        <f>SUM(K160:K160)</f>
        <v>0</v>
      </c>
      <c r="L159" s="40">
        <f>SUM(L160:L160)+4942.63</f>
        <v>4942.63</v>
      </c>
      <c r="M159" s="40">
        <f>SUM(M160:M160)+1.99</f>
        <v>1.99</v>
      </c>
      <c r="N159" s="40">
        <f>SUM(N160:N160)</f>
        <v>0</v>
      </c>
      <c r="O159" s="40">
        <f>SUM(O160:O160)</f>
        <v>0</v>
      </c>
      <c r="P159" s="40">
        <f>SUM(P160:P160)+4944.62</f>
        <v>4944.62</v>
      </c>
      <c r="Q159" s="40">
        <f t="shared" ref="Q159:V159" si="96">SUM(Q160:Q160)</f>
        <v>0</v>
      </c>
      <c r="R159" s="40">
        <f t="shared" si="96"/>
        <v>0</v>
      </c>
      <c r="S159" s="40">
        <f t="shared" si="96"/>
        <v>0</v>
      </c>
      <c r="T159" s="40">
        <f t="shared" si="96"/>
        <v>0</v>
      </c>
      <c r="U159" s="40">
        <f t="shared" si="96"/>
        <v>0</v>
      </c>
      <c r="V159" s="40">
        <f t="shared" si="96"/>
        <v>0</v>
      </c>
      <c r="W159" s="40">
        <f>SUM(W160:W160)+1.99</f>
        <v>1.99</v>
      </c>
      <c r="X159" s="40">
        <f>SUM(X160:X160)</f>
        <v>0</v>
      </c>
      <c r="Y159" s="40">
        <f>SUM(Y160:Y160)</f>
        <v>0</v>
      </c>
      <c r="Z159" s="39"/>
      <c r="AA159" s="41"/>
      <c r="AB159" s="42"/>
      <c r="AC159" s="42"/>
      <c r="AD159" s="43"/>
    </row>
    <row r="160" spans="1:30" ht="46.5" x14ac:dyDescent="0.25">
      <c r="A160" s="37" t="s">
        <v>478</v>
      </c>
      <c r="B160" s="38" t="s">
        <v>479</v>
      </c>
      <c r="C160" s="39"/>
      <c r="D160" s="39"/>
      <c r="E160" s="39"/>
      <c r="F160" s="44">
        <v>0</v>
      </c>
      <c r="G160" s="44">
        <v>0</v>
      </c>
      <c r="H160" s="44">
        <v>0</v>
      </c>
      <c r="I160" s="44">
        <v>0</v>
      </c>
      <c r="J160" s="44">
        <v>0</v>
      </c>
      <c r="K160" s="44">
        <v>0</v>
      </c>
      <c r="L160" s="44">
        <v>0</v>
      </c>
      <c r="M160" s="44">
        <v>0</v>
      </c>
      <c r="N160" s="44">
        <v>0</v>
      </c>
      <c r="O160" s="44">
        <v>0</v>
      </c>
      <c r="P160" s="44">
        <v>0</v>
      </c>
      <c r="Q160" s="44">
        <v>0</v>
      </c>
      <c r="R160" s="44">
        <v>0</v>
      </c>
      <c r="S160" s="44">
        <v>0</v>
      </c>
      <c r="T160" s="44">
        <v>0</v>
      </c>
      <c r="U160" s="44">
        <v>0</v>
      </c>
      <c r="V160" s="44">
        <v>0</v>
      </c>
      <c r="W160" s="44">
        <v>0</v>
      </c>
      <c r="X160" s="44">
        <v>0</v>
      </c>
      <c r="Y160" s="44">
        <v>0</v>
      </c>
      <c r="Z160" s="39"/>
      <c r="AA160" s="41"/>
      <c r="AB160" s="42"/>
      <c r="AC160" s="42"/>
      <c r="AD160" s="43"/>
    </row>
    <row r="161" spans="1:30" ht="69.75" x14ac:dyDescent="0.25">
      <c r="A161" s="37" t="s">
        <v>480</v>
      </c>
      <c r="B161" s="38" t="s">
        <v>481</v>
      </c>
      <c r="C161" s="39" t="s">
        <v>312</v>
      </c>
      <c r="D161" s="39" t="s">
        <v>365</v>
      </c>
      <c r="E161" s="39" t="s">
        <v>46</v>
      </c>
      <c r="F161" s="40">
        <f>SUM(F162:F162)+1670275.7</f>
        <v>1670275.7</v>
      </c>
      <c r="G161" s="40">
        <f>SUM(G162:G162)+242792.96</f>
        <v>242792.95999999999</v>
      </c>
      <c r="H161" s="40">
        <f>SUM(H162:H162)</f>
        <v>0</v>
      </c>
      <c r="I161" s="40">
        <f>SUM(I162:I162)</f>
        <v>0</v>
      </c>
      <c r="J161" s="40">
        <f>SUM(J162:J162)</f>
        <v>0</v>
      </c>
      <c r="K161" s="40">
        <f>SUM(K162:K162)+319097.92</f>
        <v>319097.92</v>
      </c>
      <c r="L161" s="40">
        <f>SUM(L162:L162)+1017390.64</f>
        <v>1017390.64</v>
      </c>
      <c r="M161" s="40">
        <f>SUM(M162:M162)+90994.18</f>
        <v>90994.18</v>
      </c>
      <c r="N161" s="40">
        <f>SUM(N162:N162)</f>
        <v>0</v>
      </c>
      <c r="O161" s="40">
        <f>SUM(O162:O162)</f>
        <v>0</v>
      </c>
      <c r="P161" s="40">
        <f>SUM(P162:P162)+1253459.63</f>
        <v>1253459.6299999999</v>
      </c>
      <c r="Q161" s="40">
        <f>SUM(Q162:Q162)+235712.6</f>
        <v>235712.6</v>
      </c>
      <c r="R161" s="40">
        <f>SUM(R162:R162)</f>
        <v>0</v>
      </c>
      <c r="S161" s="40">
        <f>SUM(S162:S162)</f>
        <v>0</v>
      </c>
      <c r="T161" s="40">
        <f>SUM(T162:T162)</f>
        <v>0</v>
      </c>
      <c r="U161" s="40">
        <f>SUM(U162:U162)+306331.07</f>
        <v>306331.07</v>
      </c>
      <c r="V161" s="40">
        <f>SUM(V162:V162)</f>
        <v>0</v>
      </c>
      <c r="W161" s="40">
        <f>SUM(W162:W162)+58231.1</f>
        <v>58231.1</v>
      </c>
      <c r="X161" s="40">
        <f>SUM(X162:X162)</f>
        <v>0</v>
      </c>
      <c r="Y161" s="40">
        <f>SUM(Y162:Y162)</f>
        <v>0</v>
      </c>
      <c r="Z161" s="39" t="s">
        <v>482</v>
      </c>
      <c r="AA161" s="41" t="s">
        <v>41</v>
      </c>
      <c r="AB161" s="42" t="s">
        <v>56</v>
      </c>
      <c r="AC161" s="42" t="s">
        <v>56</v>
      </c>
      <c r="AD161" s="43" t="s">
        <v>483</v>
      </c>
    </row>
    <row r="162" spans="1:30" ht="46.5" x14ac:dyDescent="0.25">
      <c r="A162" s="37" t="s">
        <v>484</v>
      </c>
      <c r="B162" s="38" t="s">
        <v>485</v>
      </c>
      <c r="C162" s="39"/>
      <c r="D162" s="39"/>
      <c r="E162" s="39"/>
      <c r="F162" s="44">
        <v>0</v>
      </c>
      <c r="G162" s="44">
        <v>0</v>
      </c>
      <c r="H162" s="44">
        <v>0</v>
      </c>
      <c r="I162" s="44">
        <v>0</v>
      </c>
      <c r="J162" s="44">
        <v>0</v>
      </c>
      <c r="K162" s="44">
        <v>0</v>
      </c>
      <c r="L162" s="44">
        <v>0</v>
      </c>
      <c r="M162" s="44">
        <v>0</v>
      </c>
      <c r="N162" s="44">
        <v>0</v>
      </c>
      <c r="O162" s="44">
        <v>0</v>
      </c>
      <c r="P162" s="44">
        <v>0</v>
      </c>
      <c r="Q162" s="44">
        <v>0</v>
      </c>
      <c r="R162" s="44">
        <v>0</v>
      </c>
      <c r="S162" s="44">
        <v>0</v>
      </c>
      <c r="T162" s="44">
        <v>0</v>
      </c>
      <c r="U162" s="44">
        <v>0</v>
      </c>
      <c r="V162" s="44">
        <v>0</v>
      </c>
      <c r="W162" s="44">
        <v>0</v>
      </c>
      <c r="X162" s="44">
        <v>0</v>
      </c>
      <c r="Y162" s="44">
        <v>0</v>
      </c>
      <c r="Z162" s="39"/>
      <c r="AA162" s="41"/>
      <c r="AB162" s="42"/>
      <c r="AC162" s="42"/>
      <c r="AD162" s="43"/>
    </row>
    <row r="163" spans="1:30" ht="67.5" x14ac:dyDescent="0.25">
      <c r="A163" s="30" t="s">
        <v>486</v>
      </c>
      <c r="B163" s="31" t="s">
        <v>487</v>
      </c>
      <c r="C163" s="32" t="s">
        <v>312</v>
      </c>
      <c r="D163" s="32" t="s">
        <v>316</v>
      </c>
      <c r="E163" s="32" t="s">
        <v>39</v>
      </c>
      <c r="F163" s="33">
        <f t="shared" ref="F163:Y163" si="97">F164+F166+F168+F170+F172</f>
        <v>741.81</v>
      </c>
      <c r="G163" s="33">
        <f t="shared" si="97"/>
        <v>741.81</v>
      </c>
      <c r="H163" s="33">
        <f t="shared" si="97"/>
        <v>0</v>
      </c>
      <c r="I163" s="33">
        <f t="shared" si="97"/>
        <v>0</v>
      </c>
      <c r="J163" s="33">
        <f t="shared" si="97"/>
        <v>0</v>
      </c>
      <c r="K163" s="33">
        <f t="shared" si="97"/>
        <v>0</v>
      </c>
      <c r="L163" s="33">
        <f t="shared" si="97"/>
        <v>0</v>
      </c>
      <c r="M163" s="33">
        <f t="shared" si="97"/>
        <v>0</v>
      </c>
      <c r="N163" s="33">
        <f t="shared" si="97"/>
        <v>0</v>
      </c>
      <c r="O163" s="33">
        <f t="shared" si="97"/>
        <v>0</v>
      </c>
      <c r="P163" s="33">
        <f t="shared" si="97"/>
        <v>741.81</v>
      </c>
      <c r="Q163" s="33">
        <f t="shared" si="97"/>
        <v>741.81</v>
      </c>
      <c r="R163" s="33">
        <f t="shared" si="97"/>
        <v>0</v>
      </c>
      <c r="S163" s="33">
        <f t="shared" si="97"/>
        <v>0</v>
      </c>
      <c r="T163" s="33">
        <f t="shared" si="97"/>
        <v>0</v>
      </c>
      <c r="U163" s="33">
        <f t="shared" si="97"/>
        <v>0</v>
      </c>
      <c r="V163" s="33">
        <f t="shared" si="97"/>
        <v>0</v>
      </c>
      <c r="W163" s="33">
        <f t="shared" si="97"/>
        <v>0</v>
      </c>
      <c r="X163" s="33">
        <f t="shared" si="97"/>
        <v>0</v>
      </c>
      <c r="Y163" s="33">
        <f t="shared" si="97"/>
        <v>0</v>
      </c>
      <c r="Z163" s="32" t="s">
        <v>475</v>
      </c>
      <c r="AA163" s="34" t="s">
        <v>41</v>
      </c>
      <c r="AB163" s="35" t="s">
        <v>49</v>
      </c>
      <c r="AC163" s="35" t="s">
        <v>49</v>
      </c>
      <c r="AD163" s="36"/>
    </row>
    <row r="164" spans="1:30" ht="69.75" x14ac:dyDescent="0.25">
      <c r="A164" s="37" t="s">
        <v>488</v>
      </c>
      <c r="B164" s="38" t="s">
        <v>489</v>
      </c>
      <c r="C164" s="39" t="s">
        <v>312</v>
      </c>
      <c r="D164" s="39" t="s">
        <v>316</v>
      </c>
      <c r="E164" s="39" t="s">
        <v>46</v>
      </c>
      <c r="F164" s="40">
        <f>SUM(F165:F165)+187.1</f>
        <v>187.1</v>
      </c>
      <c r="G164" s="40">
        <f>SUM(G165:G165)+187.1</f>
        <v>187.1</v>
      </c>
      <c r="H164" s="40">
        <f t="shared" ref="H164:O164" si="98">SUM(H165:H165)</f>
        <v>0</v>
      </c>
      <c r="I164" s="40">
        <f t="shared" si="98"/>
        <v>0</v>
      </c>
      <c r="J164" s="40">
        <f t="shared" si="98"/>
        <v>0</v>
      </c>
      <c r="K164" s="40">
        <f t="shared" si="98"/>
        <v>0</v>
      </c>
      <c r="L164" s="40">
        <f t="shared" si="98"/>
        <v>0</v>
      </c>
      <c r="M164" s="40">
        <f t="shared" si="98"/>
        <v>0</v>
      </c>
      <c r="N164" s="40">
        <f t="shared" si="98"/>
        <v>0</v>
      </c>
      <c r="O164" s="40">
        <f t="shared" si="98"/>
        <v>0</v>
      </c>
      <c r="P164" s="40">
        <f>SUM(P165:P165)+187.1</f>
        <v>187.1</v>
      </c>
      <c r="Q164" s="40">
        <f>SUM(Q165:Q165)+187.1</f>
        <v>187.1</v>
      </c>
      <c r="R164" s="40">
        <f t="shared" ref="R164:Y164" si="99">SUM(R165:R165)</f>
        <v>0</v>
      </c>
      <c r="S164" s="40">
        <f t="shared" si="99"/>
        <v>0</v>
      </c>
      <c r="T164" s="40">
        <f t="shared" si="99"/>
        <v>0</v>
      </c>
      <c r="U164" s="40">
        <f t="shared" si="99"/>
        <v>0</v>
      </c>
      <c r="V164" s="40">
        <f t="shared" si="99"/>
        <v>0</v>
      </c>
      <c r="W164" s="40">
        <f t="shared" si="99"/>
        <v>0</v>
      </c>
      <c r="X164" s="40">
        <f t="shared" si="99"/>
        <v>0</v>
      </c>
      <c r="Y164" s="40">
        <f t="shared" si="99"/>
        <v>0</v>
      </c>
      <c r="Z164" s="39" t="s">
        <v>490</v>
      </c>
      <c r="AA164" s="41" t="s">
        <v>41</v>
      </c>
      <c r="AB164" s="42" t="s">
        <v>56</v>
      </c>
      <c r="AC164" s="42" t="s">
        <v>56</v>
      </c>
      <c r="AD164" s="43"/>
    </row>
    <row r="165" spans="1:30" ht="46.5" x14ac:dyDescent="0.25">
      <c r="A165" s="37" t="s">
        <v>491</v>
      </c>
      <c r="B165" s="38" t="s">
        <v>492</v>
      </c>
      <c r="C165" s="39"/>
      <c r="D165" s="39"/>
      <c r="E165" s="39"/>
      <c r="F165" s="44">
        <v>0</v>
      </c>
      <c r="G165" s="44">
        <v>0</v>
      </c>
      <c r="H165" s="44">
        <v>0</v>
      </c>
      <c r="I165" s="44">
        <v>0</v>
      </c>
      <c r="J165" s="44">
        <v>0</v>
      </c>
      <c r="K165" s="44">
        <v>0</v>
      </c>
      <c r="L165" s="44">
        <v>0</v>
      </c>
      <c r="M165" s="44">
        <v>0</v>
      </c>
      <c r="N165" s="44">
        <v>0</v>
      </c>
      <c r="O165" s="44">
        <v>0</v>
      </c>
      <c r="P165" s="44">
        <v>0</v>
      </c>
      <c r="Q165" s="44">
        <v>0</v>
      </c>
      <c r="R165" s="44">
        <v>0</v>
      </c>
      <c r="S165" s="44">
        <v>0</v>
      </c>
      <c r="T165" s="44">
        <v>0</v>
      </c>
      <c r="U165" s="44">
        <v>0</v>
      </c>
      <c r="V165" s="44">
        <v>0</v>
      </c>
      <c r="W165" s="44">
        <v>0</v>
      </c>
      <c r="X165" s="44">
        <v>0</v>
      </c>
      <c r="Y165" s="44">
        <v>0</v>
      </c>
      <c r="Z165" s="39"/>
      <c r="AA165" s="41"/>
      <c r="AB165" s="42"/>
      <c r="AC165" s="42"/>
      <c r="AD165" s="43"/>
    </row>
    <row r="166" spans="1:30" ht="69.75" x14ac:dyDescent="0.25">
      <c r="A166" s="37" t="s">
        <v>493</v>
      </c>
      <c r="B166" s="38" t="s">
        <v>494</v>
      </c>
      <c r="C166" s="39" t="s">
        <v>312</v>
      </c>
      <c r="D166" s="39" t="s">
        <v>365</v>
      </c>
      <c r="E166" s="39" t="s">
        <v>46</v>
      </c>
      <c r="F166" s="40">
        <f>SUM(F167:F167)+185.32</f>
        <v>185.32</v>
      </c>
      <c r="G166" s="40">
        <f>SUM(G167:G167)+185.32</f>
        <v>185.32</v>
      </c>
      <c r="H166" s="40">
        <f t="shared" ref="H166:O166" si="100">SUM(H167:H167)</f>
        <v>0</v>
      </c>
      <c r="I166" s="40">
        <f t="shared" si="100"/>
        <v>0</v>
      </c>
      <c r="J166" s="40">
        <f t="shared" si="100"/>
        <v>0</v>
      </c>
      <c r="K166" s="40">
        <f t="shared" si="100"/>
        <v>0</v>
      </c>
      <c r="L166" s="40">
        <f t="shared" si="100"/>
        <v>0</v>
      </c>
      <c r="M166" s="40">
        <f t="shared" si="100"/>
        <v>0</v>
      </c>
      <c r="N166" s="40">
        <f t="shared" si="100"/>
        <v>0</v>
      </c>
      <c r="O166" s="40">
        <f t="shared" si="100"/>
        <v>0</v>
      </c>
      <c r="P166" s="40">
        <f>SUM(P167:P167)+185.32</f>
        <v>185.32</v>
      </c>
      <c r="Q166" s="40">
        <f>SUM(Q167:Q167)+185.32</f>
        <v>185.32</v>
      </c>
      <c r="R166" s="40">
        <f t="shared" ref="R166:Y166" si="101">SUM(R167:R167)</f>
        <v>0</v>
      </c>
      <c r="S166" s="40">
        <f t="shared" si="101"/>
        <v>0</v>
      </c>
      <c r="T166" s="40">
        <f t="shared" si="101"/>
        <v>0</v>
      </c>
      <c r="U166" s="40">
        <f t="shared" si="101"/>
        <v>0</v>
      </c>
      <c r="V166" s="40">
        <f t="shared" si="101"/>
        <v>0</v>
      </c>
      <c r="W166" s="40">
        <f t="shared" si="101"/>
        <v>0</v>
      </c>
      <c r="X166" s="40">
        <f t="shared" si="101"/>
        <v>0</v>
      </c>
      <c r="Y166" s="40">
        <f t="shared" si="101"/>
        <v>0</v>
      </c>
      <c r="Z166" s="39" t="s">
        <v>490</v>
      </c>
      <c r="AA166" s="41" t="s">
        <v>41</v>
      </c>
      <c r="AB166" s="42" t="s">
        <v>56</v>
      </c>
      <c r="AC166" s="42" t="s">
        <v>56</v>
      </c>
      <c r="AD166" s="43"/>
    </row>
    <row r="167" spans="1:30" ht="46.5" x14ac:dyDescent="0.25">
      <c r="A167" s="37" t="s">
        <v>495</v>
      </c>
      <c r="B167" s="38" t="s">
        <v>496</v>
      </c>
      <c r="C167" s="39"/>
      <c r="D167" s="39"/>
      <c r="E167" s="39"/>
      <c r="F167" s="44">
        <v>0</v>
      </c>
      <c r="G167" s="44">
        <v>0</v>
      </c>
      <c r="H167" s="44">
        <v>0</v>
      </c>
      <c r="I167" s="44">
        <v>0</v>
      </c>
      <c r="J167" s="44">
        <v>0</v>
      </c>
      <c r="K167" s="44">
        <v>0</v>
      </c>
      <c r="L167" s="44">
        <v>0</v>
      </c>
      <c r="M167" s="44">
        <v>0</v>
      </c>
      <c r="N167" s="44">
        <v>0</v>
      </c>
      <c r="O167" s="44">
        <v>0</v>
      </c>
      <c r="P167" s="44">
        <v>0</v>
      </c>
      <c r="Q167" s="44">
        <v>0</v>
      </c>
      <c r="R167" s="44">
        <v>0</v>
      </c>
      <c r="S167" s="44">
        <v>0</v>
      </c>
      <c r="T167" s="44">
        <v>0</v>
      </c>
      <c r="U167" s="44">
        <v>0</v>
      </c>
      <c r="V167" s="44">
        <v>0</v>
      </c>
      <c r="W167" s="44">
        <v>0</v>
      </c>
      <c r="X167" s="44">
        <v>0</v>
      </c>
      <c r="Y167" s="44">
        <v>0</v>
      </c>
      <c r="Z167" s="39"/>
      <c r="AA167" s="41"/>
      <c r="AB167" s="42"/>
      <c r="AC167" s="42"/>
      <c r="AD167" s="43"/>
    </row>
    <row r="168" spans="1:30" ht="69.75" x14ac:dyDescent="0.25">
      <c r="A168" s="37" t="s">
        <v>497</v>
      </c>
      <c r="B168" s="38" t="s">
        <v>498</v>
      </c>
      <c r="C168" s="39" t="s">
        <v>312</v>
      </c>
      <c r="D168" s="39" t="s">
        <v>365</v>
      </c>
      <c r="E168" s="39" t="s">
        <v>46</v>
      </c>
      <c r="F168" s="40">
        <f>SUM(F169:F169)+133.56</f>
        <v>133.56</v>
      </c>
      <c r="G168" s="40">
        <f>SUM(G169:G169)+133.56</f>
        <v>133.56</v>
      </c>
      <c r="H168" s="40">
        <f t="shared" ref="H168:O168" si="102">SUM(H169:H169)</f>
        <v>0</v>
      </c>
      <c r="I168" s="40">
        <f t="shared" si="102"/>
        <v>0</v>
      </c>
      <c r="J168" s="40">
        <f t="shared" si="102"/>
        <v>0</v>
      </c>
      <c r="K168" s="40">
        <f t="shared" si="102"/>
        <v>0</v>
      </c>
      <c r="L168" s="40">
        <f t="shared" si="102"/>
        <v>0</v>
      </c>
      <c r="M168" s="40">
        <f t="shared" si="102"/>
        <v>0</v>
      </c>
      <c r="N168" s="40">
        <f t="shared" si="102"/>
        <v>0</v>
      </c>
      <c r="O168" s="40">
        <f t="shared" si="102"/>
        <v>0</v>
      </c>
      <c r="P168" s="40">
        <f>SUM(P169:P169)+133.56</f>
        <v>133.56</v>
      </c>
      <c r="Q168" s="40">
        <f>SUM(Q169:Q169)+133.56</f>
        <v>133.56</v>
      </c>
      <c r="R168" s="40">
        <f t="shared" ref="R168:Y168" si="103">SUM(R169:R169)</f>
        <v>0</v>
      </c>
      <c r="S168" s="40">
        <f t="shared" si="103"/>
        <v>0</v>
      </c>
      <c r="T168" s="40">
        <f t="shared" si="103"/>
        <v>0</v>
      </c>
      <c r="U168" s="40">
        <f t="shared" si="103"/>
        <v>0</v>
      </c>
      <c r="V168" s="40">
        <f t="shared" si="103"/>
        <v>0</v>
      </c>
      <c r="W168" s="40">
        <f t="shared" si="103"/>
        <v>0</v>
      </c>
      <c r="X168" s="40">
        <f t="shared" si="103"/>
        <v>0</v>
      </c>
      <c r="Y168" s="40">
        <f t="shared" si="103"/>
        <v>0</v>
      </c>
      <c r="Z168" s="39" t="s">
        <v>490</v>
      </c>
      <c r="AA168" s="41" t="s">
        <v>41</v>
      </c>
      <c r="AB168" s="42" t="s">
        <v>56</v>
      </c>
      <c r="AC168" s="42" t="s">
        <v>56</v>
      </c>
      <c r="AD168" s="43"/>
    </row>
    <row r="169" spans="1:30" ht="46.5" x14ac:dyDescent="0.25">
      <c r="A169" s="37" t="s">
        <v>499</v>
      </c>
      <c r="B169" s="38" t="s">
        <v>500</v>
      </c>
      <c r="C169" s="39"/>
      <c r="D169" s="39"/>
      <c r="E169" s="39"/>
      <c r="F169" s="44">
        <v>0</v>
      </c>
      <c r="G169" s="44">
        <v>0</v>
      </c>
      <c r="H169" s="44">
        <v>0</v>
      </c>
      <c r="I169" s="44">
        <v>0</v>
      </c>
      <c r="J169" s="44">
        <v>0</v>
      </c>
      <c r="K169" s="44">
        <v>0</v>
      </c>
      <c r="L169" s="44">
        <v>0</v>
      </c>
      <c r="M169" s="44">
        <v>0</v>
      </c>
      <c r="N169" s="44">
        <v>0</v>
      </c>
      <c r="O169" s="44">
        <v>0</v>
      </c>
      <c r="P169" s="44">
        <v>0</v>
      </c>
      <c r="Q169" s="44">
        <v>0</v>
      </c>
      <c r="R169" s="44">
        <v>0</v>
      </c>
      <c r="S169" s="44">
        <v>0</v>
      </c>
      <c r="T169" s="44">
        <v>0</v>
      </c>
      <c r="U169" s="44">
        <v>0</v>
      </c>
      <c r="V169" s="44">
        <v>0</v>
      </c>
      <c r="W169" s="44">
        <v>0</v>
      </c>
      <c r="X169" s="44">
        <v>0</v>
      </c>
      <c r="Y169" s="44">
        <v>0</v>
      </c>
      <c r="Z169" s="39"/>
      <c r="AA169" s="41"/>
      <c r="AB169" s="42"/>
      <c r="AC169" s="42"/>
      <c r="AD169" s="43"/>
    </row>
    <row r="170" spans="1:30" ht="69.75" x14ac:dyDescent="0.25">
      <c r="A170" s="37" t="s">
        <v>501</v>
      </c>
      <c r="B170" s="38" t="s">
        <v>502</v>
      </c>
      <c r="C170" s="39" t="s">
        <v>312</v>
      </c>
      <c r="D170" s="39" t="s">
        <v>365</v>
      </c>
      <c r="E170" s="39" t="s">
        <v>46</v>
      </c>
      <c r="F170" s="40">
        <f>SUM(F171:F171)+141.18</f>
        <v>141.18</v>
      </c>
      <c r="G170" s="40">
        <f>SUM(G171:G171)+141.18</f>
        <v>141.18</v>
      </c>
      <c r="H170" s="40">
        <f t="shared" ref="H170:O170" si="104">SUM(H171:H171)</f>
        <v>0</v>
      </c>
      <c r="I170" s="40">
        <f t="shared" si="104"/>
        <v>0</v>
      </c>
      <c r="J170" s="40">
        <f t="shared" si="104"/>
        <v>0</v>
      </c>
      <c r="K170" s="40">
        <f t="shared" si="104"/>
        <v>0</v>
      </c>
      <c r="L170" s="40">
        <f t="shared" si="104"/>
        <v>0</v>
      </c>
      <c r="M170" s="40">
        <f t="shared" si="104"/>
        <v>0</v>
      </c>
      <c r="N170" s="40">
        <f t="shared" si="104"/>
        <v>0</v>
      </c>
      <c r="O170" s="40">
        <f t="shared" si="104"/>
        <v>0</v>
      </c>
      <c r="P170" s="40">
        <f>SUM(P171:P171)+141.18</f>
        <v>141.18</v>
      </c>
      <c r="Q170" s="40">
        <f>SUM(Q171:Q171)+141.18</f>
        <v>141.18</v>
      </c>
      <c r="R170" s="40">
        <f t="shared" ref="R170:Y170" si="105">SUM(R171:R171)</f>
        <v>0</v>
      </c>
      <c r="S170" s="40">
        <f t="shared" si="105"/>
        <v>0</v>
      </c>
      <c r="T170" s="40">
        <f t="shared" si="105"/>
        <v>0</v>
      </c>
      <c r="U170" s="40">
        <f t="shared" si="105"/>
        <v>0</v>
      </c>
      <c r="V170" s="40">
        <f t="shared" si="105"/>
        <v>0</v>
      </c>
      <c r="W170" s="40">
        <f t="shared" si="105"/>
        <v>0</v>
      </c>
      <c r="X170" s="40">
        <f t="shared" si="105"/>
        <v>0</v>
      </c>
      <c r="Y170" s="40">
        <f t="shared" si="105"/>
        <v>0</v>
      </c>
      <c r="Z170" s="39" t="s">
        <v>490</v>
      </c>
      <c r="AA170" s="41" t="s">
        <v>41</v>
      </c>
      <c r="AB170" s="42" t="s">
        <v>56</v>
      </c>
      <c r="AC170" s="42" t="s">
        <v>56</v>
      </c>
      <c r="AD170" s="43"/>
    </row>
    <row r="171" spans="1:30" ht="46.5" x14ac:dyDescent="0.25">
      <c r="A171" s="37" t="s">
        <v>503</v>
      </c>
      <c r="B171" s="38" t="s">
        <v>504</v>
      </c>
      <c r="C171" s="39"/>
      <c r="D171" s="39"/>
      <c r="E171" s="39"/>
      <c r="F171" s="44">
        <v>0</v>
      </c>
      <c r="G171" s="44">
        <v>0</v>
      </c>
      <c r="H171" s="44">
        <v>0</v>
      </c>
      <c r="I171" s="44">
        <v>0</v>
      </c>
      <c r="J171" s="44">
        <v>0</v>
      </c>
      <c r="K171" s="44">
        <v>0</v>
      </c>
      <c r="L171" s="44">
        <v>0</v>
      </c>
      <c r="M171" s="44">
        <v>0</v>
      </c>
      <c r="N171" s="44">
        <v>0</v>
      </c>
      <c r="O171" s="44">
        <v>0</v>
      </c>
      <c r="P171" s="44">
        <v>0</v>
      </c>
      <c r="Q171" s="44">
        <v>0</v>
      </c>
      <c r="R171" s="44">
        <v>0</v>
      </c>
      <c r="S171" s="44">
        <v>0</v>
      </c>
      <c r="T171" s="44">
        <v>0</v>
      </c>
      <c r="U171" s="44">
        <v>0</v>
      </c>
      <c r="V171" s="44">
        <v>0</v>
      </c>
      <c r="W171" s="44">
        <v>0</v>
      </c>
      <c r="X171" s="44">
        <v>0</v>
      </c>
      <c r="Y171" s="44">
        <v>0</v>
      </c>
      <c r="Z171" s="39"/>
      <c r="AA171" s="41"/>
      <c r="AB171" s="42"/>
      <c r="AC171" s="42"/>
      <c r="AD171" s="43"/>
    </row>
    <row r="172" spans="1:30" ht="69.75" x14ac:dyDescent="0.25">
      <c r="A172" s="37" t="s">
        <v>505</v>
      </c>
      <c r="B172" s="38" t="s">
        <v>506</v>
      </c>
      <c r="C172" s="39" t="s">
        <v>312</v>
      </c>
      <c r="D172" s="39" t="s">
        <v>507</v>
      </c>
      <c r="E172" s="39" t="s">
        <v>46</v>
      </c>
      <c r="F172" s="40">
        <f>SUM(F173:F173)+94.65</f>
        <v>94.65</v>
      </c>
      <c r="G172" s="40">
        <f>SUM(G173:G173)+94.65</f>
        <v>94.65</v>
      </c>
      <c r="H172" s="40">
        <f t="shared" ref="H172:O172" si="106">SUM(H173:H173)</f>
        <v>0</v>
      </c>
      <c r="I172" s="40">
        <f t="shared" si="106"/>
        <v>0</v>
      </c>
      <c r="J172" s="40">
        <f t="shared" si="106"/>
        <v>0</v>
      </c>
      <c r="K172" s="40">
        <f t="shared" si="106"/>
        <v>0</v>
      </c>
      <c r="L172" s="40">
        <f t="shared" si="106"/>
        <v>0</v>
      </c>
      <c r="M172" s="40">
        <f t="shared" si="106"/>
        <v>0</v>
      </c>
      <c r="N172" s="40">
        <f t="shared" si="106"/>
        <v>0</v>
      </c>
      <c r="O172" s="40">
        <f t="shared" si="106"/>
        <v>0</v>
      </c>
      <c r="P172" s="40">
        <f>SUM(P173:P173)+94.65</f>
        <v>94.65</v>
      </c>
      <c r="Q172" s="40">
        <f>SUM(Q173:Q173)+94.65</f>
        <v>94.65</v>
      </c>
      <c r="R172" s="40">
        <f t="shared" ref="R172:Y172" si="107">SUM(R173:R173)</f>
        <v>0</v>
      </c>
      <c r="S172" s="40">
        <f t="shared" si="107"/>
        <v>0</v>
      </c>
      <c r="T172" s="40">
        <f t="shared" si="107"/>
        <v>0</v>
      </c>
      <c r="U172" s="40">
        <f t="shared" si="107"/>
        <v>0</v>
      </c>
      <c r="V172" s="40">
        <f t="shared" si="107"/>
        <v>0</v>
      </c>
      <c r="W172" s="40">
        <f t="shared" si="107"/>
        <v>0</v>
      </c>
      <c r="X172" s="40">
        <f t="shared" si="107"/>
        <v>0</v>
      </c>
      <c r="Y172" s="40">
        <f t="shared" si="107"/>
        <v>0</v>
      </c>
      <c r="Z172" s="39" t="s">
        <v>490</v>
      </c>
      <c r="AA172" s="41" t="s">
        <v>41</v>
      </c>
      <c r="AB172" s="42" t="s">
        <v>56</v>
      </c>
      <c r="AC172" s="42" t="s">
        <v>56</v>
      </c>
      <c r="AD172" s="43"/>
    </row>
    <row r="173" spans="1:30" ht="46.5" x14ac:dyDescent="0.25">
      <c r="A173" s="37" t="s">
        <v>508</v>
      </c>
      <c r="B173" s="38" t="s">
        <v>509</v>
      </c>
      <c r="C173" s="39"/>
      <c r="D173" s="39"/>
      <c r="E173" s="39"/>
      <c r="F173" s="44">
        <v>0</v>
      </c>
      <c r="G173" s="44">
        <v>0</v>
      </c>
      <c r="H173" s="44">
        <v>0</v>
      </c>
      <c r="I173" s="44">
        <v>0</v>
      </c>
      <c r="J173" s="44">
        <v>0</v>
      </c>
      <c r="K173" s="44">
        <v>0</v>
      </c>
      <c r="L173" s="44">
        <v>0</v>
      </c>
      <c r="M173" s="44">
        <v>0</v>
      </c>
      <c r="N173" s="44">
        <v>0</v>
      </c>
      <c r="O173" s="44">
        <v>0</v>
      </c>
      <c r="P173" s="44">
        <v>0</v>
      </c>
      <c r="Q173" s="44">
        <v>0</v>
      </c>
      <c r="R173" s="44">
        <v>0</v>
      </c>
      <c r="S173" s="44">
        <v>0</v>
      </c>
      <c r="T173" s="44">
        <v>0</v>
      </c>
      <c r="U173" s="44">
        <v>0</v>
      </c>
      <c r="V173" s="44">
        <v>0</v>
      </c>
      <c r="W173" s="44">
        <v>0</v>
      </c>
      <c r="X173" s="44">
        <v>0</v>
      </c>
      <c r="Y173" s="44">
        <v>0</v>
      </c>
      <c r="Z173" s="39"/>
      <c r="AA173" s="41"/>
      <c r="AB173" s="42"/>
      <c r="AC173" s="42"/>
      <c r="AD173" s="43"/>
    </row>
    <row r="174" spans="1:30" ht="67.5" x14ac:dyDescent="0.25">
      <c r="A174" s="23" t="s">
        <v>510</v>
      </c>
      <c r="B174" s="24" t="s">
        <v>511</v>
      </c>
      <c r="C174" s="25" t="s">
        <v>312</v>
      </c>
      <c r="D174" s="25" t="s">
        <v>316</v>
      </c>
      <c r="E174" s="25"/>
      <c r="F174" s="26">
        <f t="shared" ref="F174:Y174" si="108">SUM(F175:F175)</f>
        <v>15913.42</v>
      </c>
      <c r="G174" s="26">
        <f t="shared" si="108"/>
        <v>810.62</v>
      </c>
      <c r="H174" s="26">
        <f t="shared" si="108"/>
        <v>0</v>
      </c>
      <c r="I174" s="26">
        <f t="shared" si="108"/>
        <v>0</v>
      </c>
      <c r="J174" s="26">
        <f t="shared" si="108"/>
        <v>0</v>
      </c>
      <c r="K174" s="26">
        <f t="shared" si="108"/>
        <v>0</v>
      </c>
      <c r="L174" s="26">
        <f t="shared" si="108"/>
        <v>13811.91</v>
      </c>
      <c r="M174" s="26">
        <f t="shared" si="108"/>
        <v>1290.8900000000001</v>
      </c>
      <c r="N174" s="26">
        <f t="shared" si="108"/>
        <v>0</v>
      </c>
      <c r="O174" s="26">
        <f t="shared" si="108"/>
        <v>0</v>
      </c>
      <c r="P174" s="26">
        <f t="shared" si="108"/>
        <v>15102.800000000001</v>
      </c>
      <c r="Q174" s="26">
        <f t="shared" si="108"/>
        <v>0</v>
      </c>
      <c r="R174" s="26">
        <f t="shared" si="108"/>
        <v>0</v>
      </c>
      <c r="S174" s="26">
        <f t="shared" si="108"/>
        <v>0</v>
      </c>
      <c r="T174" s="26">
        <f t="shared" si="108"/>
        <v>0</v>
      </c>
      <c r="U174" s="26">
        <f t="shared" si="108"/>
        <v>0</v>
      </c>
      <c r="V174" s="26">
        <f t="shared" si="108"/>
        <v>107.1</v>
      </c>
      <c r="W174" s="26">
        <f t="shared" si="108"/>
        <v>1290.8900000000001</v>
      </c>
      <c r="X174" s="26">
        <f t="shared" si="108"/>
        <v>0</v>
      </c>
      <c r="Y174" s="26">
        <f t="shared" si="108"/>
        <v>0</v>
      </c>
      <c r="Z174" s="25" t="s">
        <v>512</v>
      </c>
      <c r="AA174" s="27" t="s">
        <v>35</v>
      </c>
      <c r="AB174" s="28" t="s">
        <v>218</v>
      </c>
      <c r="AC174" s="28" t="s">
        <v>218</v>
      </c>
      <c r="AD174" s="29"/>
    </row>
    <row r="175" spans="1:30" ht="45" x14ac:dyDescent="0.25">
      <c r="A175" s="30" t="s">
        <v>513</v>
      </c>
      <c r="B175" s="31" t="s">
        <v>514</v>
      </c>
      <c r="C175" s="32" t="s">
        <v>312</v>
      </c>
      <c r="D175" s="32" t="s">
        <v>316</v>
      </c>
      <c r="E175" s="32" t="s">
        <v>39</v>
      </c>
      <c r="F175" s="33">
        <f t="shared" ref="F175:Y175" si="109">F176+F178</f>
        <v>15913.42</v>
      </c>
      <c r="G175" s="33">
        <f t="shared" si="109"/>
        <v>810.62</v>
      </c>
      <c r="H175" s="33">
        <f t="shared" si="109"/>
        <v>0</v>
      </c>
      <c r="I175" s="33">
        <f t="shared" si="109"/>
        <v>0</v>
      </c>
      <c r="J175" s="33">
        <f t="shared" si="109"/>
        <v>0</v>
      </c>
      <c r="K175" s="33">
        <f t="shared" si="109"/>
        <v>0</v>
      </c>
      <c r="L175" s="33">
        <f t="shared" si="109"/>
        <v>13811.91</v>
      </c>
      <c r="M175" s="33">
        <f t="shared" si="109"/>
        <v>1290.8900000000001</v>
      </c>
      <c r="N175" s="33">
        <f t="shared" si="109"/>
        <v>0</v>
      </c>
      <c r="O175" s="33">
        <f t="shared" si="109"/>
        <v>0</v>
      </c>
      <c r="P175" s="33">
        <f t="shared" si="109"/>
        <v>15102.800000000001</v>
      </c>
      <c r="Q175" s="33">
        <f t="shared" si="109"/>
        <v>0</v>
      </c>
      <c r="R175" s="33">
        <f t="shared" si="109"/>
        <v>0</v>
      </c>
      <c r="S175" s="33">
        <f t="shared" si="109"/>
        <v>0</v>
      </c>
      <c r="T175" s="33">
        <f t="shared" si="109"/>
        <v>0</v>
      </c>
      <c r="U175" s="33">
        <f t="shared" si="109"/>
        <v>0</v>
      </c>
      <c r="V175" s="33">
        <f t="shared" si="109"/>
        <v>107.1</v>
      </c>
      <c r="W175" s="33">
        <f t="shared" si="109"/>
        <v>1290.8900000000001</v>
      </c>
      <c r="X175" s="33">
        <f t="shared" si="109"/>
        <v>0</v>
      </c>
      <c r="Y175" s="33">
        <f t="shared" si="109"/>
        <v>0</v>
      </c>
      <c r="Z175" s="32" t="s">
        <v>515</v>
      </c>
      <c r="AA175" s="34" t="s">
        <v>41</v>
      </c>
      <c r="AB175" s="35" t="s">
        <v>42</v>
      </c>
      <c r="AC175" s="35" t="s">
        <v>42</v>
      </c>
      <c r="AD175" s="36"/>
    </row>
    <row r="176" spans="1:30" ht="93" x14ac:dyDescent="0.25">
      <c r="A176" s="37" t="s">
        <v>516</v>
      </c>
      <c r="B176" s="38" t="s">
        <v>517</v>
      </c>
      <c r="C176" s="39" t="s">
        <v>312</v>
      </c>
      <c r="D176" s="39" t="s">
        <v>507</v>
      </c>
      <c r="E176" s="39" t="s">
        <v>46</v>
      </c>
      <c r="F176" s="40">
        <f>SUM(F177:F177)+15765.31</f>
        <v>15765.31</v>
      </c>
      <c r="G176" s="40">
        <f>SUM(G177:G177)+810.62</f>
        <v>810.62</v>
      </c>
      <c r="H176" s="40">
        <f>SUM(H177:H177)</f>
        <v>0</v>
      </c>
      <c r="I176" s="40">
        <f>SUM(I177:I177)</f>
        <v>0</v>
      </c>
      <c r="J176" s="40">
        <f>SUM(J177:J177)</f>
        <v>0</v>
      </c>
      <c r="K176" s="40">
        <f>SUM(K177:K177)</f>
        <v>0</v>
      </c>
      <c r="L176" s="40">
        <f>SUM(L177:L177)+13704.81</f>
        <v>13704.81</v>
      </c>
      <c r="M176" s="40">
        <f>SUM(M177:M177)+1249.88</f>
        <v>1249.8800000000001</v>
      </c>
      <c r="N176" s="40">
        <f>SUM(N177:N177)</f>
        <v>0</v>
      </c>
      <c r="O176" s="40">
        <f>SUM(O177:O177)</f>
        <v>0</v>
      </c>
      <c r="P176" s="40">
        <f>SUM(P177:P177)+14954.69</f>
        <v>14954.69</v>
      </c>
      <c r="Q176" s="40">
        <f t="shared" ref="Q176:V176" si="110">SUM(Q177:Q177)</f>
        <v>0</v>
      </c>
      <c r="R176" s="40">
        <f t="shared" si="110"/>
        <v>0</v>
      </c>
      <c r="S176" s="40">
        <f t="shared" si="110"/>
        <v>0</v>
      </c>
      <c r="T176" s="40">
        <f t="shared" si="110"/>
        <v>0</v>
      </c>
      <c r="U176" s="40">
        <f t="shared" si="110"/>
        <v>0</v>
      </c>
      <c r="V176" s="40">
        <f t="shared" si="110"/>
        <v>0</v>
      </c>
      <c r="W176" s="40">
        <f>SUM(W177:W177)+1249.88</f>
        <v>1249.8800000000001</v>
      </c>
      <c r="X176" s="40">
        <f>SUM(X177:X177)</f>
        <v>0</v>
      </c>
      <c r="Y176" s="40">
        <f>SUM(Y177:Y177)</f>
        <v>0</v>
      </c>
      <c r="Z176" s="39" t="s">
        <v>518</v>
      </c>
      <c r="AA176" s="41" t="s">
        <v>519</v>
      </c>
      <c r="AB176" s="42" t="s">
        <v>225</v>
      </c>
      <c r="AC176" s="42" t="s">
        <v>225</v>
      </c>
      <c r="AD176" s="43"/>
    </row>
    <row r="177" spans="1:30" ht="46.5" x14ac:dyDescent="0.25">
      <c r="A177" s="37" t="s">
        <v>520</v>
      </c>
      <c r="B177" s="38" t="s">
        <v>521</v>
      </c>
      <c r="C177" s="39"/>
      <c r="D177" s="39"/>
      <c r="E177" s="39"/>
      <c r="F177" s="44">
        <v>0</v>
      </c>
      <c r="G177" s="44">
        <v>0</v>
      </c>
      <c r="H177" s="44">
        <v>0</v>
      </c>
      <c r="I177" s="44">
        <v>0</v>
      </c>
      <c r="J177" s="44">
        <v>0</v>
      </c>
      <c r="K177" s="44">
        <v>0</v>
      </c>
      <c r="L177" s="44">
        <v>0</v>
      </c>
      <c r="M177" s="44">
        <v>0</v>
      </c>
      <c r="N177" s="44">
        <v>0</v>
      </c>
      <c r="O177" s="44">
        <v>0</v>
      </c>
      <c r="P177" s="44">
        <v>0</v>
      </c>
      <c r="Q177" s="44">
        <v>0</v>
      </c>
      <c r="R177" s="44">
        <v>0</v>
      </c>
      <c r="S177" s="44">
        <v>0</v>
      </c>
      <c r="T177" s="44">
        <v>0</v>
      </c>
      <c r="U177" s="44">
        <v>0</v>
      </c>
      <c r="V177" s="44">
        <v>0</v>
      </c>
      <c r="W177" s="44">
        <v>0</v>
      </c>
      <c r="X177" s="44">
        <v>0</v>
      </c>
      <c r="Y177" s="44">
        <v>0</v>
      </c>
      <c r="Z177" s="39"/>
      <c r="AA177" s="41"/>
      <c r="AB177" s="42"/>
      <c r="AC177" s="42"/>
      <c r="AD177" s="43"/>
    </row>
    <row r="178" spans="1:30" ht="116.25" x14ac:dyDescent="0.25">
      <c r="A178" s="37" t="s">
        <v>522</v>
      </c>
      <c r="B178" s="38" t="s">
        <v>523</v>
      </c>
      <c r="C178" s="39" t="s">
        <v>312</v>
      </c>
      <c r="D178" s="39" t="s">
        <v>507</v>
      </c>
      <c r="E178" s="39" t="s">
        <v>46</v>
      </c>
      <c r="F178" s="40">
        <f>SUM(F179:F179)+148.11</f>
        <v>148.11000000000001</v>
      </c>
      <c r="G178" s="40">
        <f>SUM(G179:G179)</f>
        <v>0</v>
      </c>
      <c r="H178" s="40">
        <f>SUM(H179:H179)</f>
        <v>0</v>
      </c>
      <c r="I178" s="40">
        <f>SUM(I179:I179)</f>
        <v>0</v>
      </c>
      <c r="J178" s="40">
        <f>SUM(J179:J179)</f>
        <v>0</v>
      </c>
      <c r="K178" s="40">
        <f>SUM(K179:K179)</f>
        <v>0</v>
      </c>
      <c r="L178" s="40">
        <f>SUM(L179:L179)+107.1</f>
        <v>107.1</v>
      </c>
      <c r="M178" s="40">
        <f>SUM(M179:M179)+41.01</f>
        <v>41.01</v>
      </c>
      <c r="N178" s="40">
        <f>SUM(N179:N179)</f>
        <v>0</v>
      </c>
      <c r="O178" s="40">
        <f>SUM(O179:O179)</f>
        <v>0</v>
      </c>
      <c r="P178" s="40">
        <f>SUM(P179:P179)+148.11</f>
        <v>148.11000000000001</v>
      </c>
      <c r="Q178" s="40">
        <f>SUM(Q179:Q179)</f>
        <v>0</v>
      </c>
      <c r="R178" s="40">
        <f>SUM(R179:R179)</f>
        <v>0</v>
      </c>
      <c r="S178" s="40">
        <f>SUM(S179:S179)</f>
        <v>0</v>
      </c>
      <c r="T178" s="40">
        <f>SUM(T179:T179)</f>
        <v>0</v>
      </c>
      <c r="U178" s="40">
        <f>SUM(U179:U179)</f>
        <v>0</v>
      </c>
      <c r="V178" s="40">
        <f>SUM(V179:V179)+107.1</f>
        <v>107.1</v>
      </c>
      <c r="W178" s="40">
        <f>SUM(W179:W179)+41.01</f>
        <v>41.01</v>
      </c>
      <c r="X178" s="40">
        <f>SUM(X179:X179)</f>
        <v>0</v>
      </c>
      <c r="Y178" s="40">
        <f>SUM(Y179:Y179)</f>
        <v>0</v>
      </c>
      <c r="Z178" s="39" t="s">
        <v>524</v>
      </c>
      <c r="AA178" s="41" t="s">
        <v>41</v>
      </c>
      <c r="AB178" s="42" t="s">
        <v>42</v>
      </c>
      <c r="AC178" s="42" t="s">
        <v>42</v>
      </c>
      <c r="AD178" s="43"/>
    </row>
    <row r="179" spans="1:30" ht="69.75" x14ac:dyDescent="0.25">
      <c r="A179" s="37" t="s">
        <v>525</v>
      </c>
      <c r="B179" s="38" t="s">
        <v>526</v>
      </c>
      <c r="C179" s="39"/>
      <c r="D179" s="39"/>
      <c r="E179" s="39"/>
      <c r="F179" s="44">
        <v>0</v>
      </c>
      <c r="G179" s="44">
        <v>0</v>
      </c>
      <c r="H179" s="44">
        <v>0</v>
      </c>
      <c r="I179" s="44">
        <v>0</v>
      </c>
      <c r="J179" s="44">
        <v>0</v>
      </c>
      <c r="K179" s="44">
        <v>0</v>
      </c>
      <c r="L179" s="44">
        <v>0</v>
      </c>
      <c r="M179" s="44">
        <v>0</v>
      </c>
      <c r="N179" s="44">
        <v>0</v>
      </c>
      <c r="O179" s="44">
        <v>0</v>
      </c>
      <c r="P179" s="44">
        <v>0</v>
      </c>
      <c r="Q179" s="44">
        <v>0</v>
      </c>
      <c r="R179" s="44">
        <v>0</v>
      </c>
      <c r="S179" s="44">
        <v>0</v>
      </c>
      <c r="T179" s="44">
        <v>0</v>
      </c>
      <c r="U179" s="44">
        <v>0</v>
      </c>
      <c r="V179" s="44">
        <v>0</v>
      </c>
      <c r="W179" s="44">
        <v>0</v>
      </c>
      <c r="X179" s="44">
        <v>0</v>
      </c>
      <c r="Y179" s="44">
        <v>0</v>
      </c>
      <c r="Z179" s="39"/>
      <c r="AA179" s="41"/>
      <c r="AB179" s="42"/>
      <c r="AC179" s="42"/>
      <c r="AD179" s="43"/>
    </row>
    <row r="180" spans="1:30" ht="45" x14ac:dyDescent="0.25">
      <c r="A180" s="23" t="s">
        <v>527</v>
      </c>
      <c r="B180" s="24" t="s">
        <v>528</v>
      </c>
      <c r="C180" s="25" t="s">
        <v>312</v>
      </c>
      <c r="D180" s="25" t="s">
        <v>316</v>
      </c>
      <c r="E180" s="25"/>
      <c r="F180" s="26">
        <f t="shared" ref="F180:Y180" si="111">F181+F184</f>
        <v>8339.2999999999993</v>
      </c>
      <c r="G180" s="26">
        <f t="shared" si="111"/>
        <v>8339.2999999999993</v>
      </c>
      <c r="H180" s="26">
        <f t="shared" si="111"/>
        <v>0</v>
      </c>
      <c r="I180" s="26">
        <f t="shared" si="111"/>
        <v>0</v>
      </c>
      <c r="J180" s="26">
        <f t="shared" si="111"/>
        <v>0</v>
      </c>
      <c r="K180" s="26">
        <f t="shared" si="111"/>
        <v>0</v>
      </c>
      <c r="L180" s="26">
        <f t="shared" si="111"/>
        <v>0</v>
      </c>
      <c r="M180" s="26">
        <f t="shared" si="111"/>
        <v>0</v>
      </c>
      <c r="N180" s="26">
        <f t="shared" si="111"/>
        <v>0</v>
      </c>
      <c r="O180" s="26">
        <f t="shared" si="111"/>
        <v>0</v>
      </c>
      <c r="P180" s="26">
        <f t="shared" si="111"/>
        <v>8049.72</v>
      </c>
      <c r="Q180" s="26">
        <f t="shared" si="111"/>
        <v>8049.72</v>
      </c>
      <c r="R180" s="26">
        <f t="shared" si="111"/>
        <v>0</v>
      </c>
      <c r="S180" s="26">
        <f t="shared" si="111"/>
        <v>0</v>
      </c>
      <c r="T180" s="26">
        <f t="shared" si="111"/>
        <v>0</v>
      </c>
      <c r="U180" s="26">
        <f t="shared" si="111"/>
        <v>0</v>
      </c>
      <c r="V180" s="26">
        <f t="shared" si="111"/>
        <v>0</v>
      </c>
      <c r="W180" s="26">
        <f t="shared" si="111"/>
        <v>0</v>
      </c>
      <c r="X180" s="26">
        <f t="shared" si="111"/>
        <v>0</v>
      </c>
      <c r="Y180" s="26">
        <f t="shared" si="111"/>
        <v>0</v>
      </c>
      <c r="Z180" s="25" t="s">
        <v>529</v>
      </c>
      <c r="AA180" s="27" t="s">
        <v>41</v>
      </c>
      <c r="AB180" s="28" t="s">
        <v>56</v>
      </c>
      <c r="AC180" s="28" t="s">
        <v>56</v>
      </c>
      <c r="AD180" s="29"/>
    </row>
    <row r="181" spans="1:30" ht="67.5" x14ac:dyDescent="0.25">
      <c r="A181" s="30" t="s">
        <v>530</v>
      </c>
      <c r="B181" s="31" t="s">
        <v>531</v>
      </c>
      <c r="C181" s="32" t="s">
        <v>312</v>
      </c>
      <c r="D181" s="32" t="s">
        <v>316</v>
      </c>
      <c r="E181" s="32" t="s">
        <v>39</v>
      </c>
      <c r="F181" s="33">
        <f t="shared" ref="F181:Y181" si="112">SUM(F182:F182)</f>
        <v>5448.3</v>
      </c>
      <c r="G181" s="33">
        <f t="shared" si="112"/>
        <v>5448.3</v>
      </c>
      <c r="H181" s="33">
        <f t="shared" si="112"/>
        <v>0</v>
      </c>
      <c r="I181" s="33">
        <f t="shared" si="112"/>
        <v>0</v>
      </c>
      <c r="J181" s="33">
        <f t="shared" si="112"/>
        <v>0</v>
      </c>
      <c r="K181" s="33">
        <f t="shared" si="112"/>
        <v>0</v>
      </c>
      <c r="L181" s="33">
        <f t="shared" si="112"/>
        <v>0</v>
      </c>
      <c r="M181" s="33">
        <f t="shared" si="112"/>
        <v>0</v>
      </c>
      <c r="N181" s="33">
        <f t="shared" si="112"/>
        <v>0</v>
      </c>
      <c r="O181" s="33">
        <f t="shared" si="112"/>
        <v>0</v>
      </c>
      <c r="P181" s="33">
        <f t="shared" si="112"/>
        <v>5447.34</v>
      </c>
      <c r="Q181" s="33">
        <f t="shared" si="112"/>
        <v>5447.34</v>
      </c>
      <c r="R181" s="33">
        <f t="shared" si="112"/>
        <v>0</v>
      </c>
      <c r="S181" s="33">
        <f t="shared" si="112"/>
        <v>0</v>
      </c>
      <c r="T181" s="33">
        <f t="shared" si="112"/>
        <v>0</v>
      </c>
      <c r="U181" s="33">
        <f t="shared" si="112"/>
        <v>0</v>
      </c>
      <c r="V181" s="33">
        <f t="shared" si="112"/>
        <v>0</v>
      </c>
      <c r="W181" s="33">
        <f t="shared" si="112"/>
        <v>0</v>
      </c>
      <c r="X181" s="33">
        <f t="shared" si="112"/>
        <v>0</v>
      </c>
      <c r="Y181" s="33">
        <f t="shared" si="112"/>
        <v>0</v>
      </c>
      <c r="Z181" s="32" t="s">
        <v>532</v>
      </c>
      <c r="AA181" s="34" t="s">
        <v>41</v>
      </c>
      <c r="AB181" s="35" t="s">
        <v>434</v>
      </c>
      <c r="AC181" s="35" t="s">
        <v>434</v>
      </c>
      <c r="AD181" s="36"/>
    </row>
    <row r="182" spans="1:30" ht="69.75" x14ac:dyDescent="0.25">
      <c r="A182" s="37" t="s">
        <v>533</v>
      </c>
      <c r="B182" s="38" t="s">
        <v>534</v>
      </c>
      <c r="C182" s="39" t="s">
        <v>312</v>
      </c>
      <c r="D182" s="39" t="s">
        <v>313</v>
      </c>
      <c r="E182" s="39" t="s">
        <v>46</v>
      </c>
      <c r="F182" s="40">
        <f>SUM(F183:F183)+5448.3</f>
        <v>5448.3</v>
      </c>
      <c r="G182" s="40">
        <f>SUM(G183:G183)+5448.3</f>
        <v>5448.3</v>
      </c>
      <c r="H182" s="40">
        <f t="shared" ref="H182:O182" si="113">SUM(H183:H183)</f>
        <v>0</v>
      </c>
      <c r="I182" s="40">
        <f t="shared" si="113"/>
        <v>0</v>
      </c>
      <c r="J182" s="40">
        <f t="shared" si="113"/>
        <v>0</v>
      </c>
      <c r="K182" s="40">
        <f t="shared" si="113"/>
        <v>0</v>
      </c>
      <c r="L182" s="40">
        <f t="shared" si="113"/>
        <v>0</v>
      </c>
      <c r="M182" s="40">
        <f t="shared" si="113"/>
        <v>0</v>
      </c>
      <c r="N182" s="40">
        <f t="shared" si="113"/>
        <v>0</v>
      </c>
      <c r="O182" s="40">
        <f t="shared" si="113"/>
        <v>0</v>
      </c>
      <c r="P182" s="40">
        <f>SUM(P183:P183)+5447.34</f>
        <v>5447.34</v>
      </c>
      <c r="Q182" s="40">
        <f>SUM(Q183:Q183)+5447.34</f>
        <v>5447.34</v>
      </c>
      <c r="R182" s="40">
        <f t="shared" ref="R182:Y182" si="114">SUM(R183:R183)</f>
        <v>0</v>
      </c>
      <c r="S182" s="40">
        <f t="shared" si="114"/>
        <v>0</v>
      </c>
      <c r="T182" s="40">
        <f t="shared" si="114"/>
        <v>0</v>
      </c>
      <c r="U182" s="40">
        <f t="shared" si="114"/>
        <v>0</v>
      </c>
      <c r="V182" s="40">
        <f t="shared" si="114"/>
        <v>0</v>
      </c>
      <c r="W182" s="40">
        <f t="shared" si="114"/>
        <v>0</v>
      </c>
      <c r="X182" s="40">
        <f t="shared" si="114"/>
        <v>0</v>
      </c>
      <c r="Y182" s="40">
        <f t="shared" si="114"/>
        <v>0</v>
      </c>
      <c r="Z182" s="39" t="s">
        <v>535</v>
      </c>
      <c r="AA182" s="41" t="s">
        <v>41</v>
      </c>
      <c r="AB182" s="42" t="s">
        <v>434</v>
      </c>
      <c r="AC182" s="42" t="s">
        <v>434</v>
      </c>
      <c r="AD182" s="43"/>
    </row>
    <row r="183" spans="1:30" ht="46.5" x14ac:dyDescent="0.25">
      <c r="A183" s="37" t="s">
        <v>536</v>
      </c>
      <c r="B183" s="38" t="s">
        <v>537</v>
      </c>
      <c r="C183" s="39"/>
      <c r="D183" s="39"/>
      <c r="E183" s="39"/>
      <c r="F183" s="44">
        <v>0</v>
      </c>
      <c r="G183" s="44">
        <v>0</v>
      </c>
      <c r="H183" s="44">
        <v>0</v>
      </c>
      <c r="I183" s="44">
        <v>0</v>
      </c>
      <c r="J183" s="44">
        <v>0</v>
      </c>
      <c r="K183" s="44">
        <v>0</v>
      </c>
      <c r="L183" s="44">
        <v>0</v>
      </c>
      <c r="M183" s="44">
        <v>0</v>
      </c>
      <c r="N183" s="44">
        <v>0</v>
      </c>
      <c r="O183" s="44">
        <v>0</v>
      </c>
      <c r="P183" s="44">
        <v>0</v>
      </c>
      <c r="Q183" s="44">
        <v>0</v>
      </c>
      <c r="R183" s="44">
        <v>0</v>
      </c>
      <c r="S183" s="44">
        <v>0</v>
      </c>
      <c r="T183" s="44">
        <v>0</v>
      </c>
      <c r="U183" s="44">
        <v>0</v>
      </c>
      <c r="V183" s="44">
        <v>0</v>
      </c>
      <c r="W183" s="44">
        <v>0</v>
      </c>
      <c r="X183" s="44">
        <v>0</v>
      </c>
      <c r="Y183" s="44">
        <v>0</v>
      </c>
      <c r="Z183" s="39"/>
      <c r="AA183" s="41"/>
      <c r="AB183" s="42"/>
      <c r="AC183" s="42"/>
      <c r="AD183" s="43"/>
    </row>
    <row r="184" spans="1:30" ht="90" x14ac:dyDescent="0.25">
      <c r="A184" s="30" t="s">
        <v>538</v>
      </c>
      <c r="B184" s="31" t="s">
        <v>539</v>
      </c>
      <c r="C184" s="32" t="s">
        <v>312</v>
      </c>
      <c r="D184" s="32" t="s">
        <v>316</v>
      </c>
      <c r="E184" s="32" t="s">
        <v>39</v>
      </c>
      <c r="F184" s="33">
        <f t="shared" ref="F184:Y184" si="115">SUM(F185:F185)</f>
        <v>2891</v>
      </c>
      <c r="G184" s="33">
        <f t="shared" si="115"/>
        <v>2891</v>
      </c>
      <c r="H184" s="33">
        <f t="shared" si="115"/>
        <v>0</v>
      </c>
      <c r="I184" s="33">
        <f t="shared" si="115"/>
        <v>0</v>
      </c>
      <c r="J184" s="33">
        <f t="shared" si="115"/>
        <v>0</v>
      </c>
      <c r="K184" s="33">
        <f t="shared" si="115"/>
        <v>0</v>
      </c>
      <c r="L184" s="33">
        <f t="shared" si="115"/>
        <v>0</v>
      </c>
      <c r="M184" s="33">
        <f t="shared" si="115"/>
        <v>0</v>
      </c>
      <c r="N184" s="33">
        <f t="shared" si="115"/>
        <v>0</v>
      </c>
      <c r="O184" s="33">
        <f t="shared" si="115"/>
        <v>0</v>
      </c>
      <c r="P184" s="33">
        <f t="shared" si="115"/>
        <v>2602.38</v>
      </c>
      <c r="Q184" s="33">
        <f t="shared" si="115"/>
        <v>2602.38</v>
      </c>
      <c r="R184" s="33">
        <f t="shared" si="115"/>
        <v>0</v>
      </c>
      <c r="S184" s="33">
        <f t="shared" si="115"/>
        <v>0</v>
      </c>
      <c r="T184" s="33">
        <f t="shared" si="115"/>
        <v>0</v>
      </c>
      <c r="U184" s="33">
        <f t="shared" si="115"/>
        <v>0</v>
      </c>
      <c r="V184" s="33">
        <f t="shared" si="115"/>
        <v>0</v>
      </c>
      <c r="W184" s="33">
        <f t="shared" si="115"/>
        <v>0</v>
      </c>
      <c r="X184" s="33">
        <f t="shared" si="115"/>
        <v>0</v>
      </c>
      <c r="Y184" s="33">
        <f t="shared" si="115"/>
        <v>0</v>
      </c>
      <c r="Z184" s="32" t="s">
        <v>540</v>
      </c>
      <c r="AA184" s="34" t="s">
        <v>41</v>
      </c>
      <c r="AB184" s="35" t="s">
        <v>56</v>
      </c>
      <c r="AC184" s="35" t="s">
        <v>56</v>
      </c>
      <c r="AD184" s="36"/>
    </row>
    <row r="185" spans="1:30" ht="46.5" x14ac:dyDescent="0.25">
      <c r="A185" s="37" t="s">
        <v>541</v>
      </c>
      <c r="B185" s="38" t="s">
        <v>542</v>
      </c>
      <c r="C185" s="39" t="s">
        <v>312</v>
      </c>
      <c r="D185" s="39" t="s">
        <v>316</v>
      </c>
      <c r="E185" s="39" t="s">
        <v>46</v>
      </c>
      <c r="F185" s="40">
        <f>SUM(F186:F186)+2891</f>
        <v>2891</v>
      </c>
      <c r="G185" s="40">
        <f>SUM(G186:G186)+2891</f>
        <v>2891</v>
      </c>
      <c r="H185" s="40">
        <f t="shared" ref="H185:O185" si="116">SUM(H186:H186)</f>
        <v>0</v>
      </c>
      <c r="I185" s="40">
        <f t="shared" si="116"/>
        <v>0</v>
      </c>
      <c r="J185" s="40">
        <f t="shared" si="116"/>
        <v>0</v>
      </c>
      <c r="K185" s="40">
        <f t="shared" si="116"/>
        <v>0</v>
      </c>
      <c r="L185" s="40">
        <f t="shared" si="116"/>
        <v>0</v>
      </c>
      <c r="M185" s="40">
        <f t="shared" si="116"/>
        <v>0</v>
      </c>
      <c r="N185" s="40">
        <f t="shared" si="116"/>
        <v>0</v>
      </c>
      <c r="O185" s="40">
        <f t="shared" si="116"/>
        <v>0</v>
      </c>
      <c r="P185" s="40">
        <f>SUM(P186:P186)+2602.38</f>
        <v>2602.38</v>
      </c>
      <c r="Q185" s="40">
        <f>SUM(Q186:Q186)+2602.38</f>
        <v>2602.38</v>
      </c>
      <c r="R185" s="40">
        <f t="shared" ref="R185:Y185" si="117">SUM(R186:R186)</f>
        <v>0</v>
      </c>
      <c r="S185" s="40">
        <f t="shared" si="117"/>
        <v>0</v>
      </c>
      <c r="T185" s="40">
        <f t="shared" si="117"/>
        <v>0</v>
      </c>
      <c r="U185" s="40">
        <f t="shared" si="117"/>
        <v>0</v>
      </c>
      <c r="V185" s="40">
        <f t="shared" si="117"/>
        <v>0</v>
      </c>
      <c r="W185" s="40">
        <f t="shared" si="117"/>
        <v>0</v>
      </c>
      <c r="X185" s="40">
        <f t="shared" si="117"/>
        <v>0</v>
      </c>
      <c r="Y185" s="40">
        <f t="shared" si="117"/>
        <v>0</v>
      </c>
      <c r="Z185" s="39" t="s">
        <v>543</v>
      </c>
      <c r="AA185" s="41" t="s">
        <v>41</v>
      </c>
      <c r="AB185" s="42" t="s">
        <v>544</v>
      </c>
      <c r="AC185" s="42" t="s">
        <v>544</v>
      </c>
      <c r="AD185" s="43"/>
    </row>
    <row r="186" spans="1:30" ht="69.75" x14ac:dyDescent="0.25">
      <c r="A186" s="37" t="s">
        <v>545</v>
      </c>
      <c r="B186" s="38" t="s">
        <v>546</v>
      </c>
      <c r="C186" s="39"/>
      <c r="D186" s="39"/>
      <c r="E186" s="39"/>
      <c r="F186" s="44">
        <v>0</v>
      </c>
      <c r="G186" s="44">
        <v>0</v>
      </c>
      <c r="H186" s="44">
        <v>0</v>
      </c>
      <c r="I186" s="44">
        <v>0</v>
      </c>
      <c r="J186" s="44">
        <v>0</v>
      </c>
      <c r="K186" s="44">
        <v>0</v>
      </c>
      <c r="L186" s="44">
        <v>0</v>
      </c>
      <c r="M186" s="44">
        <v>0</v>
      </c>
      <c r="N186" s="44">
        <v>0</v>
      </c>
      <c r="O186" s="44">
        <v>0</v>
      </c>
      <c r="P186" s="44">
        <v>0</v>
      </c>
      <c r="Q186" s="44">
        <v>0</v>
      </c>
      <c r="R186" s="44">
        <v>0</v>
      </c>
      <c r="S186" s="44">
        <v>0</v>
      </c>
      <c r="T186" s="44">
        <v>0</v>
      </c>
      <c r="U186" s="44">
        <v>0</v>
      </c>
      <c r="V186" s="44">
        <v>0</v>
      </c>
      <c r="W186" s="44">
        <v>0</v>
      </c>
      <c r="X186" s="44">
        <v>0</v>
      </c>
      <c r="Y186" s="44">
        <v>0</v>
      </c>
      <c r="Z186" s="39"/>
      <c r="AA186" s="41"/>
      <c r="AB186" s="42"/>
      <c r="AC186" s="42"/>
      <c r="AD186" s="43"/>
    </row>
    <row r="187" spans="1:30" ht="67.5" x14ac:dyDescent="0.25">
      <c r="A187" s="23" t="s">
        <v>547</v>
      </c>
      <c r="B187" s="24" t="s">
        <v>548</v>
      </c>
      <c r="C187" s="25" t="s">
        <v>312</v>
      </c>
      <c r="D187" s="25" t="s">
        <v>316</v>
      </c>
      <c r="E187" s="25"/>
      <c r="F187" s="26">
        <f t="shared" ref="F187:O188" si="118">SUM(F188:F188)</f>
        <v>6309.73</v>
      </c>
      <c r="G187" s="26">
        <f t="shared" si="118"/>
        <v>0</v>
      </c>
      <c r="H187" s="26">
        <f t="shared" si="118"/>
        <v>0</v>
      </c>
      <c r="I187" s="26">
        <f t="shared" si="118"/>
        <v>0</v>
      </c>
      <c r="J187" s="26">
        <f t="shared" si="118"/>
        <v>0</v>
      </c>
      <c r="K187" s="26">
        <f t="shared" si="118"/>
        <v>0</v>
      </c>
      <c r="L187" s="26">
        <f t="shared" si="118"/>
        <v>6309.73</v>
      </c>
      <c r="M187" s="26">
        <f t="shared" si="118"/>
        <v>0</v>
      </c>
      <c r="N187" s="26">
        <f t="shared" si="118"/>
        <v>0</v>
      </c>
      <c r="O187" s="26">
        <f t="shared" si="118"/>
        <v>0</v>
      </c>
      <c r="P187" s="26">
        <f t="shared" ref="P187:Y188" si="119">SUM(P188:P188)</f>
        <v>6309.73</v>
      </c>
      <c r="Q187" s="26">
        <f t="shared" si="119"/>
        <v>0</v>
      </c>
      <c r="R187" s="26">
        <f t="shared" si="119"/>
        <v>0</v>
      </c>
      <c r="S187" s="26">
        <f t="shared" si="119"/>
        <v>0</v>
      </c>
      <c r="T187" s="26">
        <f t="shared" si="119"/>
        <v>0</v>
      </c>
      <c r="U187" s="26">
        <f t="shared" si="119"/>
        <v>0</v>
      </c>
      <c r="V187" s="26">
        <f t="shared" si="119"/>
        <v>6309.73</v>
      </c>
      <c r="W187" s="26">
        <f t="shared" si="119"/>
        <v>0</v>
      </c>
      <c r="X187" s="26">
        <f t="shared" si="119"/>
        <v>0</v>
      </c>
      <c r="Y187" s="26">
        <f t="shared" si="119"/>
        <v>0</v>
      </c>
      <c r="Z187" s="25" t="s">
        <v>549</v>
      </c>
      <c r="AA187" s="27" t="s">
        <v>35</v>
      </c>
      <c r="AB187" s="28" t="s">
        <v>57</v>
      </c>
      <c r="AC187" s="28" t="s">
        <v>57</v>
      </c>
      <c r="AD187" s="29"/>
    </row>
    <row r="188" spans="1:30" ht="45" x14ac:dyDescent="0.25">
      <c r="A188" s="30" t="s">
        <v>550</v>
      </c>
      <c r="B188" s="31" t="s">
        <v>551</v>
      </c>
      <c r="C188" s="32" t="s">
        <v>312</v>
      </c>
      <c r="D188" s="32" t="s">
        <v>316</v>
      </c>
      <c r="E188" s="32" t="s">
        <v>39</v>
      </c>
      <c r="F188" s="33">
        <f t="shared" si="118"/>
        <v>6309.73</v>
      </c>
      <c r="G188" s="33">
        <f t="shared" si="118"/>
        <v>0</v>
      </c>
      <c r="H188" s="33">
        <f t="shared" si="118"/>
        <v>0</v>
      </c>
      <c r="I188" s="33">
        <f t="shared" si="118"/>
        <v>0</v>
      </c>
      <c r="J188" s="33">
        <f t="shared" si="118"/>
        <v>0</v>
      </c>
      <c r="K188" s="33">
        <f t="shared" si="118"/>
        <v>0</v>
      </c>
      <c r="L188" s="33">
        <f t="shared" si="118"/>
        <v>6309.73</v>
      </c>
      <c r="M188" s="33">
        <f t="shared" si="118"/>
        <v>0</v>
      </c>
      <c r="N188" s="33">
        <f t="shared" si="118"/>
        <v>0</v>
      </c>
      <c r="O188" s="33">
        <f t="shared" si="118"/>
        <v>0</v>
      </c>
      <c r="P188" s="33">
        <f t="shared" si="119"/>
        <v>6309.73</v>
      </c>
      <c r="Q188" s="33">
        <f t="shared" si="119"/>
        <v>0</v>
      </c>
      <c r="R188" s="33">
        <f t="shared" si="119"/>
        <v>0</v>
      </c>
      <c r="S188" s="33">
        <f t="shared" si="119"/>
        <v>0</v>
      </c>
      <c r="T188" s="33">
        <f t="shared" si="119"/>
        <v>0</v>
      </c>
      <c r="U188" s="33">
        <f t="shared" si="119"/>
        <v>0</v>
      </c>
      <c r="V188" s="33">
        <f t="shared" si="119"/>
        <v>6309.73</v>
      </c>
      <c r="W188" s="33">
        <f t="shared" si="119"/>
        <v>0</v>
      </c>
      <c r="X188" s="33">
        <f t="shared" si="119"/>
        <v>0</v>
      </c>
      <c r="Y188" s="33">
        <f t="shared" si="119"/>
        <v>0</v>
      </c>
      <c r="Z188" s="32" t="s">
        <v>552</v>
      </c>
      <c r="AA188" s="34" t="s">
        <v>41</v>
      </c>
      <c r="AB188" s="35" t="s">
        <v>57</v>
      </c>
      <c r="AC188" s="35" t="s">
        <v>57</v>
      </c>
      <c r="AD188" s="36"/>
    </row>
    <row r="189" spans="1:30" ht="69.75" x14ac:dyDescent="0.25">
      <c r="A189" s="37" t="s">
        <v>553</v>
      </c>
      <c r="B189" s="38" t="s">
        <v>554</v>
      </c>
      <c r="C189" s="39" t="s">
        <v>312</v>
      </c>
      <c r="D189" s="39" t="s">
        <v>365</v>
      </c>
      <c r="E189" s="39" t="s">
        <v>46</v>
      </c>
      <c r="F189" s="40">
        <f>SUM(F190:F190)+6309.73</f>
        <v>6309.73</v>
      </c>
      <c r="G189" s="40">
        <f>SUM(G190:G190)</f>
        <v>0</v>
      </c>
      <c r="H189" s="40">
        <f>SUM(H190:H190)</f>
        <v>0</v>
      </c>
      <c r="I189" s="40">
        <f>SUM(I190:I190)</f>
        <v>0</v>
      </c>
      <c r="J189" s="40">
        <f>SUM(J190:J190)</f>
        <v>0</v>
      </c>
      <c r="K189" s="40">
        <f>SUM(K190:K190)</f>
        <v>0</v>
      </c>
      <c r="L189" s="40">
        <f>SUM(L190:L190)+6309.73</f>
        <v>6309.73</v>
      </c>
      <c r="M189" s="40">
        <f>SUM(M190:M190)</f>
        <v>0</v>
      </c>
      <c r="N189" s="40">
        <f>SUM(N190:N190)</f>
        <v>0</v>
      </c>
      <c r="O189" s="40">
        <f>SUM(O190:O190)</f>
        <v>0</v>
      </c>
      <c r="P189" s="40">
        <f>SUM(P190:P190)+6309.73</f>
        <v>6309.73</v>
      </c>
      <c r="Q189" s="40">
        <f>SUM(Q190:Q190)</f>
        <v>0</v>
      </c>
      <c r="R189" s="40">
        <f>SUM(R190:R190)</f>
        <v>0</v>
      </c>
      <c r="S189" s="40">
        <f>SUM(S190:S190)</f>
        <v>0</v>
      </c>
      <c r="T189" s="40">
        <f>SUM(T190:T190)</f>
        <v>0</v>
      </c>
      <c r="U189" s="40">
        <f>SUM(U190:U190)</f>
        <v>0</v>
      </c>
      <c r="V189" s="40">
        <f>SUM(V190:V190)+6309.73</f>
        <v>6309.73</v>
      </c>
      <c r="W189" s="40">
        <f>SUM(W190:W190)</f>
        <v>0</v>
      </c>
      <c r="X189" s="40">
        <f>SUM(X190:X190)</f>
        <v>0</v>
      </c>
      <c r="Y189" s="40">
        <f>SUM(Y190:Y190)</f>
        <v>0</v>
      </c>
      <c r="Z189" s="39" t="s">
        <v>555</v>
      </c>
      <c r="AA189" s="41" t="s">
        <v>41</v>
      </c>
      <c r="AB189" s="42" t="s">
        <v>56</v>
      </c>
      <c r="AC189" s="42" t="s">
        <v>56</v>
      </c>
      <c r="AD189" s="43"/>
    </row>
    <row r="190" spans="1:30" ht="46.5" x14ac:dyDescent="0.25">
      <c r="A190" s="37" t="s">
        <v>556</v>
      </c>
      <c r="B190" s="38" t="s">
        <v>557</v>
      </c>
      <c r="C190" s="39"/>
      <c r="D190" s="39"/>
      <c r="E190" s="39"/>
      <c r="F190" s="44">
        <v>0</v>
      </c>
      <c r="G190" s="44">
        <v>0</v>
      </c>
      <c r="H190" s="44">
        <v>0</v>
      </c>
      <c r="I190" s="44">
        <v>0</v>
      </c>
      <c r="J190" s="44">
        <v>0</v>
      </c>
      <c r="K190" s="44">
        <v>0</v>
      </c>
      <c r="L190" s="44">
        <v>0</v>
      </c>
      <c r="M190" s="44">
        <v>0</v>
      </c>
      <c r="N190" s="44">
        <v>0</v>
      </c>
      <c r="O190" s="44">
        <v>0</v>
      </c>
      <c r="P190" s="44">
        <v>0</v>
      </c>
      <c r="Q190" s="44">
        <v>0</v>
      </c>
      <c r="R190" s="44">
        <v>0</v>
      </c>
      <c r="S190" s="44">
        <v>0</v>
      </c>
      <c r="T190" s="44">
        <v>0</v>
      </c>
      <c r="U190" s="44">
        <v>0</v>
      </c>
      <c r="V190" s="44">
        <v>0</v>
      </c>
      <c r="W190" s="44">
        <v>0</v>
      </c>
      <c r="X190" s="44">
        <v>0</v>
      </c>
      <c r="Y190" s="44">
        <v>0</v>
      </c>
      <c r="Z190" s="39"/>
      <c r="AA190" s="41"/>
      <c r="AB190" s="42"/>
      <c r="AC190" s="42"/>
      <c r="AD190" s="43"/>
    </row>
    <row r="191" spans="1:30" ht="45" x14ac:dyDescent="0.25">
      <c r="A191" s="23" t="s">
        <v>558</v>
      </c>
      <c r="B191" s="24" t="s">
        <v>559</v>
      </c>
      <c r="C191" s="25" t="s">
        <v>312</v>
      </c>
      <c r="D191" s="25"/>
      <c r="E191" s="25"/>
      <c r="F191" s="26">
        <f t="shared" ref="F191:O192" si="120">SUM(F192:F192)</f>
        <v>75672.55</v>
      </c>
      <c r="G191" s="26">
        <f t="shared" si="120"/>
        <v>41860.910000000003</v>
      </c>
      <c r="H191" s="26">
        <f t="shared" si="120"/>
        <v>0</v>
      </c>
      <c r="I191" s="26">
        <f t="shared" si="120"/>
        <v>0</v>
      </c>
      <c r="J191" s="26">
        <f t="shared" si="120"/>
        <v>0</v>
      </c>
      <c r="K191" s="26">
        <f t="shared" si="120"/>
        <v>0</v>
      </c>
      <c r="L191" s="26">
        <f t="shared" si="120"/>
        <v>33811.64</v>
      </c>
      <c r="M191" s="26">
        <f t="shared" si="120"/>
        <v>0</v>
      </c>
      <c r="N191" s="26">
        <f t="shared" si="120"/>
        <v>0</v>
      </c>
      <c r="O191" s="26">
        <f t="shared" si="120"/>
        <v>0</v>
      </c>
      <c r="P191" s="26">
        <f t="shared" ref="P191:Y192" si="121">SUM(P192:P192)</f>
        <v>24861.82</v>
      </c>
      <c r="Q191" s="26">
        <f t="shared" si="121"/>
        <v>4166.92</v>
      </c>
      <c r="R191" s="26">
        <f t="shared" si="121"/>
        <v>0</v>
      </c>
      <c r="S191" s="26">
        <f t="shared" si="121"/>
        <v>0</v>
      </c>
      <c r="T191" s="26">
        <f t="shared" si="121"/>
        <v>0</v>
      </c>
      <c r="U191" s="26">
        <f t="shared" si="121"/>
        <v>0</v>
      </c>
      <c r="V191" s="26">
        <f t="shared" si="121"/>
        <v>0</v>
      </c>
      <c r="W191" s="26">
        <f t="shared" si="121"/>
        <v>0</v>
      </c>
      <c r="X191" s="26">
        <f t="shared" si="121"/>
        <v>0</v>
      </c>
      <c r="Y191" s="26">
        <f t="shared" si="121"/>
        <v>0</v>
      </c>
      <c r="Z191" s="25" t="s">
        <v>560</v>
      </c>
      <c r="AA191" s="27" t="s">
        <v>41</v>
      </c>
      <c r="AB191" s="28" t="s">
        <v>561</v>
      </c>
      <c r="AC191" s="28" t="s">
        <v>561</v>
      </c>
      <c r="AD191" s="29"/>
    </row>
    <row r="192" spans="1:30" ht="45" x14ac:dyDescent="0.25">
      <c r="A192" s="30" t="s">
        <v>562</v>
      </c>
      <c r="B192" s="31" t="s">
        <v>563</v>
      </c>
      <c r="C192" s="32" t="s">
        <v>312</v>
      </c>
      <c r="D192" s="32" t="s">
        <v>316</v>
      </c>
      <c r="E192" s="32" t="s">
        <v>39</v>
      </c>
      <c r="F192" s="33">
        <f t="shared" si="120"/>
        <v>75672.55</v>
      </c>
      <c r="G192" s="33">
        <f t="shared" si="120"/>
        <v>41860.910000000003</v>
      </c>
      <c r="H192" s="33">
        <f t="shared" si="120"/>
        <v>0</v>
      </c>
      <c r="I192" s="33">
        <f t="shared" si="120"/>
        <v>0</v>
      </c>
      <c r="J192" s="33">
        <f t="shared" si="120"/>
        <v>0</v>
      </c>
      <c r="K192" s="33">
        <f t="shared" si="120"/>
        <v>0</v>
      </c>
      <c r="L192" s="33">
        <f t="shared" si="120"/>
        <v>33811.64</v>
      </c>
      <c r="M192" s="33">
        <f t="shared" si="120"/>
        <v>0</v>
      </c>
      <c r="N192" s="33">
        <f t="shared" si="120"/>
        <v>0</v>
      </c>
      <c r="O192" s="33">
        <f t="shared" si="120"/>
        <v>0</v>
      </c>
      <c r="P192" s="33">
        <f t="shared" si="121"/>
        <v>24861.82</v>
      </c>
      <c r="Q192" s="33">
        <f t="shared" si="121"/>
        <v>4166.92</v>
      </c>
      <c r="R192" s="33">
        <f t="shared" si="121"/>
        <v>0</v>
      </c>
      <c r="S192" s="33">
        <f t="shared" si="121"/>
        <v>0</v>
      </c>
      <c r="T192" s="33">
        <f t="shared" si="121"/>
        <v>0</v>
      </c>
      <c r="U192" s="33">
        <f t="shared" si="121"/>
        <v>0</v>
      </c>
      <c r="V192" s="33">
        <f t="shared" si="121"/>
        <v>0</v>
      </c>
      <c r="W192" s="33">
        <f t="shared" si="121"/>
        <v>0</v>
      </c>
      <c r="X192" s="33">
        <f t="shared" si="121"/>
        <v>0</v>
      </c>
      <c r="Y192" s="33">
        <f t="shared" si="121"/>
        <v>0</v>
      </c>
      <c r="Z192" s="32" t="s">
        <v>564</v>
      </c>
      <c r="AA192" s="34" t="s">
        <v>41</v>
      </c>
      <c r="AB192" s="35" t="s">
        <v>42</v>
      </c>
      <c r="AC192" s="35" t="s">
        <v>42</v>
      </c>
      <c r="AD192" s="36"/>
    </row>
    <row r="193" spans="1:30" ht="116.25" x14ac:dyDescent="0.25">
      <c r="A193" s="37" t="s">
        <v>565</v>
      </c>
      <c r="B193" s="38" t="s">
        <v>566</v>
      </c>
      <c r="C193" s="39" t="s">
        <v>312</v>
      </c>
      <c r="D193" s="39" t="s">
        <v>365</v>
      </c>
      <c r="E193" s="39" t="s">
        <v>46</v>
      </c>
      <c r="F193" s="40">
        <f>SUM(F194:F194)+75672.55</f>
        <v>75672.55</v>
      </c>
      <c r="G193" s="40">
        <f>SUM(G194:G194)+41860.91</f>
        <v>41860.910000000003</v>
      </c>
      <c r="H193" s="40">
        <f>SUM(H194:H194)</f>
        <v>0</v>
      </c>
      <c r="I193" s="40">
        <f>SUM(I194:I194)</f>
        <v>0</v>
      </c>
      <c r="J193" s="40">
        <f>SUM(J194:J194)</f>
        <v>0</v>
      </c>
      <c r="K193" s="40">
        <f>SUM(K194:K194)</f>
        <v>0</v>
      </c>
      <c r="L193" s="40">
        <f>SUM(L194:L194)+33811.64</f>
        <v>33811.64</v>
      </c>
      <c r="M193" s="40">
        <f>SUM(M194:M194)</f>
        <v>0</v>
      </c>
      <c r="N193" s="40">
        <f>SUM(N194:N194)</f>
        <v>0</v>
      </c>
      <c r="O193" s="40">
        <f>SUM(O194:O194)</f>
        <v>0</v>
      </c>
      <c r="P193" s="40">
        <f>SUM(P194:P194)+24861.82</f>
        <v>24861.82</v>
      </c>
      <c r="Q193" s="40">
        <f>SUM(Q194:Q194)+4166.92</f>
        <v>4166.92</v>
      </c>
      <c r="R193" s="40">
        <f t="shared" ref="R193:Y193" si="122">SUM(R194:R194)</f>
        <v>0</v>
      </c>
      <c r="S193" s="40">
        <f t="shared" si="122"/>
        <v>0</v>
      </c>
      <c r="T193" s="40">
        <f t="shared" si="122"/>
        <v>0</v>
      </c>
      <c r="U193" s="40">
        <f t="shared" si="122"/>
        <v>0</v>
      </c>
      <c r="V193" s="40">
        <f t="shared" si="122"/>
        <v>0</v>
      </c>
      <c r="W193" s="40">
        <f t="shared" si="122"/>
        <v>0</v>
      </c>
      <c r="X193" s="40">
        <f t="shared" si="122"/>
        <v>0</v>
      </c>
      <c r="Y193" s="40">
        <f t="shared" si="122"/>
        <v>0</v>
      </c>
      <c r="Z193" s="39" t="s">
        <v>564</v>
      </c>
      <c r="AA193" s="41" t="s">
        <v>41</v>
      </c>
      <c r="AB193" s="42" t="s">
        <v>42</v>
      </c>
      <c r="AC193" s="42" t="s">
        <v>56</v>
      </c>
      <c r="AD193" s="43" t="s">
        <v>567</v>
      </c>
    </row>
    <row r="194" spans="1:30" ht="139.5" x14ac:dyDescent="0.25">
      <c r="A194" s="37" t="s">
        <v>568</v>
      </c>
      <c r="B194" s="38" t="s">
        <v>569</v>
      </c>
      <c r="C194" s="39"/>
      <c r="D194" s="39"/>
      <c r="E194" s="39"/>
      <c r="F194" s="44">
        <v>0</v>
      </c>
      <c r="G194" s="44">
        <v>0</v>
      </c>
      <c r="H194" s="44">
        <v>0</v>
      </c>
      <c r="I194" s="44">
        <v>0</v>
      </c>
      <c r="J194" s="44">
        <v>0</v>
      </c>
      <c r="K194" s="44">
        <v>0</v>
      </c>
      <c r="L194" s="44">
        <v>0</v>
      </c>
      <c r="M194" s="44">
        <v>0</v>
      </c>
      <c r="N194" s="44">
        <v>0</v>
      </c>
      <c r="O194" s="44">
        <v>0</v>
      </c>
      <c r="P194" s="44">
        <v>0</v>
      </c>
      <c r="Q194" s="44">
        <v>0</v>
      </c>
      <c r="R194" s="44">
        <v>0</v>
      </c>
      <c r="S194" s="44">
        <v>0</v>
      </c>
      <c r="T194" s="44">
        <v>0</v>
      </c>
      <c r="U194" s="44">
        <v>0</v>
      </c>
      <c r="V194" s="44">
        <v>0</v>
      </c>
      <c r="W194" s="44">
        <v>0</v>
      </c>
      <c r="X194" s="44">
        <v>0</v>
      </c>
      <c r="Y194" s="44">
        <v>0</v>
      </c>
      <c r="Z194" s="39"/>
      <c r="AA194" s="41"/>
      <c r="AB194" s="42"/>
      <c r="AC194" s="42"/>
      <c r="AD194" s="43"/>
    </row>
    <row r="195" spans="1:30" ht="45" x14ac:dyDescent="0.25">
      <c r="A195" s="23" t="s">
        <v>570</v>
      </c>
      <c r="B195" s="24" t="s">
        <v>571</v>
      </c>
      <c r="C195" s="25" t="s">
        <v>312</v>
      </c>
      <c r="D195" s="25" t="s">
        <v>316</v>
      </c>
      <c r="E195" s="25"/>
      <c r="F195" s="26">
        <f t="shared" ref="F195:O196" si="123">SUM(F196:F196)</f>
        <v>2240</v>
      </c>
      <c r="G195" s="26">
        <f t="shared" si="123"/>
        <v>2240</v>
      </c>
      <c r="H195" s="26">
        <f t="shared" si="123"/>
        <v>0</v>
      </c>
      <c r="I195" s="26">
        <f t="shared" si="123"/>
        <v>0</v>
      </c>
      <c r="J195" s="26">
        <f t="shared" si="123"/>
        <v>0</v>
      </c>
      <c r="K195" s="26">
        <f t="shared" si="123"/>
        <v>0</v>
      </c>
      <c r="L195" s="26">
        <f t="shared" si="123"/>
        <v>0</v>
      </c>
      <c r="M195" s="26">
        <f t="shared" si="123"/>
        <v>0</v>
      </c>
      <c r="N195" s="26">
        <f t="shared" si="123"/>
        <v>0</v>
      </c>
      <c r="O195" s="26">
        <f t="shared" si="123"/>
        <v>0</v>
      </c>
      <c r="P195" s="26">
        <f t="shared" ref="P195:Y196" si="124">SUM(P196:P196)</f>
        <v>1836.88</v>
      </c>
      <c r="Q195" s="26">
        <f t="shared" si="124"/>
        <v>1836.88</v>
      </c>
      <c r="R195" s="26">
        <f t="shared" si="124"/>
        <v>0</v>
      </c>
      <c r="S195" s="26">
        <f t="shared" si="124"/>
        <v>0</v>
      </c>
      <c r="T195" s="26">
        <f t="shared" si="124"/>
        <v>0</v>
      </c>
      <c r="U195" s="26">
        <f t="shared" si="124"/>
        <v>0</v>
      </c>
      <c r="V195" s="26">
        <f t="shared" si="124"/>
        <v>0</v>
      </c>
      <c r="W195" s="26">
        <f t="shared" si="124"/>
        <v>0</v>
      </c>
      <c r="X195" s="26">
        <f t="shared" si="124"/>
        <v>0</v>
      </c>
      <c r="Y195" s="26">
        <f t="shared" si="124"/>
        <v>0</v>
      </c>
      <c r="Z195" s="25" t="s">
        <v>572</v>
      </c>
      <c r="AA195" s="27" t="s">
        <v>35</v>
      </c>
      <c r="AB195" s="28" t="s">
        <v>573</v>
      </c>
      <c r="AC195" s="28" t="s">
        <v>573</v>
      </c>
      <c r="AD195" s="29"/>
    </row>
    <row r="196" spans="1:30" ht="45" x14ac:dyDescent="0.25">
      <c r="A196" s="30" t="s">
        <v>574</v>
      </c>
      <c r="B196" s="31" t="s">
        <v>575</v>
      </c>
      <c r="C196" s="32" t="s">
        <v>312</v>
      </c>
      <c r="D196" s="32" t="s">
        <v>316</v>
      </c>
      <c r="E196" s="32" t="s">
        <v>39</v>
      </c>
      <c r="F196" s="33">
        <f t="shared" si="123"/>
        <v>2240</v>
      </c>
      <c r="G196" s="33">
        <f t="shared" si="123"/>
        <v>2240</v>
      </c>
      <c r="H196" s="33">
        <f t="shared" si="123"/>
        <v>0</v>
      </c>
      <c r="I196" s="33">
        <f t="shared" si="123"/>
        <v>0</v>
      </c>
      <c r="J196" s="33">
        <f t="shared" si="123"/>
        <v>0</v>
      </c>
      <c r="K196" s="33">
        <f t="shared" si="123"/>
        <v>0</v>
      </c>
      <c r="L196" s="33">
        <f t="shared" si="123"/>
        <v>0</v>
      </c>
      <c r="M196" s="33">
        <f t="shared" si="123"/>
        <v>0</v>
      </c>
      <c r="N196" s="33">
        <f t="shared" si="123"/>
        <v>0</v>
      </c>
      <c r="O196" s="33">
        <f t="shared" si="123"/>
        <v>0</v>
      </c>
      <c r="P196" s="33">
        <f t="shared" si="124"/>
        <v>1836.88</v>
      </c>
      <c r="Q196" s="33">
        <f t="shared" si="124"/>
        <v>1836.88</v>
      </c>
      <c r="R196" s="33">
        <f t="shared" si="124"/>
        <v>0</v>
      </c>
      <c r="S196" s="33">
        <f t="shared" si="124"/>
        <v>0</v>
      </c>
      <c r="T196" s="33">
        <f t="shared" si="124"/>
        <v>0</v>
      </c>
      <c r="U196" s="33">
        <f t="shared" si="124"/>
        <v>0</v>
      </c>
      <c r="V196" s="33">
        <f t="shared" si="124"/>
        <v>0</v>
      </c>
      <c r="W196" s="33">
        <f t="shared" si="124"/>
        <v>0</v>
      </c>
      <c r="X196" s="33">
        <f t="shared" si="124"/>
        <v>0</v>
      </c>
      <c r="Y196" s="33">
        <f t="shared" si="124"/>
        <v>0</v>
      </c>
      <c r="Z196" s="32" t="s">
        <v>576</v>
      </c>
      <c r="AA196" s="34" t="s">
        <v>41</v>
      </c>
      <c r="AB196" s="35" t="s">
        <v>107</v>
      </c>
      <c r="AC196" s="35" t="s">
        <v>107</v>
      </c>
      <c r="AD196" s="36"/>
    </row>
    <row r="197" spans="1:30" ht="46.5" x14ac:dyDescent="0.25">
      <c r="A197" s="37" t="s">
        <v>577</v>
      </c>
      <c r="B197" s="38" t="s">
        <v>578</v>
      </c>
      <c r="C197" s="39" t="s">
        <v>312</v>
      </c>
      <c r="D197" s="39" t="s">
        <v>375</v>
      </c>
      <c r="E197" s="39" t="s">
        <v>46</v>
      </c>
      <c r="F197" s="40">
        <f>SUM(F198:F198)+2240</f>
        <v>2240</v>
      </c>
      <c r="G197" s="40">
        <f>SUM(G198:G198)+2240</f>
        <v>2240</v>
      </c>
      <c r="H197" s="40">
        <f t="shared" ref="H197:O197" si="125">SUM(H198:H198)</f>
        <v>0</v>
      </c>
      <c r="I197" s="40">
        <f t="shared" si="125"/>
        <v>0</v>
      </c>
      <c r="J197" s="40">
        <f t="shared" si="125"/>
        <v>0</v>
      </c>
      <c r="K197" s="40">
        <f t="shared" si="125"/>
        <v>0</v>
      </c>
      <c r="L197" s="40">
        <f t="shared" si="125"/>
        <v>0</v>
      </c>
      <c r="M197" s="40">
        <f t="shared" si="125"/>
        <v>0</v>
      </c>
      <c r="N197" s="40">
        <f t="shared" si="125"/>
        <v>0</v>
      </c>
      <c r="O197" s="40">
        <f t="shared" si="125"/>
        <v>0</v>
      </c>
      <c r="P197" s="40">
        <f>SUM(P198:P198)+1836.88</f>
        <v>1836.88</v>
      </c>
      <c r="Q197" s="40">
        <f>SUM(Q198:Q198)+1836.88</f>
        <v>1836.88</v>
      </c>
      <c r="R197" s="40">
        <f t="shared" ref="R197:Y197" si="126">SUM(R198:R198)</f>
        <v>0</v>
      </c>
      <c r="S197" s="40">
        <f t="shared" si="126"/>
        <v>0</v>
      </c>
      <c r="T197" s="40">
        <f t="shared" si="126"/>
        <v>0</v>
      </c>
      <c r="U197" s="40">
        <f t="shared" si="126"/>
        <v>0</v>
      </c>
      <c r="V197" s="40">
        <f t="shared" si="126"/>
        <v>0</v>
      </c>
      <c r="W197" s="40">
        <f t="shared" si="126"/>
        <v>0</v>
      </c>
      <c r="X197" s="40">
        <f t="shared" si="126"/>
        <v>0</v>
      </c>
      <c r="Y197" s="40">
        <f t="shared" si="126"/>
        <v>0</v>
      </c>
      <c r="Z197" s="39" t="s">
        <v>579</v>
      </c>
      <c r="AA197" s="41" t="s">
        <v>41</v>
      </c>
      <c r="AB197" s="42" t="s">
        <v>107</v>
      </c>
      <c r="AC197" s="42" t="s">
        <v>107</v>
      </c>
      <c r="AD197" s="43"/>
    </row>
    <row r="198" spans="1:30" x14ac:dyDescent="0.25">
      <c r="A198" s="37" t="s">
        <v>580</v>
      </c>
      <c r="B198" s="38" t="s">
        <v>581</v>
      </c>
      <c r="C198" s="39"/>
      <c r="D198" s="39"/>
      <c r="E198" s="39"/>
      <c r="F198" s="44">
        <v>0</v>
      </c>
      <c r="G198" s="44">
        <v>0</v>
      </c>
      <c r="H198" s="44">
        <v>0</v>
      </c>
      <c r="I198" s="44">
        <v>0</v>
      </c>
      <c r="J198" s="44">
        <v>0</v>
      </c>
      <c r="K198" s="44">
        <v>0</v>
      </c>
      <c r="L198" s="44">
        <v>0</v>
      </c>
      <c r="M198" s="44">
        <v>0</v>
      </c>
      <c r="N198" s="44">
        <v>0</v>
      </c>
      <c r="O198" s="44">
        <v>0</v>
      </c>
      <c r="P198" s="44">
        <v>0</v>
      </c>
      <c r="Q198" s="44">
        <v>0</v>
      </c>
      <c r="R198" s="44">
        <v>0</v>
      </c>
      <c r="S198" s="44">
        <v>0</v>
      </c>
      <c r="T198" s="44">
        <v>0</v>
      </c>
      <c r="U198" s="44">
        <v>0</v>
      </c>
      <c r="V198" s="44">
        <v>0</v>
      </c>
      <c r="W198" s="44">
        <v>0</v>
      </c>
      <c r="X198" s="44">
        <v>0</v>
      </c>
      <c r="Y198" s="44">
        <v>0</v>
      </c>
      <c r="Z198" s="39"/>
      <c r="AA198" s="41"/>
      <c r="AB198" s="42"/>
      <c r="AC198" s="42"/>
      <c r="AD198" s="43"/>
    </row>
    <row r="199" spans="1:30" ht="90" x14ac:dyDescent="0.25">
      <c r="A199" s="23" t="s">
        <v>582</v>
      </c>
      <c r="B199" s="24" t="s">
        <v>583</v>
      </c>
      <c r="C199" s="25" t="s">
        <v>312</v>
      </c>
      <c r="D199" s="25" t="s">
        <v>316</v>
      </c>
      <c r="E199" s="25"/>
      <c r="F199" s="26">
        <f t="shared" ref="F199:O201" si="127">SUM(F200:F200)</f>
        <v>0</v>
      </c>
      <c r="G199" s="26">
        <f t="shared" si="127"/>
        <v>0</v>
      </c>
      <c r="H199" s="26">
        <f t="shared" si="127"/>
        <v>0</v>
      </c>
      <c r="I199" s="26">
        <f t="shared" si="127"/>
        <v>0</v>
      </c>
      <c r="J199" s="26">
        <f t="shared" si="127"/>
        <v>0</v>
      </c>
      <c r="K199" s="26">
        <f t="shared" si="127"/>
        <v>0</v>
      </c>
      <c r="L199" s="26">
        <f t="shared" si="127"/>
        <v>0</v>
      </c>
      <c r="M199" s="26">
        <f t="shared" si="127"/>
        <v>0</v>
      </c>
      <c r="N199" s="26">
        <f t="shared" si="127"/>
        <v>0</v>
      </c>
      <c r="O199" s="26">
        <f t="shared" si="127"/>
        <v>0</v>
      </c>
      <c r="P199" s="26">
        <f t="shared" ref="P199:Y201" si="128">SUM(P200:P200)</f>
        <v>0</v>
      </c>
      <c r="Q199" s="26">
        <f t="shared" si="128"/>
        <v>0</v>
      </c>
      <c r="R199" s="26">
        <f t="shared" si="128"/>
        <v>0</v>
      </c>
      <c r="S199" s="26">
        <f t="shared" si="128"/>
        <v>0</v>
      </c>
      <c r="T199" s="26">
        <f t="shared" si="128"/>
        <v>0</v>
      </c>
      <c r="U199" s="26">
        <f t="shared" si="128"/>
        <v>0</v>
      </c>
      <c r="V199" s="26">
        <f t="shared" si="128"/>
        <v>0</v>
      </c>
      <c r="W199" s="26">
        <f t="shared" si="128"/>
        <v>0</v>
      </c>
      <c r="X199" s="26">
        <f t="shared" si="128"/>
        <v>0</v>
      </c>
      <c r="Y199" s="26">
        <f t="shared" si="128"/>
        <v>0</v>
      </c>
      <c r="Z199" s="25" t="s">
        <v>584</v>
      </c>
      <c r="AA199" s="27" t="s">
        <v>35</v>
      </c>
      <c r="AB199" s="28" t="s">
        <v>585</v>
      </c>
      <c r="AC199" s="28" t="s">
        <v>585</v>
      </c>
      <c r="AD199" s="29"/>
    </row>
    <row r="200" spans="1:30" ht="67.5" x14ac:dyDescent="0.25">
      <c r="A200" s="30" t="s">
        <v>586</v>
      </c>
      <c r="B200" s="31" t="s">
        <v>587</v>
      </c>
      <c r="C200" s="32" t="s">
        <v>312</v>
      </c>
      <c r="D200" s="32" t="s">
        <v>316</v>
      </c>
      <c r="E200" s="32" t="s">
        <v>39</v>
      </c>
      <c r="F200" s="33">
        <f t="shared" si="127"/>
        <v>0</v>
      </c>
      <c r="G200" s="33">
        <f t="shared" si="127"/>
        <v>0</v>
      </c>
      <c r="H200" s="33">
        <f t="shared" si="127"/>
        <v>0</v>
      </c>
      <c r="I200" s="33">
        <f t="shared" si="127"/>
        <v>0</v>
      </c>
      <c r="J200" s="33">
        <f t="shared" si="127"/>
        <v>0</v>
      </c>
      <c r="K200" s="33">
        <f t="shared" si="127"/>
        <v>0</v>
      </c>
      <c r="L200" s="33">
        <f t="shared" si="127"/>
        <v>0</v>
      </c>
      <c r="M200" s="33">
        <f t="shared" si="127"/>
        <v>0</v>
      </c>
      <c r="N200" s="33">
        <f t="shared" si="127"/>
        <v>0</v>
      </c>
      <c r="O200" s="33">
        <f t="shared" si="127"/>
        <v>0</v>
      </c>
      <c r="P200" s="33">
        <f t="shared" si="128"/>
        <v>0</v>
      </c>
      <c r="Q200" s="33">
        <f t="shared" si="128"/>
        <v>0</v>
      </c>
      <c r="R200" s="33">
        <f t="shared" si="128"/>
        <v>0</v>
      </c>
      <c r="S200" s="33">
        <f t="shared" si="128"/>
        <v>0</v>
      </c>
      <c r="T200" s="33">
        <f t="shared" si="128"/>
        <v>0</v>
      </c>
      <c r="U200" s="33">
        <f t="shared" si="128"/>
        <v>0</v>
      </c>
      <c r="V200" s="33">
        <f t="shared" si="128"/>
        <v>0</v>
      </c>
      <c r="W200" s="33">
        <f t="shared" si="128"/>
        <v>0</v>
      </c>
      <c r="X200" s="33">
        <f t="shared" si="128"/>
        <v>0</v>
      </c>
      <c r="Y200" s="33">
        <f t="shared" si="128"/>
        <v>0</v>
      </c>
      <c r="Z200" s="32" t="s">
        <v>588</v>
      </c>
      <c r="AA200" s="34" t="s">
        <v>41</v>
      </c>
      <c r="AB200" s="35" t="s">
        <v>56</v>
      </c>
      <c r="AC200" s="35" t="s">
        <v>56</v>
      </c>
      <c r="AD200" s="36"/>
    </row>
    <row r="201" spans="1:30" ht="93" x14ac:dyDescent="0.25">
      <c r="A201" s="37" t="s">
        <v>589</v>
      </c>
      <c r="B201" s="38" t="s">
        <v>590</v>
      </c>
      <c r="C201" s="39" t="s">
        <v>312</v>
      </c>
      <c r="D201" s="39" t="s">
        <v>365</v>
      </c>
      <c r="E201" s="39" t="s">
        <v>39</v>
      </c>
      <c r="F201" s="40">
        <f t="shared" si="127"/>
        <v>0</v>
      </c>
      <c r="G201" s="40">
        <f t="shared" si="127"/>
        <v>0</v>
      </c>
      <c r="H201" s="40">
        <f t="shared" si="127"/>
        <v>0</v>
      </c>
      <c r="I201" s="40">
        <f t="shared" si="127"/>
        <v>0</v>
      </c>
      <c r="J201" s="40">
        <f t="shared" si="127"/>
        <v>0</v>
      </c>
      <c r="K201" s="40">
        <f t="shared" si="127"/>
        <v>0</v>
      </c>
      <c r="L201" s="40">
        <f t="shared" si="127"/>
        <v>0</v>
      </c>
      <c r="M201" s="40">
        <f t="shared" si="127"/>
        <v>0</v>
      </c>
      <c r="N201" s="40">
        <f t="shared" si="127"/>
        <v>0</v>
      </c>
      <c r="O201" s="40">
        <f t="shared" si="127"/>
        <v>0</v>
      </c>
      <c r="P201" s="40">
        <f t="shared" si="128"/>
        <v>0</v>
      </c>
      <c r="Q201" s="40">
        <f t="shared" si="128"/>
        <v>0</v>
      </c>
      <c r="R201" s="40">
        <f t="shared" si="128"/>
        <v>0</v>
      </c>
      <c r="S201" s="40">
        <f t="shared" si="128"/>
        <v>0</v>
      </c>
      <c r="T201" s="40">
        <f t="shared" si="128"/>
        <v>0</v>
      </c>
      <c r="U201" s="40">
        <f t="shared" si="128"/>
        <v>0</v>
      </c>
      <c r="V201" s="40">
        <f t="shared" si="128"/>
        <v>0</v>
      </c>
      <c r="W201" s="40">
        <f t="shared" si="128"/>
        <v>0</v>
      </c>
      <c r="X201" s="40">
        <f t="shared" si="128"/>
        <v>0</v>
      </c>
      <c r="Y201" s="40">
        <f t="shared" si="128"/>
        <v>0</v>
      </c>
      <c r="Z201" s="39" t="s">
        <v>591</v>
      </c>
      <c r="AA201" s="41" t="s">
        <v>41</v>
      </c>
      <c r="AB201" s="42" t="s">
        <v>56</v>
      </c>
      <c r="AC201" s="42" t="s">
        <v>57</v>
      </c>
      <c r="AD201" s="43" t="s">
        <v>592</v>
      </c>
    </row>
    <row r="202" spans="1:30" ht="69.75" x14ac:dyDescent="0.25">
      <c r="A202" s="37" t="s">
        <v>593</v>
      </c>
      <c r="B202" s="38" t="s">
        <v>594</v>
      </c>
      <c r="C202" s="39"/>
      <c r="D202" s="39"/>
      <c r="E202" s="39"/>
      <c r="F202" s="44">
        <v>0</v>
      </c>
      <c r="G202" s="44">
        <v>0</v>
      </c>
      <c r="H202" s="44">
        <v>0</v>
      </c>
      <c r="I202" s="44">
        <v>0</v>
      </c>
      <c r="J202" s="44">
        <v>0</v>
      </c>
      <c r="K202" s="44">
        <v>0</v>
      </c>
      <c r="L202" s="44">
        <v>0</v>
      </c>
      <c r="M202" s="44">
        <v>0</v>
      </c>
      <c r="N202" s="44">
        <v>0</v>
      </c>
      <c r="O202" s="44">
        <v>0</v>
      </c>
      <c r="P202" s="44">
        <v>0</v>
      </c>
      <c r="Q202" s="44">
        <v>0</v>
      </c>
      <c r="R202" s="44">
        <v>0</v>
      </c>
      <c r="S202" s="44">
        <v>0</v>
      </c>
      <c r="T202" s="44">
        <v>0</v>
      </c>
      <c r="U202" s="44">
        <v>0</v>
      </c>
      <c r="V202" s="44">
        <v>0</v>
      </c>
      <c r="W202" s="44">
        <v>0</v>
      </c>
      <c r="X202" s="44">
        <v>0</v>
      </c>
      <c r="Y202" s="44">
        <v>0</v>
      </c>
      <c r="Z202" s="39"/>
      <c r="AA202" s="41"/>
      <c r="AB202" s="42"/>
      <c r="AC202" s="42"/>
      <c r="AD202" s="43"/>
    </row>
    <row r="203" spans="1:30" ht="45" x14ac:dyDescent="0.25">
      <c r="A203" s="16" t="s">
        <v>595</v>
      </c>
      <c r="B203" s="17" t="s">
        <v>596</v>
      </c>
      <c r="C203" s="18" t="s">
        <v>29</v>
      </c>
      <c r="D203" s="18" t="s">
        <v>597</v>
      </c>
      <c r="E203" s="18"/>
      <c r="F203" s="19">
        <f t="shared" ref="F203:Y203" si="129">F204+F213+F227+F239+F249</f>
        <v>131584</v>
      </c>
      <c r="G203" s="19">
        <f t="shared" si="129"/>
        <v>131584</v>
      </c>
      <c r="H203" s="19">
        <f t="shared" si="129"/>
        <v>0</v>
      </c>
      <c r="I203" s="19">
        <f t="shared" si="129"/>
        <v>0</v>
      </c>
      <c r="J203" s="19">
        <f t="shared" si="129"/>
        <v>0</v>
      </c>
      <c r="K203" s="19">
        <f t="shared" si="129"/>
        <v>0</v>
      </c>
      <c r="L203" s="19">
        <f t="shared" si="129"/>
        <v>0</v>
      </c>
      <c r="M203" s="19">
        <f t="shared" si="129"/>
        <v>0</v>
      </c>
      <c r="N203" s="19">
        <f t="shared" si="129"/>
        <v>0</v>
      </c>
      <c r="O203" s="19">
        <f t="shared" si="129"/>
        <v>0</v>
      </c>
      <c r="P203" s="19">
        <f t="shared" si="129"/>
        <v>131577.58000000002</v>
      </c>
      <c r="Q203" s="19">
        <f t="shared" si="129"/>
        <v>131577.58000000002</v>
      </c>
      <c r="R203" s="19">
        <f t="shared" si="129"/>
        <v>0</v>
      </c>
      <c r="S203" s="19">
        <f t="shared" si="129"/>
        <v>0</v>
      </c>
      <c r="T203" s="19">
        <f t="shared" si="129"/>
        <v>0</v>
      </c>
      <c r="U203" s="19">
        <f t="shared" si="129"/>
        <v>0</v>
      </c>
      <c r="V203" s="19">
        <f t="shared" si="129"/>
        <v>0</v>
      </c>
      <c r="W203" s="19">
        <f t="shared" si="129"/>
        <v>0</v>
      </c>
      <c r="X203" s="19">
        <f t="shared" si="129"/>
        <v>0</v>
      </c>
      <c r="Y203" s="19">
        <f t="shared" si="129"/>
        <v>0</v>
      </c>
      <c r="Z203" s="18"/>
      <c r="AA203" s="20"/>
      <c r="AB203" s="21"/>
      <c r="AC203" s="21"/>
      <c r="AD203" s="22"/>
    </row>
    <row r="204" spans="1:30" ht="67.5" x14ac:dyDescent="0.25">
      <c r="A204" s="23" t="s">
        <v>598</v>
      </c>
      <c r="B204" s="24" t="s">
        <v>599</v>
      </c>
      <c r="C204" s="25" t="s">
        <v>29</v>
      </c>
      <c r="D204" s="25" t="s">
        <v>600</v>
      </c>
      <c r="E204" s="25"/>
      <c r="F204" s="26">
        <f t="shared" ref="F204:Y204" si="130">F205+F208</f>
        <v>7500</v>
      </c>
      <c r="G204" s="26">
        <f t="shared" si="130"/>
        <v>7500</v>
      </c>
      <c r="H204" s="26">
        <f t="shared" si="130"/>
        <v>0</v>
      </c>
      <c r="I204" s="26">
        <f t="shared" si="130"/>
        <v>0</v>
      </c>
      <c r="J204" s="26">
        <f t="shared" si="130"/>
        <v>0</v>
      </c>
      <c r="K204" s="26">
        <f t="shared" si="130"/>
        <v>0</v>
      </c>
      <c r="L204" s="26">
        <f t="shared" si="130"/>
        <v>0</v>
      </c>
      <c r="M204" s="26">
        <f t="shared" si="130"/>
        <v>0</v>
      </c>
      <c r="N204" s="26">
        <f t="shared" si="130"/>
        <v>0</v>
      </c>
      <c r="O204" s="26">
        <f t="shared" si="130"/>
        <v>0</v>
      </c>
      <c r="P204" s="26">
        <f t="shared" si="130"/>
        <v>7495.92</v>
      </c>
      <c r="Q204" s="26">
        <f t="shared" si="130"/>
        <v>7495.92</v>
      </c>
      <c r="R204" s="26">
        <f t="shared" si="130"/>
        <v>0</v>
      </c>
      <c r="S204" s="26">
        <f t="shared" si="130"/>
        <v>0</v>
      </c>
      <c r="T204" s="26">
        <f t="shared" si="130"/>
        <v>0</v>
      </c>
      <c r="U204" s="26">
        <f t="shared" si="130"/>
        <v>0</v>
      </c>
      <c r="V204" s="26">
        <f t="shared" si="130"/>
        <v>0</v>
      </c>
      <c r="W204" s="26">
        <f t="shared" si="130"/>
        <v>0</v>
      </c>
      <c r="X204" s="26">
        <f t="shared" si="130"/>
        <v>0</v>
      </c>
      <c r="Y204" s="26">
        <f t="shared" si="130"/>
        <v>0</v>
      </c>
      <c r="Z204" s="25" t="s">
        <v>601</v>
      </c>
      <c r="AA204" s="27" t="s">
        <v>35</v>
      </c>
      <c r="AB204" s="28" t="s">
        <v>299</v>
      </c>
      <c r="AC204" s="28" t="s">
        <v>299</v>
      </c>
      <c r="AD204" s="29"/>
    </row>
    <row r="205" spans="1:30" ht="67.5" x14ac:dyDescent="0.25">
      <c r="A205" s="30" t="s">
        <v>602</v>
      </c>
      <c r="B205" s="31" t="s">
        <v>603</v>
      </c>
      <c r="C205" s="32"/>
      <c r="D205" s="32" t="s">
        <v>600</v>
      </c>
      <c r="E205" s="32" t="s">
        <v>39</v>
      </c>
      <c r="F205" s="33">
        <f t="shared" ref="F205:Y205" si="131">SUM(F206:F206)</f>
        <v>6000</v>
      </c>
      <c r="G205" s="33">
        <f t="shared" si="131"/>
        <v>6000</v>
      </c>
      <c r="H205" s="33">
        <f t="shared" si="131"/>
        <v>0</v>
      </c>
      <c r="I205" s="33">
        <f t="shared" si="131"/>
        <v>0</v>
      </c>
      <c r="J205" s="33">
        <f t="shared" si="131"/>
        <v>0</v>
      </c>
      <c r="K205" s="33">
        <f t="shared" si="131"/>
        <v>0</v>
      </c>
      <c r="L205" s="33">
        <f t="shared" si="131"/>
        <v>0</v>
      </c>
      <c r="M205" s="33">
        <f t="shared" si="131"/>
        <v>0</v>
      </c>
      <c r="N205" s="33">
        <f t="shared" si="131"/>
        <v>0</v>
      </c>
      <c r="O205" s="33">
        <f t="shared" si="131"/>
        <v>0</v>
      </c>
      <c r="P205" s="33">
        <f t="shared" si="131"/>
        <v>5995.92</v>
      </c>
      <c r="Q205" s="33">
        <f t="shared" si="131"/>
        <v>5995.92</v>
      </c>
      <c r="R205" s="33">
        <f t="shared" si="131"/>
        <v>0</v>
      </c>
      <c r="S205" s="33">
        <f t="shared" si="131"/>
        <v>0</v>
      </c>
      <c r="T205" s="33">
        <f t="shared" si="131"/>
        <v>0</v>
      </c>
      <c r="U205" s="33">
        <f t="shared" si="131"/>
        <v>0</v>
      </c>
      <c r="V205" s="33">
        <f t="shared" si="131"/>
        <v>0</v>
      </c>
      <c r="W205" s="33">
        <f t="shared" si="131"/>
        <v>0</v>
      </c>
      <c r="X205" s="33">
        <f t="shared" si="131"/>
        <v>0</v>
      </c>
      <c r="Y205" s="33">
        <f t="shared" si="131"/>
        <v>0</v>
      </c>
      <c r="Z205" s="32" t="s">
        <v>604</v>
      </c>
      <c r="AA205" s="34" t="s">
        <v>41</v>
      </c>
      <c r="AB205" s="35" t="s">
        <v>434</v>
      </c>
      <c r="AC205" s="35" t="s">
        <v>434</v>
      </c>
      <c r="AD205" s="36"/>
    </row>
    <row r="206" spans="1:30" ht="162.75" x14ac:dyDescent="0.25">
      <c r="A206" s="37" t="s">
        <v>605</v>
      </c>
      <c r="B206" s="38" t="s">
        <v>606</v>
      </c>
      <c r="C206" s="39" t="s">
        <v>29</v>
      </c>
      <c r="D206" s="39" t="s">
        <v>600</v>
      </c>
      <c r="E206" s="39" t="s">
        <v>46</v>
      </c>
      <c r="F206" s="40">
        <f>SUM(F207:F207)+6000</f>
        <v>6000</v>
      </c>
      <c r="G206" s="40">
        <f>SUM(G207:G207)+6000</f>
        <v>6000</v>
      </c>
      <c r="H206" s="40">
        <f t="shared" ref="H206:O206" si="132">SUM(H207:H207)</f>
        <v>0</v>
      </c>
      <c r="I206" s="40">
        <f t="shared" si="132"/>
        <v>0</v>
      </c>
      <c r="J206" s="40">
        <f t="shared" si="132"/>
        <v>0</v>
      </c>
      <c r="K206" s="40">
        <f t="shared" si="132"/>
        <v>0</v>
      </c>
      <c r="L206" s="40">
        <f t="shared" si="132"/>
        <v>0</v>
      </c>
      <c r="M206" s="40">
        <f t="shared" si="132"/>
        <v>0</v>
      </c>
      <c r="N206" s="40">
        <f t="shared" si="132"/>
        <v>0</v>
      </c>
      <c r="O206" s="40">
        <f t="shared" si="132"/>
        <v>0</v>
      </c>
      <c r="P206" s="40">
        <f>SUM(P207:P207)+5995.92</f>
        <v>5995.92</v>
      </c>
      <c r="Q206" s="40">
        <f>SUM(Q207:Q207)+5995.92</f>
        <v>5995.92</v>
      </c>
      <c r="R206" s="40">
        <f t="shared" ref="R206:Y206" si="133">SUM(R207:R207)</f>
        <v>0</v>
      </c>
      <c r="S206" s="40">
        <f t="shared" si="133"/>
        <v>0</v>
      </c>
      <c r="T206" s="40">
        <f t="shared" si="133"/>
        <v>0</v>
      </c>
      <c r="U206" s="40">
        <f t="shared" si="133"/>
        <v>0</v>
      </c>
      <c r="V206" s="40">
        <f t="shared" si="133"/>
        <v>0</v>
      </c>
      <c r="W206" s="40">
        <f t="shared" si="133"/>
        <v>0</v>
      </c>
      <c r="X206" s="40">
        <f t="shared" si="133"/>
        <v>0</v>
      </c>
      <c r="Y206" s="40">
        <f t="shared" si="133"/>
        <v>0</v>
      </c>
      <c r="Z206" s="39" t="s">
        <v>607</v>
      </c>
      <c r="AA206" s="41" t="s">
        <v>41</v>
      </c>
      <c r="AB206" s="42" t="s">
        <v>434</v>
      </c>
      <c r="AC206" s="42" t="s">
        <v>434</v>
      </c>
      <c r="AD206" s="43"/>
    </row>
    <row r="207" spans="1:30" x14ac:dyDescent="0.25">
      <c r="A207" s="37" t="s">
        <v>608</v>
      </c>
      <c r="B207" s="38" t="s">
        <v>609</v>
      </c>
      <c r="C207" s="39"/>
      <c r="D207" s="39"/>
      <c r="E207" s="39"/>
      <c r="F207" s="44">
        <v>0</v>
      </c>
      <c r="G207" s="44">
        <v>0</v>
      </c>
      <c r="H207" s="44">
        <v>0</v>
      </c>
      <c r="I207" s="44">
        <v>0</v>
      </c>
      <c r="J207" s="44">
        <v>0</v>
      </c>
      <c r="K207" s="44">
        <v>0</v>
      </c>
      <c r="L207" s="44">
        <v>0</v>
      </c>
      <c r="M207" s="44">
        <v>0</v>
      </c>
      <c r="N207" s="44">
        <v>0</v>
      </c>
      <c r="O207" s="44">
        <v>0</v>
      </c>
      <c r="P207" s="44">
        <v>0</v>
      </c>
      <c r="Q207" s="44">
        <v>0</v>
      </c>
      <c r="R207" s="44">
        <v>0</v>
      </c>
      <c r="S207" s="44">
        <v>0</v>
      </c>
      <c r="T207" s="44">
        <v>0</v>
      </c>
      <c r="U207" s="44">
        <v>0</v>
      </c>
      <c r="V207" s="44">
        <v>0</v>
      </c>
      <c r="W207" s="44">
        <v>0</v>
      </c>
      <c r="X207" s="44">
        <v>0</v>
      </c>
      <c r="Y207" s="44">
        <v>0</v>
      </c>
      <c r="Z207" s="39"/>
      <c r="AA207" s="41"/>
      <c r="AB207" s="42"/>
      <c r="AC207" s="42"/>
      <c r="AD207" s="43"/>
    </row>
    <row r="208" spans="1:30" ht="67.5" x14ac:dyDescent="0.25">
      <c r="A208" s="30" t="s">
        <v>610</v>
      </c>
      <c r="B208" s="31" t="s">
        <v>611</v>
      </c>
      <c r="C208" s="32"/>
      <c r="D208" s="32" t="s">
        <v>600</v>
      </c>
      <c r="E208" s="32" t="s">
        <v>39</v>
      </c>
      <c r="F208" s="33">
        <f t="shared" ref="F208:Y208" si="134">SUM(F209:F209)</f>
        <v>1500</v>
      </c>
      <c r="G208" s="33">
        <f t="shared" si="134"/>
        <v>1500</v>
      </c>
      <c r="H208" s="33">
        <f t="shared" si="134"/>
        <v>0</v>
      </c>
      <c r="I208" s="33">
        <f t="shared" si="134"/>
        <v>0</v>
      </c>
      <c r="J208" s="33">
        <f t="shared" si="134"/>
        <v>0</v>
      </c>
      <c r="K208" s="33">
        <f t="shared" si="134"/>
        <v>0</v>
      </c>
      <c r="L208" s="33">
        <f t="shared" si="134"/>
        <v>0</v>
      </c>
      <c r="M208" s="33">
        <f t="shared" si="134"/>
        <v>0</v>
      </c>
      <c r="N208" s="33">
        <f t="shared" si="134"/>
        <v>0</v>
      </c>
      <c r="O208" s="33">
        <f t="shared" si="134"/>
        <v>0</v>
      </c>
      <c r="P208" s="33">
        <f t="shared" si="134"/>
        <v>1500</v>
      </c>
      <c r="Q208" s="33">
        <f t="shared" si="134"/>
        <v>1500</v>
      </c>
      <c r="R208" s="33">
        <f t="shared" si="134"/>
        <v>0</v>
      </c>
      <c r="S208" s="33">
        <f t="shared" si="134"/>
        <v>0</v>
      </c>
      <c r="T208" s="33">
        <f t="shared" si="134"/>
        <v>0</v>
      </c>
      <c r="U208" s="33">
        <f t="shared" si="134"/>
        <v>0</v>
      </c>
      <c r="V208" s="33">
        <f t="shared" si="134"/>
        <v>0</v>
      </c>
      <c r="W208" s="33">
        <f t="shared" si="134"/>
        <v>0</v>
      </c>
      <c r="X208" s="33">
        <f t="shared" si="134"/>
        <v>0</v>
      </c>
      <c r="Y208" s="33">
        <f t="shared" si="134"/>
        <v>0</v>
      </c>
      <c r="Z208" s="32" t="s">
        <v>612</v>
      </c>
      <c r="AA208" s="34" t="s">
        <v>41</v>
      </c>
      <c r="AB208" s="35" t="s">
        <v>82</v>
      </c>
      <c r="AC208" s="35" t="s">
        <v>82</v>
      </c>
      <c r="AD208" s="36"/>
    </row>
    <row r="209" spans="1:30" ht="46.5" x14ac:dyDescent="0.25">
      <c r="A209" s="37" t="s">
        <v>613</v>
      </c>
      <c r="B209" s="38" t="s">
        <v>614</v>
      </c>
      <c r="C209" s="39" t="s">
        <v>29</v>
      </c>
      <c r="D209" s="39" t="s">
        <v>600</v>
      </c>
      <c r="E209" s="39" t="s">
        <v>46</v>
      </c>
      <c r="F209" s="40">
        <f>SUM(F210:F212)+1500</f>
        <v>1500</v>
      </c>
      <c r="G209" s="40">
        <f>SUM(G210:G212)+1500</f>
        <v>1500</v>
      </c>
      <c r="H209" s="40">
        <f t="shared" ref="H209:O209" si="135">SUM(H210:H212)</f>
        <v>0</v>
      </c>
      <c r="I209" s="40">
        <f t="shared" si="135"/>
        <v>0</v>
      </c>
      <c r="J209" s="40">
        <f t="shared" si="135"/>
        <v>0</v>
      </c>
      <c r="K209" s="40">
        <f t="shared" si="135"/>
        <v>0</v>
      </c>
      <c r="L209" s="40">
        <f t="shared" si="135"/>
        <v>0</v>
      </c>
      <c r="M209" s="40">
        <f t="shared" si="135"/>
        <v>0</v>
      </c>
      <c r="N209" s="40">
        <f t="shared" si="135"/>
        <v>0</v>
      </c>
      <c r="O209" s="40">
        <f t="shared" si="135"/>
        <v>0</v>
      </c>
      <c r="P209" s="40">
        <f>SUM(P210:P212)+1500</f>
        <v>1500</v>
      </c>
      <c r="Q209" s="40">
        <f>SUM(Q210:Q212)+1500</f>
        <v>1500</v>
      </c>
      <c r="R209" s="40">
        <f t="shared" ref="R209:Y209" si="136">SUM(R210:R212)</f>
        <v>0</v>
      </c>
      <c r="S209" s="40">
        <f t="shared" si="136"/>
        <v>0</v>
      </c>
      <c r="T209" s="40">
        <f t="shared" si="136"/>
        <v>0</v>
      </c>
      <c r="U209" s="40">
        <f t="shared" si="136"/>
        <v>0</v>
      </c>
      <c r="V209" s="40">
        <f t="shared" si="136"/>
        <v>0</v>
      </c>
      <c r="W209" s="40">
        <f t="shared" si="136"/>
        <v>0</v>
      </c>
      <c r="X209" s="40">
        <f t="shared" si="136"/>
        <v>0</v>
      </c>
      <c r="Y209" s="40">
        <f t="shared" si="136"/>
        <v>0</v>
      </c>
      <c r="Z209" s="39" t="s">
        <v>615</v>
      </c>
      <c r="AA209" s="41" t="s">
        <v>41</v>
      </c>
      <c r="AB209" s="42" t="s">
        <v>42</v>
      </c>
      <c r="AC209" s="42" t="s">
        <v>42</v>
      </c>
      <c r="AD209" s="43"/>
    </row>
    <row r="210" spans="1:30" x14ac:dyDescent="0.25">
      <c r="A210" s="45"/>
      <c r="B210" s="46"/>
      <c r="C210" s="47"/>
      <c r="D210" s="47"/>
      <c r="E210" s="47"/>
      <c r="F210" s="48">
        <v>0</v>
      </c>
      <c r="G210" s="48">
        <v>0</v>
      </c>
      <c r="H210" s="48">
        <v>0</v>
      </c>
      <c r="I210" s="48">
        <v>0</v>
      </c>
      <c r="J210" s="48">
        <v>0</v>
      </c>
      <c r="K210" s="48">
        <v>0</v>
      </c>
      <c r="L210" s="48">
        <v>0</v>
      </c>
      <c r="M210" s="48">
        <v>0</v>
      </c>
      <c r="N210" s="48">
        <v>0</v>
      </c>
      <c r="O210" s="48">
        <v>0</v>
      </c>
      <c r="P210" s="48">
        <v>0</v>
      </c>
      <c r="Q210" s="48">
        <v>0</v>
      </c>
      <c r="R210" s="48">
        <v>0</v>
      </c>
      <c r="S210" s="48">
        <v>0</v>
      </c>
      <c r="T210" s="48">
        <v>0</v>
      </c>
      <c r="U210" s="48">
        <v>0</v>
      </c>
      <c r="V210" s="48">
        <v>0</v>
      </c>
      <c r="W210" s="48">
        <v>0</v>
      </c>
      <c r="X210" s="48">
        <v>0</v>
      </c>
      <c r="Y210" s="48">
        <v>0</v>
      </c>
      <c r="Z210" s="47" t="s">
        <v>616</v>
      </c>
      <c r="AA210" s="49" t="s">
        <v>41</v>
      </c>
      <c r="AB210" s="50" t="s">
        <v>42</v>
      </c>
      <c r="AC210" s="50" t="s">
        <v>42</v>
      </c>
      <c r="AD210" s="51"/>
    </row>
    <row r="211" spans="1:30" x14ac:dyDescent="0.25">
      <c r="A211" s="37" t="s">
        <v>617</v>
      </c>
      <c r="B211" s="38" t="s">
        <v>618</v>
      </c>
      <c r="C211" s="39"/>
      <c r="D211" s="39"/>
      <c r="E211" s="39"/>
      <c r="F211" s="44">
        <v>0</v>
      </c>
      <c r="G211" s="44">
        <v>0</v>
      </c>
      <c r="H211" s="44">
        <v>0</v>
      </c>
      <c r="I211" s="44">
        <v>0</v>
      </c>
      <c r="J211" s="44">
        <v>0</v>
      </c>
      <c r="K211" s="44">
        <v>0</v>
      </c>
      <c r="L211" s="44">
        <v>0</v>
      </c>
      <c r="M211" s="44">
        <v>0</v>
      </c>
      <c r="N211" s="44">
        <v>0</v>
      </c>
      <c r="O211" s="44">
        <v>0</v>
      </c>
      <c r="P211" s="44">
        <v>0</v>
      </c>
      <c r="Q211" s="44">
        <v>0</v>
      </c>
      <c r="R211" s="44">
        <v>0</v>
      </c>
      <c r="S211" s="44">
        <v>0</v>
      </c>
      <c r="T211" s="44">
        <v>0</v>
      </c>
      <c r="U211" s="44">
        <v>0</v>
      </c>
      <c r="V211" s="44">
        <v>0</v>
      </c>
      <c r="W211" s="44">
        <v>0</v>
      </c>
      <c r="X211" s="44">
        <v>0</v>
      </c>
      <c r="Y211" s="44">
        <v>0</v>
      </c>
      <c r="Z211" s="39"/>
      <c r="AA211" s="41"/>
      <c r="AB211" s="42"/>
      <c r="AC211" s="42"/>
      <c r="AD211" s="43"/>
    </row>
    <row r="212" spans="1:30" x14ac:dyDescent="0.25">
      <c r="A212" s="37" t="s">
        <v>619</v>
      </c>
      <c r="B212" s="38" t="s">
        <v>620</v>
      </c>
      <c r="C212" s="39"/>
      <c r="D212" s="39"/>
      <c r="E212" s="39"/>
      <c r="F212" s="44">
        <v>0</v>
      </c>
      <c r="G212" s="44">
        <v>0</v>
      </c>
      <c r="H212" s="44">
        <v>0</v>
      </c>
      <c r="I212" s="44">
        <v>0</v>
      </c>
      <c r="J212" s="44">
        <v>0</v>
      </c>
      <c r="K212" s="44">
        <v>0</v>
      </c>
      <c r="L212" s="44">
        <v>0</v>
      </c>
      <c r="M212" s="44">
        <v>0</v>
      </c>
      <c r="N212" s="44">
        <v>0</v>
      </c>
      <c r="O212" s="44">
        <v>0</v>
      </c>
      <c r="P212" s="44">
        <v>0</v>
      </c>
      <c r="Q212" s="44">
        <v>0</v>
      </c>
      <c r="R212" s="44">
        <v>0</v>
      </c>
      <c r="S212" s="44">
        <v>0</v>
      </c>
      <c r="T212" s="44">
        <v>0</v>
      </c>
      <c r="U212" s="44">
        <v>0</v>
      </c>
      <c r="V212" s="44">
        <v>0</v>
      </c>
      <c r="W212" s="44">
        <v>0</v>
      </c>
      <c r="X212" s="44">
        <v>0</v>
      </c>
      <c r="Y212" s="44">
        <v>0</v>
      </c>
      <c r="Z212" s="39"/>
      <c r="AA212" s="41"/>
      <c r="AB212" s="42"/>
      <c r="AC212" s="42"/>
      <c r="AD212" s="43"/>
    </row>
    <row r="213" spans="1:30" ht="90" x14ac:dyDescent="0.25">
      <c r="A213" s="23" t="s">
        <v>621</v>
      </c>
      <c r="B213" s="24" t="s">
        <v>622</v>
      </c>
      <c r="C213" s="25"/>
      <c r="D213" s="25" t="s">
        <v>623</v>
      </c>
      <c r="E213" s="25"/>
      <c r="F213" s="26">
        <f t="shared" ref="F213:Y213" si="137">F214+F222</f>
        <v>47809</v>
      </c>
      <c r="G213" s="26">
        <f t="shared" si="137"/>
        <v>47809</v>
      </c>
      <c r="H213" s="26">
        <f t="shared" si="137"/>
        <v>0</v>
      </c>
      <c r="I213" s="26">
        <f t="shared" si="137"/>
        <v>0</v>
      </c>
      <c r="J213" s="26">
        <f t="shared" si="137"/>
        <v>0</v>
      </c>
      <c r="K213" s="26">
        <f t="shared" si="137"/>
        <v>0</v>
      </c>
      <c r="L213" s="26">
        <f t="shared" si="137"/>
        <v>0</v>
      </c>
      <c r="M213" s="26">
        <f t="shared" si="137"/>
        <v>0</v>
      </c>
      <c r="N213" s="26">
        <f t="shared" si="137"/>
        <v>0</v>
      </c>
      <c r="O213" s="26">
        <f t="shared" si="137"/>
        <v>0</v>
      </c>
      <c r="P213" s="26">
        <f t="shared" si="137"/>
        <v>47808.51</v>
      </c>
      <c r="Q213" s="26">
        <f t="shared" si="137"/>
        <v>47808.51</v>
      </c>
      <c r="R213" s="26">
        <f t="shared" si="137"/>
        <v>0</v>
      </c>
      <c r="S213" s="26">
        <f t="shared" si="137"/>
        <v>0</v>
      </c>
      <c r="T213" s="26">
        <f t="shared" si="137"/>
        <v>0</v>
      </c>
      <c r="U213" s="26">
        <f t="shared" si="137"/>
        <v>0</v>
      </c>
      <c r="V213" s="26">
        <f t="shared" si="137"/>
        <v>0</v>
      </c>
      <c r="W213" s="26">
        <f t="shared" si="137"/>
        <v>0</v>
      </c>
      <c r="X213" s="26">
        <f t="shared" si="137"/>
        <v>0</v>
      </c>
      <c r="Y213" s="26">
        <f t="shared" si="137"/>
        <v>0</v>
      </c>
      <c r="Z213" s="25" t="s">
        <v>624</v>
      </c>
      <c r="AA213" s="27" t="s">
        <v>35</v>
      </c>
      <c r="AB213" s="28" t="s">
        <v>625</v>
      </c>
      <c r="AC213" s="28" t="s">
        <v>625</v>
      </c>
      <c r="AD213" s="29"/>
    </row>
    <row r="214" spans="1:30" ht="90" x14ac:dyDescent="0.25">
      <c r="A214" s="30" t="s">
        <v>626</v>
      </c>
      <c r="B214" s="31" t="s">
        <v>627</v>
      </c>
      <c r="C214" s="32"/>
      <c r="D214" s="32" t="s">
        <v>623</v>
      </c>
      <c r="E214" s="32" t="s">
        <v>283</v>
      </c>
      <c r="F214" s="33">
        <f t="shared" ref="F214:Y214" si="138">F215+F218+F220</f>
        <v>39663</v>
      </c>
      <c r="G214" s="33">
        <f t="shared" si="138"/>
        <v>39663</v>
      </c>
      <c r="H214" s="33">
        <f t="shared" si="138"/>
        <v>0</v>
      </c>
      <c r="I214" s="33">
        <f t="shared" si="138"/>
        <v>0</v>
      </c>
      <c r="J214" s="33">
        <f t="shared" si="138"/>
        <v>0</v>
      </c>
      <c r="K214" s="33">
        <f t="shared" si="138"/>
        <v>0</v>
      </c>
      <c r="L214" s="33">
        <f t="shared" si="138"/>
        <v>0</v>
      </c>
      <c r="M214" s="33">
        <f t="shared" si="138"/>
        <v>0</v>
      </c>
      <c r="N214" s="33">
        <f t="shared" si="138"/>
        <v>0</v>
      </c>
      <c r="O214" s="33">
        <f t="shared" si="138"/>
        <v>0</v>
      </c>
      <c r="P214" s="33">
        <f t="shared" si="138"/>
        <v>39663</v>
      </c>
      <c r="Q214" s="33">
        <f t="shared" si="138"/>
        <v>39663</v>
      </c>
      <c r="R214" s="33">
        <f t="shared" si="138"/>
        <v>0</v>
      </c>
      <c r="S214" s="33">
        <f t="shared" si="138"/>
        <v>0</v>
      </c>
      <c r="T214" s="33">
        <f t="shared" si="138"/>
        <v>0</v>
      </c>
      <c r="U214" s="33">
        <f t="shared" si="138"/>
        <v>0</v>
      </c>
      <c r="V214" s="33">
        <f t="shared" si="138"/>
        <v>0</v>
      </c>
      <c r="W214" s="33">
        <f t="shared" si="138"/>
        <v>0</v>
      </c>
      <c r="X214" s="33">
        <f t="shared" si="138"/>
        <v>0</v>
      </c>
      <c r="Y214" s="33">
        <f t="shared" si="138"/>
        <v>0</v>
      </c>
      <c r="Z214" s="32" t="s">
        <v>628</v>
      </c>
      <c r="AA214" s="34" t="s">
        <v>41</v>
      </c>
      <c r="AB214" s="35" t="s">
        <v>629</v>
      </c>
      <c r="AC214" s="35" t="s">
        <v>629</v>
      </c>
      <c r="AD214" s="36"/>
    </row>
    <row r="215" spans="1:30" ht="46.5" x14ac:dyDescent="0.25">
      <c r="A215" s="37" t="s">
        <v>630</v>
      </c>
      <c r="B215" s="38" t="s">
        <v>631</v>
      </c>
      <c r="C215" s="39" t="s">
        <v>29</v>
      </c>
      <c r="D215" s="39" t="s">
        <v>623</v>
      </c>
      <c r="E215" s="39" t="s">
        <v>46</v>
      </c>
      <c r="F215" s="40">
        <f>SUM(F216:F217)+16793</f>
        <v>16793</v>
      </c>
      <c r="G215" s="40">
        <f>SUM(G216:G217)+16793</f>
        <v>16793</v>
      </c>
      <c r="H215" s="40">
        <f t="shared" ref="H215:O215" si="139">SUM(H216:H217)</f>
        <v>0</v>
      </c>
      <c r="I215" s="40">
        <f t="shared" si="139"/>
        <v>0</v>
      </c>
      <c r="J215" s="40">
        <f t="shared" si="139"/>
        <v>0</v>
      </c>
      <c r="K215" s="40">
        <f t="shared" si="139"/>
        <v>0</v>
      </c>
      <c r="L215" s="40">
        <f t="shared" si="139"/>
        <v>0</v>
      </c>
      <c r="M215" s="40">
        <f t="shared" si="139"/>
        <v>0</v>
      </c>
      <c r="N215" s="40">
        <f t="shared" si="139"/>
        <v>0</v>
      </c>
      <c r="O215" s="40">
        <f t="shared" si="139"/>
        <v>0</v>
      </c>
      <c r="P215" s="40">
        <f>SUM(P216:P217)+16793</f>
        <v>16793</v>
      </c>
      <c r="Q215" s="40">
        <f>SUM(Q216:Q217)+16793</f>
        <v>16793</v>
      </c>
      <c r="R215" s="40">
        <f t="shared" ref="R215:Y215" si="140">SUM(R216:R217)</f>
        <v>0</v>
      </c>
      <c r="S215" s="40">
        <f t="shared" si="140"/>
        <v>0</v>
      </c>
      <c r="T215" s="40">
        <f t="shared" si="140"/>
        <v>0</v>
      </c>
      <c r="U215" s="40">
        <f t="shared" si="140"/>
        <v>0</v>
      </c>
      <c r="V215" s="40">
        <f t="shared" si="140"/>
        <v>0</v>
      </c>
      <c r="W215" s="40">
        <f t="shared" si="140"/>
        <v>0</v>
      </c>
      <c r="X215" s="40">
        <f t="shared" si="140"/>
        <v>0</v>
      </c>
      <c r="Y215" s="40">
        <f t="shared" si="140"/>
        <v>0</v>
      </c>
      <c r="Z215" s="39" t="s">
        <v>632</v>
      </c>
      <c r="AA215" s="41" t="s">
        <v>41</v>
      </c>
      <c r="AB215" s="42" t="s">
        <v>57</v>
      </c>
      <c r="AC215" s="42" t="s">
        <v>57</v>
      </c>
      <c r="AD215" s="43"/>
    </row>
    <row r="216" spans="1:30" ht="46.5" x14ac:dyDescent="0.25">
      <c r="A216" s="45"/>
      <c r="B216" s="46"/>
      <c r="C216" s="47"/>
      <c r="D216" s="47"/>
      <c r="E216" s="47"/>
      <c r="F216" s="48">
        <v>0</v>
      </c>
      <c r="G216" s="48">
        <v>0</v>
      </c>
      <c r="H216" s="48">
        <v>0</v>
      </c>
      <c r="I216" s="48">
        <v>0</v>
      </c>
      <c r="J216" s="48">
        <v>0</v>
      </c>
      <c r="K216" s="48">
        <v>0</v>
      </c>
      <c r="L216" s="48">
        <v>0</v>
      </c>
      <c r="M216" s="48">
        <v>0</v>
      </c>
      <c r="N216" s="48">
        <v>0</v>
      </c>
      <c r="O216" s="48">
        <v>0</v>
      </c>
      <c r="P216" s="48">
        <v>0</v>
      </c>
      <c r="Q216" s="48">
        <v>0</v>
      </c>
      <c r="R216" s="48">
        <v>0</v>
      </c>
      <c r="S216" s="48">
        <v>0</v>
      </c>
      <c r="T216" s="48">
        <v>0</v>
      </c>
      <c r="U216" s="48">
        <v>0</v>
      </c>
      <c r="V216" s="48">
        <v>0</v>
      </c>
      <c r="W216" s="48">
        <v>0</v>
      </c>
      <c r="X216" s="48">
        <v>0</v>
      </c>
      <c r="Y216" s="48">
        <v>0</v>
      </c>
      <c r="Z216" s="47" t="s">
        <v>633</v>
      </c>
      <c r="AA216" s="49" t="s">
        <v>41</v>
      </c>
      <c r="AB216" s="50" t="s">
        <v>42</v>
      </c>
      <c r="AC216" s="50" t="s">
        <v>56</v>
      </c>
      <c r="AD216" s="51" t="s">
        <v>634</v>
      </c>
    </row>
    <row r="217" spans="1:30" ht="69.75" x14ac:dyDescent="0.25">
      <c r="A217" s="37" t="s">
        <v>635</v>
      </c>
      <c r="B217" s="38" t="s">
        <v>636</v>
      </c>
      <c r="C217" s="39"/>
      <c r="D217" s="39"/>
      <c r="E217" s="39"/>
      <c r="F217" s="44">
        <v>0</v>
      </c>
      <c r="G217" s="44">
        <v>0</v>
      </c>
      <c r="H217" s="44">
        <v>0</v>
      </c>
      <c r="I217" s="44">
        <v>0</v>
      </c>
      <c r="J217" s="44">
        <v>0</v>
      </c>
      <c r="K217" s="44">
        <v>0</v>
      </c>
      <c r="L217" s="44">
        <v>0</v>
      </c>
      <c r="M217" s="44">
        <v>0</v>
      </c>
      <c r="N217" s="44">
        <v>0</v>
      </c>
      <c r="O217" s="44">
        <v>0</v>
      </c>
      <c r="P217" s="44">
        <v>0</v>
      </c>
      <c r="Q217" s="44">
        <v>0</v>
      </c>
      <c r="R217" s="44">
        <v>0</v>
      </c>
      <c r="S217" s="44">
        <v>0</v>
      </c>
      <c r="T217" s="44">
        <v>0</v>
      </c>
      <c r="U217" s="44">
        <v>0</v>
      </c>
      <c r="V217" s="44">
        <v>0</v>
      </c>
      <c r="W217" s="44">
        <v>0</v>
      </c>
      <c r="X217" s="44">
        <v>0</v>
      </c>
      <c r="Y217" s="44">
        <v>0</v>
      </c>
      <c r="Z217" s="39"/>
      <c r="AA217" s="41"/>
      <c r="AB217" s="42"/>
      <c r="AC217" s="42"/>
      <c r="AD217" s="43"/>
    </row>
    <row r="218" spans="1:30" ht="162.75" x14ac:dyDescent="0.25">
      <c r="A218" s="37" t="s">
        <v>637</v>
      </c>
      <c r="B218" s="38" t="s">
        <v>638</v>
      </c>
      <c r="C218" s="39"/>
      <c r="D218" s="39" t="s">
        <v>623</v>
      </c>
      <c r="E218" s="39" t="s">
        <v>17</v>
      </c>
      <c r="F218" s="40">
        <f>SUM(F219:F219)+18150</f>
        <v>18150</v>
      </c>
      <c r="G218" s="40">
        <f>SUM(G219:G219)+18150</f>
        <v>18150</v>
      </c>
      <c r="H218" s="40">
        <f t="shared" ref="H218:O218" si="141">SUM(H219:H219)</f>
        <v>0</v>
      </c>
      <c r="I218" s="40">
        <f t="shared" si="141"/>
        <v>0</v>
      </c>
      <c r="J218" s="40">
        <f t="shared" si="141"/>
        <v>0</v>
      </c>
      <c r="K218" s="40">
        <f t="shared" si="141"/>
        <v>0</v>
      </c>
      <c r="L218" s="40">
        <f t="shared" si="141"/>
        <v>0</v>
      </c>
      <c r="M218" s="40">
        <f t="shared" si="141"/>
        <v>0</v>
      </c>
      <c r="N218" s="40">
        <f t="shared" si="141"/>
        <v>0</v>
      </c>
      <c r="O218" s="40">
        <f t="shared" si="141"/>
        <v>0</v>
      </c>
      <c r="P218" s="40">
        <f>SUM(P219:P219)+18150</f>
        <v>18150</v>
      </c>
      <c r="Q218" s="40">
        <f>SUM(Q219:Q219)+18150</f>
        <v>18150</v>
      </c>
      <c r="R218" s="40">
        <f t="shared" ref="R218:Y218" si="142">SUM(R219:R219)</f>
        <v>0</v>
      </c>
      <c r="S218" s="40">
        <f t="shared" si="142"/>
        <v>0</v>
      </c>
      <c r="T218" s="40">
        <f t="shared" si="142"/>
        <v>0</v>
      </c>
      <c r="U218" s="40">
        <f t="shared" si="142"/>
        <v>0</v>
      </c>
      <c r="V218" s="40">
        <f t="shared" si="142"/>
        <v>0</v>
      </c>
      <c r="W218" s="40">
        <f t="shared" si="142"/>
        <v>0</v>
      </c>
      <c r="X218" s="40">
        <f t="shared" si="142"/>
        <v>0</v>
      </c>
      <c r="Y218" s="40">
        <f t="shared" si="142"/>
        <v>0</v>
      </c>
      <c r="Z218" s="39" t="s">
        <v>639</v>
      </c>
      <c r="AA218" s="41" t="s">
        <v>41</v>
      </c>
      <c r="AB218" s="42" t="s">
        <v>56</v>
      </c>
      <c r="AC218" s="42" t="s">
        <v>56</v>
      </c>
      <c r="AD218" s="43" t="s">
        <v>640</v>
      </c>
    </row>
    <row r="219" spans="1:30" ht="46.5" x14ac:dyDescent="0.25">
      <c r="A219" s="37" t="s">
        <v>641</v>
      </c>
      <c r="B219" s="38" t="s">
        <v>642</v>
      </c>
      <c r="C219" s="39"/>
      <c r="D219" s="39"/>
      <c r="E219" s="39"/>
      <c r="F219" s="44">
        <v>0</v>
      </c>
      <c r="G219" s="44">
        <v>0</v>
      </c>
      <c r="H219" s="44">
        <v>0</v>
      </c>
      <c r="I219" s="44">
        <v>0</v>
      </c>
      <c r="J219" s="44">
        <v>0</v>
      </c>
      <c r="K219" s="44">
        <v>0</v>
      </c>
      <c r="L219" s="44">
        <v>0</v>
      </c>
      <c r="M219" s="44">
        <v>0</v>
      </c>
      <c r="N219" s="44">
        <v>0</v>
      </c>
      <c r="O219" s="44">
        <v>0</v>
      </c>
      <c r="P219" s="44">
        <v>0</v>
      </c>
      <c r="Q219" s="44">
        <v>0</v>
      </c>
      <c r="R219" s="44">
        <v>0</v>
      </c>
      <c r="S219" s="44">
        <v>0</v>
      </c>
      <c r="T219" s="44">
        <v>0</v>
      </c>
      <c r="U219" s="44">
        <v>0</v>
      </c>
      <c r="V219" s="44">
        <v>0</v>
      </c>
      <c r="W219" s="44">
        <v>0</v>
      </c>
      <c r="X219" s="44">
        <v>0</v>
      </c>
      <c r="Y219" s="44">
        <v>0</v>
      </c>
      <c r="Z219" s="39"/>
      <c r="AA219" s="41"/>
      <c r="AB219" s="42"/>
      <c r="AC219" s="42"/>
      <c r="AD219" s="43"/>
    </row>
    <row r="220" spans="1:30" ht="46.5" x14ac:dyDescent="0.25">
      <c r="A220" s="37" t="s">
        <v>643</v>
      </c>
      <c r="B220" s="38" t="s">
        <v>644</v>
      </c>
      <c r="C220" s="39" t="s">
        <v>29</v>
      </c>
      <c r="D220" s="39" t="s">
        <v>623</v>
      </c>
      <c r="E220" s="39" t="s">
        <v>17</v>
      </c>
      <c r="F220" s="40">
        <f>SUM(F221:F221)+4720</f>
        <v>4720</v>
      </c>
      <c r="G220" s="40">
        <f>SUM(G221:G221)+4720</f>
        <v>4720</v>
      </c>
      <c r="H220" s="40">
        <f t="shared" ref="H220:O220" si="143">SUM(H221:H221)</f>
        <v>0</v>
      </c>
      <c r="I220" s="40">
        <f t="shared" si="143"/>
        <v>0</v>
      </c>
      <c r="J220" s="40">
        <f t="shared" si="143"/>
        <v>0</v>
      </c>
      <c r="K220" s="40">
        <f t="shared" si="143"/>
        <v>0</v>
      </c>
      <c r="L220" s="40">
        <f t="shared" si="143"/>
        <v>0</v>
      </c>
      <c r="M220" s="40">
        <f t="shared" si="143"/>
        <v>0</v>
      </c>
      <c r="N220" s="40">
        <f t="shared" si="143"/>
        <v>0</v>
      </c>
      <c r="O220" s="40">
        <f t="shared" si="143"/>
        <v>0</v>
      </c>
      <c r="P220" s="40">
        <f>SUM(P221:P221)+4720</f>
        <v>4720</v>
      </c>
      <c r="Q220" s="40">
        <f>SUM(Q221:Q221)+4720</f>
        <v>4720</v>
      </c>
      <c r="R220" s="40">
        <f t="shared" ref="R220:Y220" si="144">SUM(R221:R221)</f>
        <v>0</v>
      </c>
      <c r="S220" s="40">
        <f t="shared" si="144"/>
        <v>0</v>
      </c>
      <c r="T220" s="40">
        <f t="shared" si="144"/>
        <v>0</v>
      </c>
      <c r="U220" s="40">
        <f t="shared" si="144"/>
        <v>0</v>
      </c>
      <c r="V220" s="40">
        <f t="shared" si="144"/>
        <v>0</v>
      </c>
      <c r="W220" s="40">
        <f t="shared" si="144"/>
        <v>0</v>
      </c>
      <c r="X220" s="40">
        <f t="shared" si="144"/>
        <v>0</v>
      </c>
      <c r="Y220" s="40">
        <f t="shared" si="144"/>
        <v>0</v>
      </c>
      <c r="Z220" s="39" t="s">
        <v>645</v>
      </c>
      <c r="AA220" s="41" t="s">
        <v>41</v>
      </c>
      <c r="AB220" s="42" t="s">
        <v>42</v>
      </c>
      <c r="AC220" s="42" t="s">
        <v>42</v>
      </c>
      <c r="AD220" s="43"/>
    </row>
    <row r="221" spans="1:30" ht="46.5" x14ac:dyDescent="0.25">
      <c r="A221" s="37" t="s">
        <v>646</v>
      </c>
      <c r="B221" s="38" t="s">
        <v>647</v>
      </c>
      <c r="C221" s="39"/>
      <c r="D221" s="39"/>
      <c r="E221" s="39"/>
      <c r="F221" s="44">
        <v>0</v>
      </c>
      <c r="G221" s="44">
        <v>0</v>
      </c>
      <c r="H221" s="44">
        <v>0</v>
      </c>
      <c r="I221" s="44">
        <v>0</v>
      </c>
      <c r="J221" s="44">
        <v>0</v>
      </c>
      <c r="K221" s="44">
        <v>0</v>
      </c>
      <c r="L221" s="44">
        <v>0</v>
      </c>
      <c r="M221" s="44">
        <v>0</v>
      </c>
      <c r="N221" s="44">
        <v>0</v>
      </c>
      <c r="O221" s="44">
        <v>0</v>
      </c>
      <c r="P221" s="44">
        <v>0</v>
      </c>
      <c r="Q221" s="44">
        <v>0</v>
      </c>
      <c r="R221" s="44">
        <v>0</v>
      </c>
      <c r="S221" s="44">
        <v>0</v>
      </c>
      <c r="T221" s="44">
        <v>0</v>
      </c>
      <c r="U221" s="44">
        <v>0</v>
      </c>
      <c r="V221" s="44">
        <v>0</v>
      </c>
      <c r="W221" s="44">
        <v>0</v>
      </c>
      <c r="X221" s="44">
        <v>0</v>
      </c>
      <c r="Y221" s="44">
        <v>0</v>
      </c>
      <c r="Z221" s="39"/>
      <c r="AA221" s="41"/>
      <c r="AB221" s="42"/>
      <c r="AC221" s="42"/>
      <c r="AD221" s="43"/>
    </row>
    <row r="222" spans="1:30" ht="67.5" x14ac:dyDescent="0.25">
      <c r="A222" s="30" t="s">
        <v>648</v>
      </c>
      <c r="B222" s="31" t="s">
        <v>649</v>
      </c>
      <c r="C222" s="32"/>
      <c r="D222" s="32" t="s">
        <v>623</v>
      </c>
      <c r="E222" s="32" t="s">
        <v>39</v>
      </c>
      <c r="F222" s="33">
        <f t="shared" ref="F222:Y222" si="145">SUM(F223:F223)</f>
        <v>8146</v>
      </c>
      <c r="G222" s="33">
        <f t="shared" si="145"/>
        <v>8146</v>
      </c>
      <c r="H222" s="33">
        <f t="shared" si="145"/>
        <v>0</v>
      </c>
      <c r="I222" s="33">
        <f t="shared" si="145"/>
        <v>0</v>
      </c>
      <c r="J222" s="33">
        <f t="shared" si="145"/>
        <v>0</v>
      </c>
      <c r="K222" s="33">
        <f t="shared" si="145"/>
        <v>0</v>
      </c>
      <c r="L222" s="33">
        <f t="shared" si="145"/>
        <v>0</v>
      </c>
      <c r="M222" s="33">
        <f t="shared" si="145"/>
        <v>0</v>
      </c>
      <c r="N222" s="33">
        <f t="shared" si="145"/>
        <v>0</v>
      </c>
      <c r="O222" s="33">
        <f t="shared" si="145"/>
        <v>0</v>
      </c>
      <c r="P222" s="33">
        <f t="shared" si="145"/>
        <v>8145.51</v>
      </c>
      <c r="Q222" s="33">
        <f t="shared" si="145"/>
        <v>8145.51</v>
      </c>
      <c r="R222" s="33">
        <f t="shared" si="145"/>
        <v>0</v>
      </c>
      <c r="S222" s="33">
        <f t="shared" si="145"/>
        <v>0</v>
      </c>
      <c r="T222" s="33">
        <f t="shared" si="145"/>
        <v>0</v>
      </c>
      <c r="U222" s="33">
        <f t="shared" si="145"/>
        <v>0</v>
      </c>
      <c r="V222" s="33">
        <f t="shared" si="145"/>
        <v>0</v>
      </c>
      <c r="W222" s="33">
        <f t="shared" si="145"/>
        <v>0</v>
      </c>
      <c r="X222" s="33">
        <f t="shared" si="145"/>
        <v>0</v>
      </c>
      <c r="Y222" s="33">
        <f t="shared" si="145"/>
        <v>0</v>
      </c>
      <c r="Z222" s="32" t="s">
        <v>650</v>
      </c>
      <c r="AA222" s="34" t="s">
        <v>41</v>
      </c>
      <c r="AB222" s="35" t="s">
        <v>56</v>
      </c>
      <c r="AC222" s="35" t="s">
        <v>56</v>
      </c>
      <c r="AD222" s="36"/>
    </row>
    <row r="223" spans="1:30" ht="46.5" x14ac:dyDescent="0.25">
      <c r="A223" s="37" t="s">
        <v>651</v>
      </c>
      <c r="B223" s="38" t="s">
        <v>652</v>
      </c>
      <c r="C223" s="39" t="s">
        <v>29</v>
      </c>
      <c r="D223" s="39" t="s">
        <v>623</v>
      </c>
      <c r="E223" s="39" t="s">
        <v>46</v>
      </c>
      <c r="F223" s="40">
        <f>SUM(F224:F226)+8146</f>
        <v>8146</v>
      </c>
      <c r="G223" s="40">
        <f>SUM(G224:G226)+8146</f>
        <v>8146</v>
      </c>
      <c r="H223" s="40">
        <f t="shared" ref="H223:O223" si="146">SUM(H224:H226)</f>
        <v>0</v>
      </c>
      <c r="I223" s="40">
        <f t="shared" si="146"/>
        <v>0</v>
      </c>
      <c r="J223" s="40">
        <f t="shared" si="146"/>
        <v>0</v>
      </c>
      <c r="K223" s="40">
        <f t="shared" si="146"/>
        <v>0</v>
      </c>
      <c r="L223" s="40">
        <f t="shared" si="146"/>
        <v>0</v>
      </c>
      <c r="M223" s="40">
        <f t="shared" si="146"/>
        <v>0</v>
      </c>
      <c r="N223" s="40">
        <f t="shared" si="146"/>
        <v>0</v>
      </c>
      <c r="O223" s="40">
        <f t="shared" si="146"/>
        <v>0</v>
      </c>
      <c r="P223" s="40">
        <f>SUM(P224:P226)+8145.51</f>
        <v>8145.51</v>
      </c>
      <c r="Q223" s="40">
        <f>SUM(Q224:Q226)+8145.51</f>
        <v>8145.51</v>
      </c>
      <c r="R223" s="40">
        <f t="shared" ref="R223:Y223" si="147">SUM(R224:R226)</f>
        <v>0</v>
      </c>
      <c r="S223" s="40">
        <f t="shared" si="147"/>
        <v>0</v>
      </c>
      <c r="T223" s="40">
        <f t="shared" si="147"/>
        <v>0</v>
      </c>
      <c r="U223" s="40">
        <f t="shared" si="147"/>
        <v>0</v>
      </c>
      <c r="V223" s="40">
        <f t="shared" si="147"/>
        <v>0</v>
      </c>
      <c r="W223" s="40">
        <f t="shared" si="147"/>
        <v>0</v>
      </c>
      <c r="X223" s="40">
        <f t="shared" si="147"/>
        <v>0</v>
      </c>
      <c r="Y223" s="40">
        <f t="shared" si="147"/>
        <v>0</v>
      </c>
      <c r="Z223" s="39" t="s">
        <v>653</v>
      </c>
      <c r="AA223" s="41" t="s">
        <v>41</v>
      </c>
      <c r="AB223" s="42" t="s">
        <v>42</v>
      </c>
      <c r="AC223" s="42" t="s">
        <v>42</v>
      </c>
      <c r="AD223" s="43"/>
    </row>
    <row r="224" spans="1:30" x14ac:dyDescent="0.25">
      <c r="A224" s="45"/>
      <c r="B224" s="46"/>
      <c r="C224" s="47"/>
      <c r="D224" s="47"/>
      <c r="E224" s="47"/>
      <c r="F224" s="48">
        <v>0</v>
      </c>
      <c r="G224" s="48">
        <v>0</v>
      </c>
      <c r="H224" s="48">
        <v>0</v>
      </c>
      <c r="I224" s="48">
        <v>0</v>
      </c>
      <c r="J224" s="48">
        <v>0</v>
      </c>
      <c r="K224" s="48">
        <v>0</v>
      </c>
      <c r="L224" s="48">
        <v>0</v>
      </c>
      <c r="M224" s="48">
        <v>0</v>
      </c>
      <c r="N224" s="48">
        <v>0</v>
      </c>
      <c r="O224" s="48">
        <v>0</v>
      </c>
      <c r="P224" s="48">
        <v>0</v>
      </c>
      <c r="Q224" s="48">
        <v>0</v>
      </c>
      <c r="R224" s="48">
        <v>0</v>
      </c>
      <c r="S224" s="48">
        <v>0</v>
      </c>
      <c r="T224" s="48">
        <v>0</v>
      </c>
      <c r="U224" s="48">
        <v>0</v>
      </c>
      <c r="V224" s="48">
        <v>0</v>
      </c>
      <c r="W224" s="48">
        <v>0</v>
      </c>
      <c r="X224" s="48">
        <v>0</v>
      </c>
      <c r="Y224" s="48">
        <v>0</v>
      </c>
      <c r="Z224" s="47" t="s">
        <v>654</v>
      </c>
      <c r="AA224" s="49" t="s">
        <v>41</v>
      </c>
      <c r="AB224" s="50" t="s">
        <v>83</v>
      </c>
      <c r="AC224" s="50" t="s">
        <v>83</v>
      </c>
      <c r="AD224" s="51"/>
    </row>
    <row r="225" spans="1:30" ht="46.5" x14ac:dyDescent="0.25">
      <c r="A225" s="37" t="s">
        <v>655</v>
      </c>
      <c r="B225" s="38" t="s">
        <v>656</v>
      </c>
      <c r="C225" s="39"/>
      <c r="D225" s="39"/>
      <c r="E225" s="39"/>
      <c r="F225" s="44">
        <v>0</v>
      </c>
      <c r="G225" s="44">
        <v>0</v>
      </c>
      <c r="H225" s="44">
        <v>0</v>
      </c>
      <c r="I225" s="44">
        <v>0</v>
      </c>
      <c r="J225" s="44">
        <v>0</v>
      </c>
      <c r="K225" s="44">
        <v>0</v>
      </c>
      <c r="L225" s="44">
        <v>0</v>
      </c>
      <c r="M225" s="44">
        <v>0</v>
      </c>
      <c r="N225" s="44">
        <v>0</v>
      </c>
      <c r="O225" s="44">
        <v>0</v>
      </c>
      <c r="P225" s="44">
        <v>0</v>
      </c>
      <c r="Q225" s="44">
        <v>0</v>
      </c>
      <c r="R225" s="44">
        <v>0</v>
      </c>
      <c r="S225" s="44">
        <v>0</v>
      </c>
      <c r="T225" s="44">
        <v>0</v>
      </c>
      <c r="U225" s="44">
        <v>0</v>
      </c>
      <c r="V225" s="44">
        <v>0</v>
      </c>
      <c r="W225" s="44">
        <v>0</v>
      </c>
      <c r="X225" s="44">
        <v>0</v>
      </c>
      <c r="Y225" s="44">
        <v>0</v>
      </c>
      <c r="Z225" s="39"/>
      <c r="AA225" s="41"/>
      <c r="AB225" s="42"/>
      <c r="AC225" s="42"/>
      <c r="AD225" s="43"/>
    </row>
    <row r="226" spans="1:30" ht="46.5" x14ac:dyDescent="0.25">
      <c r="A226" s="37" t="s">
        <v>657</v>
      </c>
      <c r="B226" s="38" t="s">
        <v>658</v>
      </c>
      <c r="C226" s="39"/>
      <c r="D226" s="39"/>
      <c r="E226" s="39"/>
      <c r="F226" s="44">
        <v>0</v>
      </c>
      <c r="G226" s="44">
        <v>0</v>
      </c>
      <c r="H226" s="44">
        <v>0</v>
      </c>
      <c r="I226" s="44">
        <v>0</v>
      </c>
      <c r="J226" s="44">
        <v>0</v>
      </c>
      <c r="K226" s="44">
        <v>0</v>
      </c>
      <c r="L226" s="44">
        <v>0</v>
      </c>
      <c r="M226" s="44">
        <v>0</v>
      </c>
      <c r="N226" s="44">
        <v>0</v>
      </c>
      <c r="O226" s="44">
        <v>0</v>
      </c>
      <c r="P226" s="44">
        <v>0</v>
      </c>
      <c r="Q226" s="44">
        <v>0</v>
      </c>
      <c r="R226" s="44">
        <v>0</v>
      </c>
      <c r="S226" s="44">
        <v>0</v>
      </c>
      <c r="T226" s="44">
        <v>0</v>
      </c>
      <c r="U226" s="44">
        <v>0</v>
      </c>
      <c r="V226" s="44">
        <v>0</v>
      </c>
      <c r="W226" s="44">
        <v>0</v>
      </c>
      <c r="X226" s="44">
        <v>0</v>
      </c>
      <c r="Y226" s="44">
        <v>0</v>
      </c>
      <c r="Z226" s="39"/>
      <c r="AA226" s="41"/>
      <c r="AB226" s="42"/>
      <c r="AC226" s="42"/>
      <c r="AD226" s="43"/>
    </row>
    <row r="227" spans="1:30" ht="67.5" x14ac:dyDescent="0.25">
      <c r="A227" s="23" t="s">
        <v>659</v>
      </c>
      <c r="B227" s="24" t="s">
        <v>660</v>
      </c>
      <c r="C227" s="25"/>
      <c r="D227" s="25" t="s">
        <v>661</v>
      </c>
      <c r="E227" s="25"/>
      <c r="F227" s="26">
        <f t="shared" ref="F227:Y227" si="148">F228+F236</f>
        <v>26275</v>
      </c>
      <c r="G227" s="26">
        <f t="shared" si="148"/>
        <v>26275</v>
      </c>
      <c r="H227" s="26">
        <f t="shared" si="148"/>
        <v>0</v>
      </c>
      <c r="I227" s="26">
        <f t="shared" si="148"/>
        <v>0</v>
      </c>
      <c r="J227" s="26">
        <f t="shared" si="148"/>
        <v>0</v>
      </c>
      <c r="K227" s="26">
        <f t="shared" si="148"/>
        <v>0</v>
      </c>
      <c r="L227" s="26">
        <f t="shared" si="148"/>
        <v>0</v>
      </c>
      <c r="M227" s="26">
        <f t="shared" si="148"/>
        <v>0</v>
      </c>
      <c r="N227" s="26">
        <f t="shared" si="148"/>
        <v>0</v>
      </c>
      <c r="O227" s="26">
        <f t="shared" si="148"/>
        <v>0</v>
      </c>
      <c r="P227" s="26">
        <f t="shared" si="148"/>
        <v>26273.15</v>
      </c>
      <c r="Q227" s="26">
        <f t="shared" si="148"/>
        <v>26273.15</v>
      </c>
      <c r="R227" s="26">
        <f t="shared" si="148"/>
        <v>0</v>
      </c>
      <c r="S227" s="26">
        <f t="shared" si="148"/>
        <v>0</v>
      </c>
      <c r="T227" s="26">
        <f t="shared" si="148"/>
        <v>0</v>
      </c>
      <c r="U227" s="26">
        <f t="shared" si="148"/>
        <v>0</v>
      </c>
      <c r="V227" s="26">
        <f t="shared" si="148"/>
        <v>0</v>
      </c>
      <c r="W227" s="26">
        <f t="shared" si="148"/>
        <v>0</v>
      </c>
      <c r="X227" s="26">
        <f t="shared" si="148"/>
        <v>0</v>
      </c>
      <c r="Y227" s="26">
        <f t="shared" si="148"/>
        <v>0</v>
      </c>
      <c r="Z227" s="25" t="s">
        <v>662</v>
      </c>
      <c r="AA227" s="27" t="s">
        <v>35</v>
      </c>
      <c r="AB227" s="28" t="s">
        <v>162</v>
      </c>
      <c r="AC227" s="28" t="s">
        <v>162</v>
      </c>
      <c r="AD227" s="29"/>
    </row>
    <row r="228" spans="1:30" ht="67.5" x14ac:dyDescent="0.25">
      <c r="A228" s="30" t="s">
        <v>663</v>
      </c>
      <c r="B228" s="31" t="s">
        <v>664</v>
      </c>
      <c r="C228" s="32" t="s">
        <v>29</v>
      </c>
      <c r="D228" s="32" t="s">
        <v>661</v>
      </c>
      <c r="E228" s="32" t="s">
        <v>39</v>
      </c>
      <c r="F228" s="33">
        <f t="shared" ref="F228:Y228" si="149">F229+F230+F232+F234</f>
        <v>21775</v>
      </c>
      <c r="G228" s="33">
        <f t="shared" si="149"/>
        <v>21775</v>
      </c>
      <c r="H228" s="33">
        <f t="shared" si="149"/>
        <v>0</v>
      </c>
      <c r="I228" s="33">
        <f t="shared" si="149"/>
        <v>0</v>
      </c>
      <c r="J228" s="33">
        <f t="shared" si="149"/>
        <v>0</v>
      </c>
      <c r="K228" s="33">
        <f t="shared" si="149"/>
        <v>0</v>
      </c>
      <c r="L228" s="33">
        <f t="shared" si="149"/>
        <v>0</v>
      </c>
      <c r="M228" s="33">
        <f t="shared" si="149"/>
        <v>0</v>
      </c>
      <c r="N228" s="33">
        <f t="shared" si="149"/>
        <v>0</v>
      </c>
      <c r="O228" s="33">
        <f t="shared" si="149"/>
        <v>0</v>
      </c>
      <c r="P228" s="33">
        <f t="shared" si="149"/>
        <v>21773.620000000003</v>
      </c>
      <c r="Q228" s="33">
        <f t="shared" si="149"/>
        <v>21773.620000000003</v>
      </c>
      <c r="R228" s="33">
        <f t="shared" si="149"/>
        <v>0</v>
      </c>
      <c r="S228" s="33">
        <f t="shared" si="149"/>
        <v>0</v>
      </c>
      <c r="T228" s="33">
        <f t="shared" si="149"/>
        <v>0</v>
      </c>
      <c r="U228" s="33">
        <f t="shared" si="149"/>
        <v>0</v>
      </c>
      <c r="V228" s="33">
        <f t="shared" si="149"/>
        <v>0</v>
      </c>
      <c r="W228" s="33">
        <f t="shared" si="149"/>
        <v>0</v>
      </c>
      <c r="X228" s="33">
        <f t="shared" si="149"/>
        <v>0</v>
      </c>
      <c r="Y228" s="33">
        <f t="shared" si="149"/>
        <v>0</v>
      </c>
      <c r="Z228" s="32" t="s">
        <v>665</v>
      </c>
      <c r="AA228" s="34" t="s">
        <v>41</v>
      </c>
      <c r="AB228" s="35" t="s">
        <v>83</v>
      </c>
      <c r="AC228" s="35" t="s">
        <v>83</v>
      </c>
      <c r="AD228" s="36"/>
    </row>
    <row r="229" spans="1:30" x14ac:dyDescent="0.25">
      <c r="A229" s="45"/>
      <c r="B229" s="46"/>
      <c r="C229" s="47"/>
      <c r="D229" s="47"/>
      <c r="E229" s="47"/>
      <c r="F229" s="48">
        <v>0</v>
      </c>
      <c r="G229" s="48">
        <v>0</v>
      </c>
      <c r="H229" s="48">
        <v>0</v>
      </c>
      <c r="I229" s="48">
        <v>0</v>
      </c>
      <c r="J229" s="48">
        <v>0</v>
      </c>
      <c r="K229" s="48">
        <v>0</v>
      </c>
      <c r="L229" s="48">
        <v>0</v>
      </c>
      <c r="M229" s="48">
        <v>0</v>
      </c>
      <c r="N229" s="48">
        <v>0</v>
      </c>
      <c r="O229" s="48">
        <v>0</v>
      </c>
      <c r="P229" s="48">
        <v>0</v>
      </c>
      <c r="Q229" s="48">
        <v>0</v>
      </c>
      <c r="R229" s="48">
        <v>0</v>
      </c>
      <c r="S229" s="48">
        <v>0</v>
      </c>
      <c r="T229" s="48">
        <v>0</v>
      </c>
      <c r="U229" s="48">
        <v>0</v>
      </c>
      <c r="V229" s="48">
        <v>0</v>
      </c>
      <c r="W229" s="48">
        <v>0</v>
      </c>
      <c r="X229" s="48">
        <v>0</v>
      </c>
      <c r="Y229" s="48">
        <v>0</v>
      </c>
      <c r="Z229" s="47" t="s">
        <v>666</v>
      </c>
      <c r="AA229" s="49" t="s">
        <v>41</v>
      </c>
      <c r="AB229" s="50" t="s">
        <v>299</v>
      </c>
      <c r="AC229" s="50" t="s">
        <v>299</v>
      </c>
      <c r="AD229" s="51"/>
    </row>
    <row r="230" spans="1:30" ht="46.5" x14ac:dyDescent="0.25">
      <c r="A230" s="37" t="s">
        <v>667</v>
      </c>
      <c r="B230" s="38" t="s">
        <v>668</v>
      </c>
      <c r="C230" s="39" t="s">
        <v>29</v>
      </c>
      <c r="D230" s="39" t="s">
        <v>661</v>
      </c>
      <c r="E230" s="39" t="s">
        <v>46</v>
      </c>
      <c r="F230" s="40">
        <f>SUM(F231:F231)+12775</f>
        <v>12775</v>
      </c>
      <c r="G230" s="40">
        <f>SUM(G231:G231)+12775</f>
        <v>12775</v>
      </c>
      <c r="H230" s="40">
        <f t="shared" ref="H230:O230" si="150">SUM(H231:H231)</f>
        <v>0</v>
      </c>
      <c r="I230" s="40">
        <f t="shared" si="150"/>
        <v>0</v>
      </c>
      <c r="J230" s="40">
        <f t="shared" si="150"/>
        <v>0</v>
      </c>
      <c r="K230" s="40">
        <f t="shared" si="150"/>
        <v>0</v>
      </c>
      <c r="L230" s="40">
        <f t="shared" si="150"/>
        <v>0</v>
      </c>
      <c r="M230" s="40">
        <f t="shared" si="150"/>
        <v>0</v>
      </c>
      <c r="N230" s="40">
        <f t="shared" si="150"/>
        <v>0</v>
      </c>
      <c r="O230" s="40">
        <f t="shared" si="150"/>
        <v>0</v>
      </c>
      <c r="P230" s="40">
        <f>SUM(P231:P231)+12773.62</f>
        <v>12773.62</v>
      </c>
      <c r="Q230" s="40">
        <f>SUM(Q231:Q231)+12773.62</f>
        <v>12773.62</v>
      </c>
      <c r="R230" s="40">
        <f t="shared" ref="R230:Y230" si="151">SUM(R231:R231)</f>
        <v>0</v>
      </c>
      <c r="S230" s="40">
        <f t="shared" si="151"/>
        <v>0</v>
      </c>
      <c r="T230" s="40">
        <f t="shared" si="151"/>
        <v>0</v>
      </c>
      <c r="U230" s="40">
        <f t="shared" si="151"/>
        <v>0</v>
      </c>
      <c r="V230" s="40">
        <f t="shared" si="151"/>
        <v>0</v>
      </c>
      <c r="W230" s="40">
        <f t="shared" si="151"/>
        <v>0</v>
      </c>
      <c r="X230" s="40">
        <f t="shared" si="151"/>
        <v>0</v>
      </c>
      <c r="Y230" s="40">
        <f t="shared" si="151"/>
        <v>0</v>
      </c>
      <c r="Z230" s="39" t="s">
        <v>653</v>
      </c>
      <c r="AA230" s="41" t="s">
        <v>41</v>
      </c>
      <c r="AB230" s="42" t="s">
        <v>107</v>
      </c>
      <c r="AC230" s="42" t="s">
        <v>107</v>
      </c>
      <c r="AD230" s="43"/>
    </row>
    <row r="231" spans="1:30" ht="46.5" x14ac:dyDescent="0.25">
      <c r="A231" s="37" t="s">
        <v>669</v>
      </c>
      <c r="B231" s="38" t="s">
        <v>670</v>
      </c>
      <c r="C231" s="39"/>
      <c r="D231" s="39"/>
      <c r="E231" s="39"/>
      <c r="F231" s="44">
        <v>0</v>
      </c>
      <c r="G231" s="44">
        <v>0</v>
      </c>
      <c r="H231" s="44">
        <v>0</v>
      </c>
      <c r="I231" s="44">
        <v>0</v>
      </c>
      <c r="J231" s="44">
        <v>0</v>
      </c>
      <c r="K231" s="44">
        <v>0</v>
      </c>
      <c r="L231" s="44">
        <v>0</v>
      </c>
      <c r="M231" s="44">
        <v>0</v>
      </c>
      <c r="N231" s="44">
        <v>0</v>
      </c>
      <c r="O231" s="44">
        <v>0</v>
      </c>
      <c r="P231" s="44">
        <v>0</v>
      </c>
      <c r="Q231" s="44">
        <v>0</v>
      </c>
      <c r="R231" s="44">
        <v>0</v>
      </c>
      <c r="S231" s="44">
        <v>0</v>
      </c>
      <c r="T231" s="44">
        <v>0</v>
      </c>
      <c r="U231" s="44">
        <v>0</v>
      </c>
      <c r="V231" s="44">
        <v>0</v>
      </c>
      <c r="W231" s="44">
        <v>0</v>
      </c>
      <c r="X231" s="44">
        <v>0</v>
      </c>
      <c r="Y231" s="44">
        <v>0</v>
      </c>
      <c r="Z231" s="39"/>
      <c r="AA231" s="41"/>
      <c r="AB231" s="42"/>
      <c r="AC231" s="42"/>
      <c r="AD231" s="43"/>
    </row>
    <row r="232" spans="1:30" ht="46.5" x14ac:dyDescent="0.25">
      <c r="A232" s="37" t="s">
        <v>671</v>
      </c>
      <c r="B232" s="38" t="s">
        <v>672</v>
      </c>
      <c r="C232" s="39" t="s">
        <v>29</v>
      </c>
      <c r="D232" s="39" t="s">
        <v>661</v>
      </c>
      <c r="E232" s="39" t="s">
        <v>46</v>
      </c>
      <c r="F232" s="40">
        <f>SUM(F233:F233)+1000</f>
        <v>1000</v>
      </c>
      <c r="G232" s="40">
        <f>SUM(G233:G233)+1000</f>
        <v>1000</v>
      </c>
      <c r="H232" s="40">
        <f t="shared" ref="H232:O232" si="152">SUM(H233:H233)</f>
        <v>0</v>
      </c>
      <c r="I232" s="40">
        <f t="shared" si="152"/>
        <v>0</v>
      </c>
      <c r="J232" s="40">
        <f t="shared" si="152"/>
        <v>0</v>
      </c>
      <c r="K232" s="40">
        <f t="shared" si="152"/>
        <v>0</v>
      </c>
      <c r="L232" s="40">
        <f t="shared" si="152"/>
        <v>0</v>
      </c>
      <c r="M232" s="40">
        <f t="shared" si="152"/>
        <v>0</v>
      </c>
      <c r="N232" s="40">
        <f t="shared" si="152"/>
        <v>0</v>
      </c>
      <c r="O232" s="40">
        <f t="shared" si="152"/>
        <v>0</v>
      </c>
      <c r="P232" s="40">
        <f>SUM(P233:P233)+1000</f>
        <v>1000</v>
      </c>
      <c r="Q232" s="40">
        <f>SUM(Q233:Q233)+1000</f>
        <v>1000</v>
      </c>
      <c r="R232" s="40">
        <f t="shared" ref="R232:Y232" si="153">SUM(R233:R233)</f>
        <v>0</v>
      </c>
      <c r="S232" s="40">
        <f t="shared" si="153"/>
        <v>0</v>
      </c>
      <c r="T232" s="40">
        <f t="shared" si="153"/>
        <v>0</v>
      </c>
      <c r="U232" s="40">
        <f t="shared" si="153"/>
        <v>0</v>
      </c>
      <c r="V232" s="40">
        <f t="shared" si="153"/>
        <v>0</v>
      </c>
      <c r="W232" s="40">
        <f t="shared" si="153"/>
        <v>0</v>
      </c>
      <c r="X232" s="40">
        <f t="shared" si="153"/>
        <v>0</v>
      </c>
      <c r="Y232" s="40">
        <f t="shared" si="153"/>
        <v>0</v>
      </c>
      <c r="Z232" s="39" t="s">
        <v>673</v>
      </c>
      <c r="AA232" s="41" t="s">
        <v>41</v>
      </c>
      <c r="AB232" s="42" t="s">
        <v>56</v>
      </c>
      <c r="AC232" s="42" t="s">
        <v>56</v>
      </c>
      <c r="AD232" s="43"/>
    </row>
    <row r="233" spans="1:30" x14ac:dyDescent="0.25">
      <c r="A233" s="37" t="s">
        <v>674</v>
      </c>
      <c r="B233" s="38" t="s">
        <v>675</v>
      </c>
      <c r="C233" s="39"/>
      <c r="D233" s="39"/>
      <c r="E233" s="39"/>
      <c r="F233" s="44">
        <v>0</v>
      </c>
      <c r="G233" s="44">
        <v>0</v>
      </c>
      <c r="H233" s="44">
        <v>0</v>
      </c>
      <c r="I233" s="44">
        <v>0</v>
      </c>
      <c r="J233" s="44">
        <v>0</v>
      </c>
      <c r="K233" s="44">
        <v>0</v>
      </c>
      <c r="L233" s="44">
        <v>0</v>
      </c>
      <c r="M233" s="44">
        <v>0</v>
      </c>
      <c r="N233" s="44">
        <v>0</v>
      </c>
      <c r="O233" s="44">
        <v>0</v>
      </c>
      <c r="P233" s="44">
        <v>0</v>
      </c>
      <c r="Q233" s="44">
        <v>0</v>
      </c>
      <c r="R233" s="44">
        <v>0</v>
      </c>
      <c r="S233" s="44">
        <v>0</v>
      </c>
      <c r="T233" s="44">
        <v>0</v>
      </c>
      <c r="U233" s="44">
        <v>0</v>
      </c>
      <c r="V233" s="44">
        <v>0</v>
      </c>
      <c r="W233" s="44">
        <v>0</v>
      </c>
      <c r="X233" s="44">
        <v>0</v>
      </c>
      <c r="Y233" s="44">
        <v>0</v>
      </c>
      <c r="Z233" s="39"/>
      <c r="AA233" s="41"/>
      <c r="AB233" s="42"/>
      <c r="AC233" s="42"/>
      <c r="AD233" s="43"/>
    </row>
    <row r="234" spans="1:30" ht="69.75" x14ac:dyDescent="0.25">
      <c r="A234" s="37" t="s">
        <v>676</v>
      </c>
      <c r="B234" s="38" t="s">
        <v>677</v>
      </c>
      <c r="C234" s="39" t="s">
        <v>29</v>
      </c>
      <c r="D234" s="39" t="s">
        <v>661</v>
      </c>
      <c r="E234" s="39" t="s">
        <v>46</v>
      </c>
      <c r="F234" s="40">
        <f>SUM(F235:F235)+8000</f>
        <v>8000</v>
      </c>
      <c r="G234" s="40">
        <f>SUM(G235:G235)+8000</f>
        <v>8000</v>
      </c>
      <c r="H234" s="40">
        <f t="shared" ref="H234:O234" si="154">SUM(H235:H235)</f>
        <v>0</v>
      </c>
      <c r="I234" s="40">
        <f t="shared" si="154"/>
        <v>0</v>
      </c>
      <c r="J234" s="40">
        <f t="shared" si="154"/>
        <v>0</v>
      </c>
      <c r="K234" s="40">
        <f t="shared" si="154"/>
        <v>0</v>
      </c>
      <c r="L234" s="40">
        <f t="shared" si="154"/>
        <v>0</v>
      </c>
      <c r="M234" s="40">
        <f t="shared" si="154"/>
        <v>0</v>
      </c>
      <c r="N234" s="40">
        <f t="shared" si="154"/>
        <v>0</v>
      </c>
      <c r="O234" s="40">
        <f t="shared" si="154"/>
        <v>0</v>
      </c>
      <c r="P234" s="40">
        <f>SUM(P235:P235)+8000</f>
        <v>8000</v>
      </c>
      <c r="Q234" s="40">
        <f>SUM(Q235:Q235)+8000</f>
        <v>8000</v>
      </c>
      <c r="R234" s="40">
        <f t="shared" ref="R234:Y234" si="155">SUM(R235:R235)</f>
        <v>0</v>
      </c>
      <c r="S234" s="40">
        <f t="shared" si="155"/>
        <v>0</v>
      </c>
      <c r="T234" s="40">
        <f t="shared" si="155"/>
        <v>0</v>
      </c>
      <c r="U234" s="40">
        <f t="shared" si="155"/>
        <v>0</v>
      </c>
      <c r="V234" s="40">
        <f t="shared" si="155"/>
        <v>0</v>
      </c>
      <c r="W234" s="40">
        <f t="shared" si="155"/>
        <v>0</v>
      </c>
      <c r="X234" s="40">
        <f t="shared" si="155"/>
        <v>0</v>
      </c>
      <c r="Y234" s="40">
        <f t="shared" si="155"/>
        <v>0</v>
      </c>
      <c r="Z234" s="39" t="s">
        <v>678</v>
      </c>
      <c r="AA234" s="41" t="s">
        <v>41</v>
      </c>
      <c r="AB234" s="42" t="s">
        <v>42</v>
      </c>
      <c r="AC234" s="42" t="s">
        <v>56</v>
      </c>
      <c r="AD234" s="43" t="s">
        <v>679</v>
      </c>
    </row>
    <row r="235" spans="1:30" ht="46.5" x14ac:dyDescent="0.25">
      <c r="A235" s="37" t="s">
        <v>680</v>
      </c>
      <c r="B235" s="38" t="s">
        <v>681</v>
      </c>
      <c r="C235" s="39"/>
      <c r="D235" s="39"/>
      <c r="E235" s="39"/>
      <c r="F235" s="44">
        <v>0</v>
      </c>
      <c r="G235" s="44">
        <v>0</v>
      </c>
      <c r="H235" s="44">
        <v>0</v>
      </c>
      <c r="I235" s="44">
        <v>0</v>
      </c>
      <c r="J235" s="44">
        <v>0</v>
      </c>
      <c r="K235" s="44">
        <v>0</v>
      </c>
      <c r="L235" s="44">
        <v>0</v>
      </c>
      <c r="M235" s="44">
        <v>0</v>
      </c>
      <c r="N235" s="44">
        <v>0</v>
      </c>
      <c r="O235" s="44">
        <v>0</v>
      </c>
      <c r="P235" s="44">
        <v>0</v>
      </c>
      <c r="Q235" s="44">
        <v>0</v>
      </c>
      <c r="R235" s="44">
        <v>0</v>
      </c>
      <c r="S235" s="44">
        <v>0</v>
      </c>
      <c r="T235" s="44">
        <v>0</v>
      </c>
      <c r="U235" s="44">
        <v>0</v>
      </c>
      <c r="V235" s="44">
        <v>0</v>
      </c>
      <c r="W235" s="44">
        <v>0</v>
      </c>
      <c r="X235" s="44">
        <v>0</v>
      </c>
      <c r="Y235" s="44">
        <v>0</v>
      </c>
      <c r="Z235" s="39"/>
      <c r="AA235" s="41"/>
      <c r="AB235" s="42"/>
      <c r="AC235" s="42"/>
      <c r="AD235" s="43"/>
    </row>
    <row r="236" spans="1:30" ht="45" x14ac:dyDescent="0.25">
      <c r="A236" s="30" t="s">
        <v>682</v>
      </c>
      <c r="B236" s="31" t="s">
        <v>683</v>
      </c>
      <c r="C236" s="32"/>
      <c r="D236" s="32" t="s">
        <v>661</v>
      </c>
      <c r="E236" s="32" t="s">
        <v>39</v>
      </c>
      <c r="F236" s="33">
        <f t="shared" ref="F236:Y236" si="156">SUM(F237:F237)</f>
        <v>4500</v>
      </c>
      <c r="G236" s="33">
        <f t="shared" si="156"/>
        <v>4500</v>
      </c>
      <c r="H236" s="33">
        <f t="shared" si="156"/>
        <v>0</v>
      </c>
      <c r="I236" s="33">
        <f t="shared" si="156"/>
        <v>0</v>
      </c>
      <c r="J236" s="33">
        <f t="shared" si="156"/>
        <v>0</v>
      </c>
      <c r="K236" s="33">
        <f t="shared" si="156"/>
        <v>0</v>
      </c>
      <c r="L236" s="33">
        <f t="shared" si="156"/>
        <v>0</v>
      </c>
      <c r="M236" s="33">
        <f t="shared" si="156"/>
        <v>0</v>
      </c>
      <c r="N236" s="33">
        <f t="shared" si="156"/>
        <v>0</v>
      </c>
      <c r="O236" s="33">
        <f t="shared" si="156"/>
        <v>0</v>
      </c>
      <c r="P236" s="33">
        <f t="shared" si="156"/>
        <v>4499.53</v>
      </c>
      <c r="Q236" s="33">
        <f t="shared" si="156"/>
        <v>4499.53</v>
      </c>
      <c r="R236" s="33">
        <f t="shared" si="156"/>
        <v>0</v>
      </c>
      <c r="S236" s="33">
        <f t="shared" si="156"/>
        <v>0</v>
      </c>
      <c r="T236" s="33">
        <f t="shared" si="156"/>
        <v>0</v>
      </c>
      <c r="U236" s="33">
        <f t="shared" si="156"/>
        <v>0</v>
      </c>
      <c r="V236" s="33">
        <f t="shared" si="156"/>
        <v>0</v>
      </c>
      <c r="W236" s="33">
        <f t="shared" si="156"/>
        <v>0</v>
      </c>
      <c r="X236" s="33">
        <f t="shared" si="156"/>
        <v>0</v>
      </c>
      <c r="Y236" s="33">
        <f t="shared" si="156"/>
        <v>0</v>
      </c>
      <c r="Z236" s="32" t="s">
        <v>684</v>
      </c>
      <c r="AA236" s="34" t="s">
        <v>41</v>
      </c>
      <c r="AB236" s="35" t="s">
        <v>178</v>
      </c>
      <c r="AC236" s="35" t="s">
        <v>178</v>
      </c>
      <c r="AD236" s="36"/>
    </row>
    <row r="237" spans="1:30" ht="46.5" x14ac:dyDescent="0.25">
      <c r="A237" s="37" t="s">
        <v>685</v>
      </c>
      <c r="B237" s="38" t="s">
        <v>686</v>
      </c>
      <c r="C237" s="39" t="s">
        <v>29</v>
      </c>
      <c r="D237" s="39" t="s">
        <v>661</v>
      </c>
      <c r="E237" s="39" t="s">
        <v>46</v>
      </c>
      <c r="F237" s="40">
        <f>SUM(F238:F238)+4500</f>
        <v>4500</v>
      </c>
      <c r="G237" s="40">
        <f>SUM(G238:G238)+4500</f>
        <v>4500</v>
      </c>
      <c r="H237" s="40">
        <f t="shared" ref="H237:O237" si="157">SUM(H238:H238)</f>
        <v>0</v>
      </c>
      <c r="I237" s="40">
        <f t="shared" si="157"/>
        <v>0</v>
      </c>
      <c r="J237" s="40">
        <f t="shared" si="157"/>
        <v>0</v>
      </c>
      <c r="K237" s="40">
        <f t="shared" si="157"/>
        <v>0</v>
      </c>
      <c r="L237" s="40">
        <f t="shared" si="157"/>
        <v>0</v>
      </c>
      <c r="M237" s="40">
        <f t="shared" si="157"/>
        <v>0</v>
      </c>
      <c r="N237" s="40">
        <f t="shared" si="157"/>
        <v>0</v>
      </c>
      <c r="O237" s="40">
        <f t="shared" si="157"/>
        <v>0</v>
      </c>
      <c r="P237" s="40">
        <f>SUM(P238:P238)+4499.53</f>
        <v>4499.53</v>
      </c>
      <c r="Q237" s="40">
        <f>SUM(Q238:Q238)+4499.53</f>
        <v>4499.53</v>
      </c>
      <c r="R237" s="40">
        <f t="shared" ref="R237:Y237" si="158">SUM(R238:R238)</f>
        <v>0</v>
      </c>
      <c r="S237" s="40">
        <f t="shared" si="158"/>
        <v>0</v>
      </c>
      <c r="T237" s="40">
        <f t="shared" si="158"/>
        <v>0</v>
      </c>
      <c r="U237" s="40">
        <f t="shared" si="158"/>
        <v>0</v>
      </c>
      <c r="V237" s="40">
        <f t="shared" si="158"/>
        <v>0</v>
      </c>
      <c r="W237" s="40">
        <f t="shared" si="158"/>
        <v>0</v>
      </c>
      <c r="X237" s="40">
        <f t="shared" si="158"/>
        <v>0</v>
      </c>
      <c r="Y237" s="40">
        <f t="shared" si="158"/>
        <v>0</v>
      </c>
      <c r="Z237" s="39" t="s">
        <v>687</v>
      </c>
      <c r="AA237" s="41" t="s">
        <v>41</v>
      </c>
      <c r="AB237" s="42" t="s">
        <v>178</v>
      </c>
      <c r="AC237" s="42" t="s">
        <v>83</v>
      </c>
      <c r="AD237" s="43" t="s">
        <v>688</v>
      </c>
    </row>
    <row r="238" spans="1:30" x14ac:dyDescent="0.25">
      <c r="A238" s="37" t="s">
        <v>689</v>
      </c>
      <c r="B238" s="38" t="s">
        <v>690</v>
      </c>
      <c r="C238" s="39"/>
      <c r="D238" s="39"/>
      <c r="E238" s="39"/>
      <c r="F238" s="44">
        <v>0</v>
      </c>
      <c r="G238" s="44">
        <v>0</v>
      </c>
      <c r="H238" s="44">
        <v>0</v>
      </c>
      <c r="I238" s="44">
        <v>0</v>
      </c>
      <c r="J238" s="44">
        <v>0</v>
      </c>
      <c r="K238" s="44">
        <v>0</v>
      </c>
      <c r="L238" s="44">
        <v>0</v>
      </c>
      <c r="M238" s="44">
        <v>0</v>
      </c>
      <c r="N238" s="44">
        <v>0</v>
      </c>
      <c r="O238" s="44">
        <v>0</v>
      </c>
      <c r="P238" s="44">
        <v>0</v>
      </c>
      <c r="Q238" s="44">
        <v>0</v>
      </c>
      <c r="R238" s="44">
        <v>0</v>
      </c>
      <c r="S238" s="44">
        <v>0</v>
      </c>
      <c r="T238" s="44">
        <v>0</v>
      </c>
      <c r="U238" s="44">
        <v>0</v>
      </c>
      <c r="V238" s="44">
        <v>0</v>
      </c>
      <c r="W238" s="44">
        <v>0</v>
      </c>
      <c r="X238" s="44">
        <v>0</v>
      </c>
      <c r="Y238" s="44">
        <v>0</v>
      </c>
      <c r="Z238" s="39"/>
      <c r="AA238" s="41"/>
      <c r="AB238" s="42"/>
      <c r="AC238" s="42"/>
      <c r="AD238" s="43"/>
    </row>
    <row r="239" spans="1:30" ht="45" x14ac:dyDescent="0.25">
      <c r="A239" s="23" t="s">
        <v>691</v>
      </c>
      <c r="B239" s="24" t="s">
        <v>692</v>
      </c>
      <c r="C239" s="25" t="s">
        <v>693</v>
      </c>
      <c r="D239" s="25" t="s">
        <v>694</v>
      </c>
      <c r="E239" s="25"/>
      <c r="F239" s="26">
        <f t="shared" ref="F239:O240" si="159">SUM(F240:F240)</f>
        <v>35000</v>
      </c>
      <c r="G239" s="26">
        <f t="shared" si="159"/>
        <v>35000</v>
      </c>
      <c r="H239" s="26">
        <f t="shared" si="159"/>
        <v>0</v>
      </c>
      <c r="I239" s="26">
        <f t="shared" si="159"/>
        <v>0</v>
      </c>
      <c r="J239" s="26">
        <f t="shared" si="159"/>
        <v>0</v>
      </c>
      <c r="K239" s="26">
        <f t="shared" si="159"/>
        <v>0</v>
      </c>
      <c r="L239" s="26">
        <f t="shared" si="159"/>
        <v>0</v>
      </c>
      <c r="M239" s="26">
        <f t="shared" si="159"/>
        <v>0</v>
      </c>
      <c r="N239" s="26">
        <f t="shared" si="159"/>
        <v>0</v>
      </c>
      <c r="O239" s="26">
        <f t="shared" si="159"/>
        <v>0</v>
      </c>
      <c r="P239" s="26">
        <f t="shared" ref="P239:Y240" si="160">SUM(P240:P240)</f>
        <v>35000</v>
      </c>
      <c r="Q239" s="26">
        <f t="shared" si="160"/>
        <v>35000</v>
      </c>
      <c r="R239" s="26">
        <f t="shared" si="160"/>
        <v>0</v>
      </c>
      <c r="S239" s="26">
        <f t="shared" si="160"/>
        <v>0</v>
      </c>
      <c r="T239" s="26">
        <f t="shared" si="160"/>
        <v>0</v>
      </c>
      <c r="U239" s="26">
        <f t="shared" si="160"/>
        <v>0</v>
      </c>
      <c r="V239" s="26">
        <f t="shared" si="160"/>
        <v>0</v>
      </c>
      <c r="W239" s="26">
        <f t="shared" si="160"/>
        <v>0</v>
      </c>
      <c r="X239" s="26">
        <f t="shared" si="160"/>
        <v>0</v>
      </c>
      <c r="Y239" s="26">
        <f t="shared" si="160"/>
        <v>0</v>
      </c>
      <c r="Z239" s="25" t="s">
        <v>695</v>
      </c>
      <c r="AA239" s="27" t="s">
        <v>35</v>
      </c>
      <c r="AB239" s="28" t="s">
        <v>103</v>
      </c>
      <c r="AC239" s="28" t="s">
        <v>103</v>
      </c>
      <c r="AD239" s="29"/>
    </row>
    <row r="240" spans="1:30" ht="45" x14ac:dyDescent="0.25">
      <c r="A240" s="30" t="s">
        <v>696</v>
      </c>
      <c r="B240" s="31" t="s">
        <v>697</v>
      </c>
      <c r="C240" s="32" t="s">
        <v>693</v>
      </c>
      <c r="D240" s="32" t="s">
        <v>694</v>
      </c>
      <c r="E240" s="32" t="s">
        <v>39</v>
      </c>
      <c r="F240" s="33">
        <f t="shared" si="159"/>
        <v>35000</v>
      </c>
      <c r="G240" s="33">
        <f t="shared" si="159"/>
        <v>35000</v>
      </c>
      <c r="H240" s="33">
        <f t="shared" si="159"/>
        <v>0</v>
      </c>
      <c r="I240" s="33">
        <f t="shared" si="159"/>
        <v>0</v>
      </c>
      <c r="J240" s="33">
        <f t="shared" si="159"/>
        <v>0</v>
      </c>
      <c r="K240" s="33">
        <f t="shared" si="159"/>
        <v>0</v>
      </c>
      <c r="L240" s="33">
        <f t="shared" si="159"/>
        <v>0</v>
      </c>
      <c r="M240" s="33">
        <f t="shared" si="159"/>
        <v>0</v>
      </c>
      <c r="N240" s="33">
        <f t="shared" si="159"/>
        <v>0</v>
      </c>
      <c r="O240" s="33">
        <f t="shared" si="159"/>
        <v>0</v>
      </c>
      <c r="P240" s="33">
        <f t="shared" si="160"/>
        <v>35000</v>
      </c>
      <c r="Q240" s="33">
        <f t="shared" si="160"/>
        <v>35000</v>
      </c>
      <c r="R240" s="33">
        <f t="shared" si="160"/>
        <v>0</v>
      </c>
      <c r="S240" s="33">
        <f t="shared" si="160"/>
        <v>0</v>
      </c>
      <c r="T240" s="33">
        <f t="shared" si="160"/>
        <v>0</v>
      </c>
      <c r="U240" s="33">
        <f t="shared" si="160"/>
        <v>0</v>
      </c>
      <c r="V240" s="33">
        <f t="shared" si="160"/>
        <v>0</v>
      </c>
      <c r="W240" s="33">
        <f t="shared" si="160"/>
        <v>0</v>
      </c>
      <c r="X240" s="33">
        <f t="shared" si="160"/>
        <v>0</v>
      </c>
      <c r="Y240" s="33">
        <f t="shared" si="160"/>
        <v>0</v>
      </c>
      <c r="Z240" s="32" t="s">
        <v>698</v>
      </c>
      <c r="AA240" s="34" t="s">
        <v>41</v>
      </c>
      <c r="AB240" s="35" t="s">
        <v>83</v>
      </c>
      <c r="AC240" s="35" t="s">
        <v>83</v>
      </c>
      <c r="AD240" s="36"/>
    </row>
    <row r="241" spans="1:30" ht="46.5" x14ac:dyDescent="0.25">
      <c r="A241" s="37" t="s">
        <v>699</v>
      </c>
      <c r="B241" s="38" t="s">
        <v>700</v>
      </c>
      <c r="C241" s="39" t="s">
        <v>693</v>
      </c>
      <c r="D241" s="39" t="s">
        <v>694</v>
      </c>
      <c r="E241" s="39" t="s">
        <v>46</v>
      </c>
      <c r="F241" s="40">
        <f>SUM(F242:F248)+35000</f>
        <v>35000</v>
      </c>
      <c r="G241" s="40">
        <f>SUM(G242:G248)+35000</f>
        <v>35000</v>
      </c>
      <c r="H241" s="40">
        <f t="shared" ref="H241:O241" si="161">SUM(H242:H248)</f>
        <v>0</v>
      </c>
      <c r="I241" s="40">
        <f t="shared" si="161"/>
        <v>0</v>
      </c>
      <c r="J241" s="40">
        <f t="shared" si="161"/>
        <v>0</v>
      </c>
      <c r="K241" s="40">
        <f t="shared" si="161"/>
        <v>0</v>
      </c>
      <c r="L241" s="40">
        <f t="shared" si="161"/>
        <v>0</v>
      </c>
      <c r="M241" s="40">
        <f t="shared" si="161"/>
        <v>0</v>
      </c>
      <c r="N241" s="40">
        <f t="shared" si="161"/>
        <v>0</v>
      </c>
      <c r="O241" s="40">
        <f t="shared" si="161"/>
        <v>0</v>
      </c>
      <c r="P241" s="40">
        <f>SUM(P242:P248)+35000</f>
        <v>35000</v>
      </c>
      <c r="Q241" s="40">
        <f>SUM(Q242:Q248)+35000</f>
        <v>35000</v>
      </c>
      <c r="R241" s="40">
        <f t="shared" ref="R241:Y241" si="162">SUM(R242:R248)</f>
        <v>0</v>
      </c>
      <c r="S241" s="40">
        <f t="shared" si="162"/>
        <v>0</v>
      </c>
      <c r="T241" s="40">
        <f t="shared" si="162"/>
        <v>0</v>
      </c>
      <c r="U241" s="40">
        <f t="shared" si="162"/>
        <v>0</v>
      </c>
      <c r="V241" s="40">
        <f t="shared" si="162"/>
        <v>0</v>
      </c>
      <c r="W241" s="40">
        <f t="shared" si="162"/>
        <v>0</v>
      </c>
      <c r="X241" s="40">
        <f t="shared" si="162"/>
        <v>0</v>
      </c>
      <c r="Y241" s="40">
        <f t="shared" si="162"/>
        <v>0</v>
      </c>
      <c r="Z241" s="39" t="s">
        <v>701</v>
      </c>
      <c r="AA241" s="41" t="s">
        <v>41</v>
      </c>
      <c r="AB241" s="42" t="s">
        <v>178</v>
      </c>
      <c r="AC241" s="42" t="s">
        <v>178</v>
      </c>
      <c r="AD241" s="43"/>
    </row>
    <row r="242" spans="1:30" x14ac:dyDescent="0.25">
      <c r="A242" s="45"/>
      <c r="B242" s="46"/>
      <c r="C242" s="47"/>
      <c r="D242" s="47"/>
      <c r="E242" s="47"/>
      <c r="F242" s="48">
        <v>0</v>
      </c>
      <c r="G242" s="48">
        <v>0</v>
      </c>
      <c r="H242" s="48">
        <v>0</v>
      </c>
      <c r="I242" s="48">
        <v>0</v>
      </c>
      <c r="J242" s="48">
        <v>0</v>
      </c>
      <c r="K242" s="48">
        <v>0</v>
      </c>
      <c r="L242" s="48">
        <v>0</v>
      </c>
      <c r="M242" s="48">
        <v>0</v>
      </c>
      <c r="N242" s="48">
        <v>0</v>
      </c>
      <c r="O242" s="48">
        <v>0</v>
      </c>
      <c r="P242" s="48">
        <v>0</v>
      </c>
      <c r="Q242" s="48">
        <v>0</v>
      </c>
      <c r="R242" s="48">
        <v>0</v>
      </c>
      <c r="S242" s="48">
        <v>0</v>
      </c>
      <c r="T242" s="48">
        <v>0</v>
      </c>
      <c r="U242" s="48">
        <v>0</v>
      </c>
      <c r="V242" s="48">
        <v>0</v>
      </c>
      <c r="W242" s="48">
        <v>0</v>
      </c>
      <c r="X242" s="48">
        <v>0</v>
      </c>
      <c r="Y242" s="48">
        <v>0</v>
      </c>
      <c r="Z242" s="47" t="s">
        <v>702</v>
      </c>
      <c r="AA242" s="49" t="s">
        <v>41</v>
      </c>
      <c r="AB242" s="50" t="s">
        <v>107</v>
      </c>
      <c r="AC242" s="50" t="s">
        <v>107</v>
      </c>
      <c r="AD242" s="51"/>
    </row>
    <row r="243" spans="1:30" x14ac:dyDescent="0.25">
      <c r="A243" s="45"/>
      <c r="B243" s="46"/>
      <c r="C243" s="47"/>
      <c r="D243" s="47"/>
      <c r="E243" s="47"/>
      <c r="F243" s="48">
        <v>0</v>
      </c>
      <c r="G243" s="48">
        <v>0</v>
      </c>
      <c r="H243" s="48">
        <v>0</v>
      </c>
      <c r="I243" s="48">
        <v>0</v>
      </c>
      <c r="J243" s="48">
        <v>0</v>
      </c>
      <c r="K243" s="48">
        <v>0</v>
      </c>
      <c r="L243" s="48">
        <v>0</v>
      </c>
      <c r="M243" s="48">
        <v>0</v>
      </c>
      <c r="N243" s="48">
        <v>0</v>
      </c>
      <c r="O243" s="48">
        <v>0</v>
      </c>
      <c r="P243" s="48">
        <v>0</v>
      </c>
      <c r="Q243" s="48">
        <v>0</v>
      </c>
      <c r="R243" s="48">
        <v>0</v>
      </c>
      <c r="S243" s="48">
        <v>0</v>
      </c>
      <c r="T243" s="48">
        <v>0</v>
      </c>
      <c r="U243" s="48">
        <v>0</v>
      </c>
      <c r="V243" s="48">
        <v>0</v>
      </c>
      <c r="W243" s="48">
        <v>0</v>
      </c>
      <c r="X243" s="48">
        <v>0</v>
      </c>
      <c r="Y243" s="48">
        <v>0</v>
      </c>
      <c r="Z243" s="47" t="s">
        <v>703</v>
      </c>
      <c r="AA243" s="49" t="s">
        <v>41</v>
      </c>
      <c r="AB243" s="50" t="s">
        <v>42</v>
      </c>
      <c r="AC243" s="50" t="s">
        <v>42</v>
      </c>
      <c r="AD243" s="51"/>
    </row>
    <row r="244" spans="1:30" x14ac:dyDescent="0.25">
      <c r="A244" s="45"/>
      <c r="B244" s="46"/>
      <c r="C244" s="47"/>
      <c r="D244" s="47"/>
      <c r="E244" s="47"/>
      <c r="F244" s="48">
        <v>0</v>
      </c>
      <c r="G244" s="48">
        <v>0</v>
      </c>
      <c r="H244" s="48">
        <v>0</v>
      </c>
      <c r="I244" s="48">
        <v>0</v>
      </c>
      <c r="J244" s="48">
        <v>0</v>
      </c>
      <c r="K244" s="48">
        <v>0</v>
      </c>
      <c r="L244" s="48">
        <v>0</v>
      </c>
      <c r="M244" s="48">
        <v>0</v>
      </c>
      <c r="N244" s="48">
        <v>0</v>
      </c>
      <c r="O244" s="48">
        <v>0</v>
      </c>
      <c r="P244" s="48">
        <v>0</v>
      </c>
      <c r="Q244" s="48">
        <v>0</v>
      </c>
      <c r="R244" s="48">
        <v>0</v>
      </c>
      <c r="S244" s="48">
        <v>0</v>
      </c>
      <c r="T244" s="48">
        <v>0</v>
      </c>
      <c r="U244" s="48">
        <v>0</v>
      </c>
      <c r="V244" s="48">
        <v>0</v>
      </c>
      <c r="W244" s="48">
        <v>0</v>
      </c>
      <c r="X244" s="48">
        <v>0</v>
      </c>
      <c r="Y244" s="48">
        <v>0</v>
      </c>
      <c r="Z244" s="47" t="s">
        <v>704</v>
      </c>
      <c r="AA244" s="49" t="s">
        <v>41</v>
      </c>
      <c r="AB244" s="50" t="s">
        <v>42</v>
      </c>
      <c r="AC244" s="50" t="s">
        <v>42</v>
      </c>
      <c r="AD244" s="51"/>
    </row>
    <row r="245" spans="1:30" x14ac:dyDescent="0.25">
      <c r="A245" s="37" t="s">
        <v>705</v>
      </c>
      <c r="B245" s="38" t="s">
        <v>706</v>
      </c>
      <c r="C245" s="39"/>
      <c r="D245" s="39"/>
      <c r="E245" s="39"/>
      <c r="F245" s="44">
        <v>0</v>
      </c>
      <c r="G245" s="44">
        <v>0</v>
      </c>
      <c r="H245" s="44">
        <v>0</v>
      </c>
      <c r="I245" s="44">
        <v>0</v>
      </c>
      <c r="J245" s="44">
        <v>0</v>
      </c>
      <c r="K245" s="44">
        <v>0</v>
      </c>
      <c r="L245" s="44">
        <v>0</v>
      </c>
      <c r="M245" s="44">
        <v>0</v>
      </c>
      <c r="N245" s="44">
        <v>0</v>
      </c>
      <c r="O245" s="44">
        <v>0</v>
      </c>
      <c r="P245" s="44">
        <v>0</v>
      </c>
      <c r="Q245" s="44">
        <v>0</v>
      </c>
      <c r="R245" s="44">
        <v>0</v>
      </c>
      <c r="S245" s="44">
        <v>0</v>
      </c>
      <c r="T245" s="44">
        <v>0</v>
      </c>
      <c r="U245" s="44">
        <v>0</v>
      </c>
      <c r="V245" s="44">
        <v>0</v>
      </c>
      <c r="W245" s="44">
        <v>0</v>
      </c>
      <c r="X245" s="44">
        <v>0</v>
      </c>
      <c r="Y245" s="44">
        <v>0</v>
      </c>
      <c r="Z245" s="39"/>
      <c r="AA245" s="41"/>
      <c r="AB245" s="42"/>
      <c r="AC245" s="42"/>
      <c r="AD245" s="43"/>
    </row>
    <row r="246" spans="1:30" x14ac:dyDescent="0.25">
      <c r="A246" s="37" t="s">
        <v>707</v>
      </c>
      <c r="B246" s="38" t="s">
        <v>708</v>
      </c>
      <c r="C246" s="39"/>
      <c r="D246" s="39"/>
      <c r="E246" s="39"/>
      <c r="F246" s="44">
        <v>0</v>
      </c>
      <c r="G246" s="44">
        <v>0</v>
      </c>
      <c r="H246" s="44">
        <v>0</v>
      </c>
      <c r="I246" s="44">
        <v>0</v>
      </c>
      <c r="J246" s="44">
        <v>0</v>
      </c>
      <c r="K246" s="44">
        <v>0</v>
      </c>
      <c r="L246" s="44">
        <v>0</v>
      </c>
      <c r="M246" s="44">
        <v>0</v>
      </c>
      <c r="N246" s="44">
        <v>0</v>
      </c>
      <c r="O246" s="44">
        <v>0</v>
      </c>
      <c r="P246" s="44">
        <v>0</v>
      </c>
      <c r="Q246" s="44">
        <v>0</v>
      </c>
      <c r="R246" s="44">
        <v>0</v>
      </c>
      <c r="S246" s="44">
        <v>0</v>
      </c>
      <c r="T246" s="44">
        <v>0</v>
      </c>
      <c r="U246" s="44">
        <v>0</v>
      </c>
      <c r="V246" s="44">
        <v>0</v>
      </c>
      <c r="W246" s="44">
        <v>0</v>
      </c>
      <c r="X246" s="44">
        <v>0</v>
      </c>
      <c r="Y246" s="44">
        <v>0</v>
      </c>
      <c r="Z246" s="39"/>
      <c r="AA246" s="41"/>
      <c r="AB246" s="42"/>
      <c r="AC246" s="42"/>
      <c r="AD246" s="43"/>
    </row>
    <row r="247" spans="1:30" ht="46.5" x14ac:dyDescent="0.25">
      <c r="A247" s="37" t="s">
        <v>709</v>
      </c>
      <c r="B247" s="38" t="s">
        <v>710</v>
      </c>
      <c r="C247" s="39"/>
      <c r="D247" s="39"/>
      <c r="E247" s="39"/>
      <c r="F247" s="44">
        <v>0</v>
      </c>
      <c r="G247" s="44">
        <v>0</v>
      </c>
      <c r="H247" s="44">
        <v>0</v>
      </c>
      <c r="I247" s="44">
        <v>0</v>
      </c>
      <c r="J247" s="44">
        <v>0</v>
      </c>
      <c r="K247" s="44">
        <v>0</v>
      </c>
      <c r="L247" s="44">
        <v>0</v>
      </c>
      <c r="M247" s="44">
        <v>0</v>
      </c>
      <c r="N247" s="44">
        <v>0</v>
      </c>
      <c r="O247" s="44">
        <v>0</v>
      </c>
      <c r="P247" s="44">
        <v>0</v>
      </c>
      <c r="Q247" s="44">
        <v>0</v>
      </c>
      <c r="R247" s="44">
        <v>0</v>
      </c>
      <c r="S247" s="44">
        <v>0</v>
      </c>
      <c r="T247" s="44">
        <v>0</v>
      </c>
      <c r="U247" s="44">
        <v>0</v>
      </c>
      <c r="V247" s="44">
        <v>0</v>
      </c>
      <c r="W247" s="44">
        <v>0</v>
      </c>
      <c r="X247" s="44">
        <v>0</v>
      </c>
      <c r="Y247" s="44">
        <v>0</v>
      </c>
      <c r="Z247" s="39"/>
      <c r="AA247" s="41"/>
      <c r="AB247" s="42"/>
      <c r="AC247" s="42"/>
      <c r="AD247" s="43"/>
    </row>
    <row r="248" spans="1:30" ht="46.5" x14ac:dyDescent="0.25">
      <c r="A248" s="37" t="s">
        <v>711</v>
      </c>
      <c r="B248" s="38" t="s">
        <v>712</v>
      </c>
      <c r="C248" s="39"/>
      <c r="D248" s="39"/>
      <c r="E248" s="39"/>
      <c r="F248" s="44">
        <v>0</v>
      </c>
      <c r="G248" s="44">
        <v>0</v>
      </c>
      <c r="H248" s="44">
        <v>0</v>
      </c>
      <c r="I248" s="44">
        <v>0</v>
      </c>
      <c r="J248" s="44">
        <v>0</v>
      </c>
      <c r="K248" s="44">
        <v>0</v>
      </c>
      <c r="L248" s="44">
        <v>0</v>
      </c>
      <c r="M248" s="44">
        <v>0</v>
      </c>
      <c r="N248" s="44">
        <v>0</v>
      </c>
      <c r="O248" s="44">
        <v>0</v>
      </c>
      <c r="P248" s="44">
        <v>0</v>
      </c>
      <c r="Q248" s="44">
        <v>0</v>
      </c>
      <c r="R248" s="44">
        <v>0</v>
      </c>
      <c r="S248" s="44">
        <v>0</v>
      </c>
      <c r="T248" s="44">
        <v>0</v>
      </c>
      <c r="U248" s="44">
        <v>0</v>
      </c>
      <c r="V248" s="44">
        <v>0</v>
      </c>
      <c r="W248" s="44">
        <v>0</v>
      </c>
      <c r="X248" s="44">
        <v>0</v>
      </c>
      <c r="Y248" s="44">
        <v>0</v>
      </c>
      <c r="Z248" s="39"/>
      <c r="AA248" s="41"/>
      <c r="AB248" s="42"/>
      <c r="AC248" s="42"/>
      <c r="AD248" s="43"/>
    </row>
    <row r="249" spans="1:30" ht="67.5" x14ac:dyDescent="0.25">
      <c r="A249" s="23" t="s">
        <v>713</v>
      </c>
      <c r="B249" s="24" t="s">
        <v>714</v>
      </c>
      <c r="C249" s="25" t="s">
        <v>693</v>
      </c>
      <c r="D249" s="25" t="s">
        <v>694</v>
      </c>
      <c r="E249" s="25"/>
      <c r="F249" s="26">
        <f t="shared" ref="F249:Y249" si="163">SUM(F250:F250)</f>
        <v>15000</v>
      </c>
      <c r="G249" s="26">
        <f t="shared" si="163"/>
        <v>15000</v>
      </c>
      <c r="H249" s="26">
        <f t="shared" si="163"/>
        <v>0</v>
      </c>
      <c r="I249" s="26">
        <f t="shared" si="163"/>
        <v>0</v>
      </c>
      <c r="J249" s="26">
        <f t="shared" si="163"/>
        <v>0</v>
      </c>
      <c r="K249" s="26">
        <f t="shared" si="163"/>
        <v>0</v>
      </c>
      <c r="L249" s="26">
        <f t="shared" si="163"/>
        <v>0</v>
      </c>
      <c r="M249" s="26">
        <f t="shared" si="163"/>
        <v>0</v>
      </c>
      <c r="N249" s="26">
        <f t="shared" si="163"/>
        <v>0</v>
      </c>
      <c r="O249" s="26">
        <f t="shared" si="163"/>
        <v>0</v>
      </c>
      <c r="P249" s="26">
        <f t="shared" si="163"/>
        <v>15000</v>
      </c>
      <c r="Q249" s="26">
        <f t="shared" si="163"/>
        <v>15000</v>
      </c>
      <c r="R249" s="26">
        <f t="shared" si="163"/>
        <v>0</v>
      </c>
      <c r="S249" s="26">
        <f t="shared" si="163"/>
        <v>0</v>
      </c>
      <c r="T249" s="26">
        <f t="shared" si="163"/>
        <v>0</v>
      </c>
      <c r="U249" s="26">
        <f t="shared" si="163"/>
        <v>0</v>
      </c>
      <c r="V249" s="26">
        <f t="shared" si="163"/>
        <v>0</v>
      </c>
      <c r="W249" s="26">
        <f t="shared" si="163"/>
        <v>0</v>
      </c>
      <c r="X249" s="26">
        <f t="shared" si="163"/>
        <v>0</v>
      </c>
      <c r="Y249" s="26">
        <f t="shared" si="163"/>
        <v>0</v>
      </c>
      <c r="Z249" s="25" t="s">
        <v>662</v>
      </c>
      <c r="AA249" s="27" t="s">
        <v>35</v>
      </c>
      <c r="AB249" s="28" t="s">
        <v>162</v>
      </c>
      <c r="AC249" s="28" t="s">
        <v>162</v>
      </c>
      <c r="AD249" s="29"/>
    </row>
    <row r="250" spans="1:30" ht="67.5" x14ac:dyDescent="0.25">
      <c r="A250" s="30" t="s">
        <v>715</v>
      </c>
      <c r="B250" s="31" t="s">
        <v>716</v>
      </c>
      <c r="C250" s="32" t="s">
        <v>693</v>
      </c>
      <c r="D250" s="32" t="s">
        <v>694</v>
      </c>
      <c r="E250" s="32" t="s">
        <v>39</v>
      </c>
      <c r="F250" s="33">
        <f t="shared" ref="F250:Y250" si="164">SUM(F251:F253)</f>
        <v>15000</v>
      </c>
      <c r="G250" s="33">
        <f t="shared" si="164"/>
        <v>15000</v>
      </c>
      <c r="H250" s="33">
        <f t="shared" si="164"/>
        <v>0</v>
      </c>
      <c r="I250" s="33">
        <f t="shared" si="164"/>
        <v>0</v>
      </c>
      <c r="J250" s="33">
        <f t="shared" si="164"/>
        <v>0</v>
      </c>
      <c r="K250" s="33">
        <f t="shared" si="164"/>
        <v>0</v>
      </c>
      <c r="L250" s="33">
        <f t="shared" si="164"/>
        <v>0</v>
      </c>
      <c r="M250" s="33">
        <f t="shared" si="164"/>
        <v>0</v>
      </c>
      <c r="N250" s="33">
        <f t="shared" si="164"/>
        <v>0</v>
      </c>
      <c r="O250" s="33">
        <f t="shared" si="164"/>
        <v>0</v>
      </c>
      <c r="P250" s="33">
        <f t="shared" si="164"/>
        <v>15000</v>
      </c>
      <c r="Q250" s="33">
        <f t="shared" si="164"/>
        <v>15000</v>
      </c>
      <c r="R250" s="33">
        <f t="shared" si="164"/>
        <v>0</v>
      </c>
      <c r="S250" s="33">
        <f t="shared" si="164"/>
        <v>0</v>
      </c>
      <c r="T250" s="33">
        <f t="shared" si="164"/>
        <v>0</v>
      </c>
      <c r="U250" s="33">
        <f t="shared" si="164"/>
        <v>0</v>
      </c>
      <c r="V250" s="33">
        <f t="shared" si="164"/>
        <v>0</v>
      </c>
      <c r="W250" s="33">
        <f t="shared" si="164"/>
        <v>0</v>
      </c>
      <c r="X250" s="33">
        <f t="shared" si="164"/>
        <v>0</v>
      </c>
      <c r="Y250" s="33">
        <f t="shared" si="164"/>
        <v>0</v>
      </c>
      <c r="Z250" s="32" t="s">
        <v>717</v>
      </c>
      <c r="AA250" s="34" t="s">
        <v>35</v>
      </c>
      <c r="AB250" s="35" t="s">
        <v>178</v>
      </c>
      <c r="AC250" s="35" t="s">
        <v>178</v>
      </c>
      <c r="AD250" s="36"/>
    </row>
    <row r="251" spans="1:30" x14ac:dyDescent="0.25">
      <c r="A251" s="45"/>
      <c r="B251" s="46"/>
      <c r="C251" s="47"/>
      <c r="D251" s="47"/>
      <c r="E251" s="47"/>
      <c r="F251" s="48">
        <v>0</v>
      </c>
      <c r="G251" s="48">
        <v>0</v>
      </c>
      <c r="H251" s="48">
        <v>0</v>
      </c>
      <c r="I251" s="48">
        <v>0</v>
      </c>
      <c r="J251" s="48">
        <v>0</v>
      </c>
      <c r="K251" s="48">
        <v>0</v>
      </c>
      <c r="L251" s="48">
        <v>0</v>
      </c>
      <c r="M251" s="48">
        <v>0</v>
      </c>
      <c r="N251" s="48">
        <v>0</v>
      </c>
      <c r="O251" s="48">
        <v>0</v>
      </c>
      <c r="P251" s="48">
        <v>0</v>
      </c>
      <c r="Q251" s="48">
        <v>0</v>
      </c>
      <c r="R251" s="48">
        <v>0</v>
      </c>
      <c r="S251" s="48">
        <v>0</v>
      </c>
      <c r="T251" s="48">
        <v>0</v>
      </c>
      <c r="U251" s="48">
        <v>0</v>
      </c>
      <c r="V251" s="48">
        <v>0</v>
      </c>
      <c r="W251" s="48">
        <v>0</v>
      </c>
      <c r="X251" s="48">
        <v>0</v>
      </c>
      <c r="Y251" s="48">
        <v>0</v>
      </c>
      <c r="Z251" s="47" t="s">
        <v>718</v>
      </c>
      <c r="AA251" s="49" t="s">
        <v>41</v>
      </c>
      <c r="AB251" s="50" t="s">
        <v>56</v>
      </c>
      <c r="AC251" s="50" t="s">
        <v>56</v>
      </c>
      <c r="AD251" s="51"/>
    </row>
    <row r="252" spans="1:30" ht="46.5" x14ac:dyDescent="0.25">
      <c r="A252" s="45"/>
      <c r="B252" s="46"/>
      <c r="C252" s="47"/>
      <c r="D252" s="47"/>
      <c r="E252" s="47"/>
      <c r="F252" s="48">
        <v>0</v>
      </c>
      <c r="G252" s="48">
        <v>0</v>
      </c>
      <c r="H252" s="48">
        <v>0</v>
      </c>
      <c r="I252" s="48">
        <v>0</v>
      </c>
      <c r="J252" s="48">
        <v>0</v>
      </c>
      <c r="K252" s="48">
        <v>0</v>
      </c>
      <c r="L252" s="48">
        <v>0</v>
      </c>
      <c r="M252" s="48">
        <v>0</v>
      </c>
      <c r="N252" s="48">
        <v>0</v>
      </c>
      <c r="O252" s="48">
        <v>0</v>
      </c>
      <c r="P252" s="48">
        <v>0</v>
      </c>
      <c r="Q252" s="48">
        <v>0</v>
      </c>
      <c r="R252" s="48">
        <v>0</v>
      </c>
      <c r="S252" s="48">
        <v>0</v>
      </c>
      <c r="T252" s="48">
        <v>0</v>
      </c>
      <c r="U252" s="48">
        <v>0</v>
      </c>
      <c r="V252" s="48">
        <v>0</v>
      </c>
      <c r="W252" s="48">
        <v>0</v>
      </c>
      <c r="X252" s="48">
        <v>0</v>
      </c>
      <c r="Y252" s="48">
        <v>0</v>
      </c>
      <c r="Z252" s="47" t="s">
        <v>719</v>
      </c>
      <c r="AA252" s="49" t="s">
        <v>41</v>
      </c>
      <c r="AB252" s="50" t="s">
        <v>82</v>
      </c>
      <c r="AC252" s="50" t="s">
        <v>82</v>
      </c>
      <c r="AD252" s="51"/>
    </row>
    <row r="253" spans="1:30" ht="162.75" x14ac:dyDescent="0.25">
      <c r="A253" s="37" t="s">
        <v>720</v>
      </c>
      <c r="B253" s="38" t="s">
        <v>721</v>
      </c>
      <c r="C253" s="39" t="s">
        <v>693</v>
      </c>
      <c r="D253" s="39" t="s">
        <v>694</v>
      </c>
      <c r="E253" s="39" t="s">
        <v>46</v>
      </c>
      <c r="F253" s="40">
        <f>SUM(F254:F260)+15000</f>
        <v>15000</v>
      </c>
      <c r="G253" s="40">
        <f>SUM(G254:G260)+15000</f>
        <v>15000</v>
      </c>
      <c r="H253" s="40">
        <f t="shared" ref="H253:O253" si="165">SUM(H254:H260)</f>
        <v>0</v>
      </c>
      <c r="I253" s="40">
        <f t="shared" si="165"/>
        <v>0</v>
      </c>
      <c r="J253" s="40">
        <f t="shared" si="165"/>
        <v>0</v>
      </c>
      <c r="K253" s="40">
        <f t="shared" si="165"/>
        <v>0</v>
      </c>
      <c r="L253" s="40">
        <f t="shared" si="165"/>
        <v>0</v>
      </c>
      <c r="M253" s="40">
        <f t="shared" si="165"/>
        <v>0</v>
      </c>
      <c r="N253" s="40">
        <f t="shared" si="165"/>
        <v>0</v>
      </c>
      <c r="O253" s="40">
        <f t="shared" si="165"/>
        <v>0</v>
      </c>
      <c r="P253" s="40">
        <f>SUM(P254:P260)+15000</f>
        <v>15000</v>
      </c>
      <c r="Q253" s="40">
        <f>SUM(Q254:Q260)+15000</f>
        <v>15000</v>
      </c>
      <c r="R253" s="40">
        <f t="shared" ref="R253:Y253" si="166">SUM(R254:R260)</f>
        <v>0</v>
      </c>
      <c r="S253" s="40">
        <f t="shared" si="166"/>
        <v>0</v>
      </c>
      <c r="T253" s="40">
        <f t="shared" si="166"/>
        <v>0</v>
      </c>
      <c r="U253" s="40">
        <f t="shared" si="166"/>
        <v>0</v>
      </c>
      <c r="V253" s="40">
        <f t="shared" si="166"/>
        <v>0</v>
      </c>
      <c r="W253" s="40">
        <f t="shared" si="166"/>
        <v>0</v>
      </c>
      <c r="X253" s="40">
        <f t="shared" si="166"/>
        <v>0</v>
      </c>
      <c r="Y253" s="40">
        <f t="shared" si="166"/>
        <v>0</v>
      </c>
      <c r="Z253" s="39" t="s">
        <v>722</v>
      </c>
      <c r="AA253" s="41" t="s">
        <v>41</v>
      </c>
      <c r="AB253" s="42" t="s">
        <v>723</v>
      </c>
      <c r="AC253" s="42" t="s">
        <v>724</v>
      </c>
      <c r="AD253" s="43" t="s">
        <v>725</v>
      </c>
    </row>
    <row r="254" spans="1:30" x14ac:dyDescent="0.25">
      <c r="A254" s="45"/>
      <c r="B254" s="46"/>
      <c r="C254" s="47"/>
      <c r="D254" s="47"/>
      <c r="E254" s="47"/>
      <c r="F254" s="48">
        <v>0</v>
      </c>
      <c r="G254" s="48">
        <v>0</v>
      </c>
      <c r="H254" s="48">
        <v>0</v>
      </c>
      <c r="I254" s="48">
        <v>0</v>
      </c>
      <c r="J254" s="48">
        <v>0</v>
      </c>
      <c r="K254" s="48">
        <v>0</v>
      </c>
      <c r="L254" s="48">
        <v>0</v>
      </c>
      <c r="M254" s="48">
        <v>0</v>
      </c>
      <c r="N254" s="48">
        <v>0</v>
      </c>
      <c r="O254" s="48">
        <v>0</v>
      </c>
      <c r="P254" s="48">
        <v>0</v>
      </c>
      <c r="Q254" s="48">
        <v>0</v>
      </c>
      <c r="R254" s="48">
        <v>0</v>
      </c>
      <c r="S254" s="48">
        <v>0</v>
      </c>
      <c r="T254" s="48">
        <v>0</v>
      </c>
      <c r="U254" s="48">
        <v>0</v>
      </c>
      <c r="V254" s="48">
        <v>0</v>
      </c>
      <c r="W254" s="48">
        <v>0</v>
      </c>
      <c r="X254" s="48">
        <v>0</v>
      </c>
      <c r="Y254" s="48">
        <v>0</v>
      </c>
      <c r="Z254" s="47" t="s">
        <v>726</v>
      </c>
      <c r="AA254" s="49" t="s">
        <v>41</v>
      </c>
      <c r="AB254" s="50" t="s">
        <v>83</v>
      </c>
      <c r="AC254" s="50" t="s">
        <v>83</v>
      </c>
      <c r="AD254" s="51"/>
    </row>
    <row r="255" spans="1:30" x14ac:dyDescent="0.25">
      <c r="A255" s="45"/>
      <c r="B255" s="46"/>
      <c r="C255" s="47"/>
      <c r="D255" s="47"/>
      <c r="E255" s="47"/>
      <c r="F255" s="48">
        <v>0</v>
      </c>
      <c r="G255" s="48">
        <v>0</v>
      </c>
      <c r="H255" s="48">
        <v>0</v>
      </c>
      <c r="I255" s="48">
        <v>0</v>
      </c>
      <c r="J255" s="48">
        <v>0</v>
      </c>
      <c r="K255" s="48">
        <v>0</v>
      </c>
      <c r="L255" s="48">
        <v>0</v>
      </c>
      <c r="M255" s="48">
        <v>0</v>
      </c>
      <c r="N255" s="48">
        <v>0</v>
      </c>
      <c r="O255" s="48">
        <v>0</v>
      </c>
      <c r="P255" s="48">
        <v>0</v>
      </c>
      <c r="Q255" s="48">
        <v>0</v>
      </c>
      <c r="R255" s="48">
        <v>0</v>
      </c>
      <c r="S255" s="48">
        <v>0</v>
      </c>
      <c r="T255" s="48">
        <v>0</v>
      </c>
      <c r="U255" s="48">
        <v>0</v>
      </c>
      <c r="V255" s="48">
        <v>0</v>
      </c>
      <c r="W255" s="48">
        <v>0</v>
      </c>
      <c r="X255" s="48">
        <v>0</v>
      </c>
      <c r="Y255" s="48">
        <v>0</v>
      </c>
      <c r="Z255" s="47" t="s">
        <v>727</v>
      </c>
      <c r="AA255" s="49" t="s">
        <v>41</v>
      </c>
      <c r="AB255" s="50" t="s">
        <v>83</v>
      </c>
      <c r="AC255" s="50" t="s">
        <v>83</v>
      </c>
      <c r="AD255" s="51"/>
    </row>
    <row r="256" spans="1:30" ht="46.5" x14ac:dyDescent="0.25">
      <c r="A256" s="45"/>
      <c r="B256" s="46"/>
      <c r="C256" s="47"/>
      <c r="D256" s="47"/>
      <c r="E256" s="47"/>
      <c r="F256" s="48">
        <v>0</v>
      </c>
      <c r="G256" s="48">
        <v>0</v>
      </c>
      <c r="H256" s="48">
        <v>0</v>
      </c>
      <c r="I256" s="48">
        <v>0</v>
      </c>
      <c r="J256" s="48">
        <v>0</v>
      </c>
      <c r="K256" s="48">
        <v>0</v>
      </c>
      <c r="L256" s="48">
        <v>0</v>
      </c>
      <c r="M256" s="48">
        <v>0</v>
      </c>
      <c r="N256" s="48">
        <v>0</v>
      </c>
      <c r="O256" s="48">
        <v>0</v>
      </c>
      <c r="P256" s="48">
        <v>0</v>
      </c>
      <c r="Q256" s="48">
        <v>0</v>
      </c>
      <c r="R256" s="48">
        <v>0</v>
      </c>
      <c r="S256" s="48">
        <v>0</v>
      </c>
      <c r="T256" s="48">
        <v>0</v>
      </c>
      <c r="U256" s="48">
        <v>0</v>
      </c>
      <c r="V256" s="48">
        <v>0</v>
      </c>
      <c r="W256" s="48">
        <v>0</v>
      </c>
      <c r="X256" s="48">
        <v>0</v>
      </c>
      <c r="Y256" s="48">
        <v>0</v>
      </c>
      <c r="Z256" s="47" t="s">
        <v>728</v>
      </c>
      <c r="AA256" s="49" t="s">
        <v>41</v>
      </c>
      <c r="AB256" s="50" t="s">
        <v>421</v>
      </c>
      <c r="AC256" s="50" t="s">
        <v>421</v>
      </c>
      <c r="AD256" s="51"/>
    </row>
    <row r="257" spans="1:30" x14ac:dyDescent="0.25">
      <c r="A257" s="45"/>
      <c r="B257" s="46"/>
      <c r="C257" s="47"/>
      <c r="D257" s="47"/>
      <c r="E257" s="47"/>
      <c r="F257" s="48">
        <v>0</v>
      </c>
      <c r="G257" s="48">
        <v>0</v>
      </c>
      <c r="H257" s="48">
        <v>0</v>
      </c>
      <c r="I257" s="48">
        <v>0</v>
      </c>
      <c r="J257" s="48">
        <v>0</v>
      </c>
      <c r="K257" s="48">
        <v>0</v>
      </c>
      <c r="L257" s="48">
        <v>0</v>
      </c>
      <c r="M257" s="48">
        <v>0</v>
      </c>
      <c r="N257" s="48">
        <v>0</v>
      </c>
      <c r="O257" s="48">
        <v>0</v>
      </c>
      <c r="P257" s="48">
        <v>0</v>
      </c>
      <c r="Q257" s="48">
        <v>0</v>
      </c>
      <c r="R257" s="48">
        <v>0</v>
      </c>
      <c r="S257" s="48">
        <v>0</v>
      </c>
      <c r="T257" s="48">
        <v>0</v>
      </c>
      <c r="U257" s="48">
        <v>0</v>
      </c>
      <c r="V257" s="48">
        <v>0</v>
      </c>
      <c r="W257" s="48">
        <v>0</v>
      </c>
      <c r="X257" s="48">
        <v>0</v>
      </c>
      <c r="Y257" s="48">
        <v>0</v>
      </c>
      <c r="Z257" s="47" t="s">
        <v>729</v>
      </c>
      <c r="AA257" s="49" t="s">
        <v>41</v>
      </c>
      <c r="AB257" s="50" t="s">
        <v>107</v>
      </c>
      <c r="AC257" s="50" t="s">
        <v>107</v>
      </c>
      <c r="AD257" s="51"/>
    </row>
    <row r="258" spans="1:30" ht="93" x14ac:dyDescent="0.25">
      <c r="A258" s="37" t="s">
        <v>730</v>
      </c>
      <c r="B258" s="38" t="s">
        <v>731</v>
      </c>
      <c r="C258" s="39"/>
      <c r="D258" s="39"/>
      <c r="E258" s="39"/>
      <c r="F258" s="44">
        <v>0</v>
      </c>
      <c r="G258" s="44">
        <v>0</v>
      </c>
      <c r="H258" s="44">
        <v>0</v>
      </c>
      <c r="I258" s="44">
        <v>0</v>
      </c>
      <c r="J258" s="44">
        <v>0</v>
      </c>
      <c r="K258" s="44">
        <v>0</v>
      </c>
      <c r="L258" s="44">
        <v>0</v>
      </c>
      <c r="M258" s="44">
        <v>0</v>
      </c>
      <c r="N258" s="44">
        <v>0</v>
      </c>
      <c r="O258" s="44">
        <v>0</v>
      </c>
      <c r="P258" s="44">
        <v>0</v>
      </c>
      <c r="Q258" s="44">
        <v>0</v>
      </c>
      <c r="R258" s="44">
        <v>0</v>
      </c>
      <c r="S258" s="44">
        <v>0</v>
      </c>
      <c r="T258" s="44">
        <v>0</v>
      </c>
      <c r="U258" s="44">
        <v>0</v>
      </c>
      <c r="V258" s="44">
        <v>0</v>
      </c>
      <c r="W258" s="44">
        <v>0</v>
      </c>
      <c r="X258" s="44">
        <v>0</v>
      </c>
      <c r="Y258" s="44">
        <v>0</v>
      </c>
      <c r="Z258" s="39"/>
      <c r="AA258" s="41"/>
      <c r="AB258" s="42"/>
      <c r="AC258" s="42"/>
      <c r="AD258" s="43"/>
    </row>
    <row r="259" spans="1:30" ht="69.75" x14ac:dyDescent="0.25">
      <c r="A259" s="37" t="s">
        <v>732</v>
      </c>
      <c r="B259" s="38" t="s">
        <v>733</v>
      </c>
      <c r="C259" s="39"/>
      <c r="D259" s="39"/>
      <c r="E259" s="39"/>
      <c r="F259" s="44">
        <v>0</v>
      </c>
      <c r="G259" s="44">
        <v>0</v>
      </c>
      <c r="H259" s="44">
        <v>0</v>
      </c>
      <c r="I259" s="44">
        <v>0</v>
      </c>
      <c r="J259" s="44">
        <v>0</v>
      </c>
      <c r="K259" s="44">
        <v>0</v>
      </c>
      <c r="L259" s="44">
        <v>0</v>
      </c>
      <c r="M259" s="44">
        <v>0</v>
      </c>
      <c r="N259" s="44">
        <v>0</v>
      </c>
      <c r="O259" s="44">
        <v>0</v>
      </c>
      <c r="P259" s="44">
        <v>0</v>
      </c>
      <c r="Q259" s="44">
        <v>0</v>
      </c>
      <c r="R259" s="44">
        <v>0</v>
      </c>
      <c r="S259" s="44">
        <v>0</v>
      </c>
      <c r="T259" s="44">
        <v>0</v>
      </c>
      <c r="U259" s="44">
        <v>0</v>
      </c>
      <c r="V259" s="44">
        <v>0</v>
      </c>
      <c r="W259" s="44">
        <v>0</v>
      </c>
      <c r="X259" s="44">
        <v>0</v>
      </c>
      <c r="Y259" s="44">
        <v>0</v>
      </c>
      <c r="Z259" s="39"/>
      <c r="AA259" s="41"/>
      <c r="AB259" s="42"/>
      <c r="AC259" s="42"/>
      <c r="AD259" s="43"/>
    </row>
    <row r="260" spans="1:30" ht="46.5" x14ac:dyDescent="0.25">
      <c r="A260" s="37" t="s">
        <v>734</v>
      </c>
      <c r="B260" s="38" t="s">
        <v>735</v>
      </c>
      <c r="C260" s="39"/>
      <c r="D260" s="39"/>
      <c r="E260" s="39"/>
      <c r="F260" s="44">
        <v>0</v>
      </c>
      <c r="G260" s="44">
        <v>0</v>
      </c>
      <c r="H260" s="44">
        <v>0</v>
      </c>
      <c r="I260" s="44">
        <v>0</v>
      </c>
      <c r="J260" s="44">
        <v>0</v>
      </c>
      <c r="K260" s="44">
        <v>0</v>
      </c>
      <c r="L260" s="44">
        <v>0</v>
      </c>
      <c r="M260" s="44">
        <v>0</v>
      </c>
      <c r="N260" s="44">
        <v>0</v>
      </c>
      <c r="O260" s="44">
        <v>0</v>
      </c>
      <c r="P260" s="44">
        <v>0</v>
      </c>
      <c r="Q260" s="44">
        <v>0</v>
      </c>
      <c r="R260" s="44">
        <v>0</v>
      </c>
      <c r="S260" s="44">
        <v>0</v>
      </c>
      <c r="T260" s="44">
        <v>0</v>
      </c>
      <c r="U260" s="44">
        <v>0</v>
      </c>
      <c r="V260" s="44">
        <v>0</v>
      </c>
      <c r="W260" s="44">
        <v>0</v>
      </c>
      <c r="X260" s="44">
        <v>0</v>
      </c>
      <c r="Y260" s="44">
        <v>0</v>
      </c>
      <c r="Z260" s="39"/>
      <c r="AA260" s="41"/>
      <c r="AB260" s="42"/>
      <c r="AC260" s="42"/>
      <c r="AD260" s="43"/>
    </row>
    <row r="261" spans="1:30" x14ac:dyDescent="0.25">
      <c r="A261" s="16" t="s">
        <v>736</v>
      </c>
      <c r="B261" s="17" t="s">
        <v>737</v>
      </c>
      <c r="C261" s="18"/>
      <c r="D261" s="18" t="s">
        <v>738</v>
      </c>
      <c r="E261" s="18"/>
      <c r="F261" s="19">
        <f t="shared" ref="F261:Y261" si="167">F262+F345</f>
        <v>6051827.04</v>
      </c>
      <c r="G261" s="19">
        <f t="shared" si="167"/>
        <v>5539682.4299999997</v>
      </c>
      <c r="H261" s="19">
        <f t="shared" si="167"/>
        <v>11360.609999999999</v>
      </c>
      <c r="I261" s="19">
        <f t="shared" si="167"/>
        <v>0</v>
      </c>
      <c r="J261" s="19">
        <f t="shared" si="167"/>
        <v>477784</v>
      </c>
      <c r="K261" s="19">
        <f t="shared" si="167"/>
        <v>0</v>
      </c>
      <c r="L261" s="19">
        <f t="shared" si="167"/>
        <v>0</v>
      </c>
      <c r="M261" s="19">
        <f t="shared" si="167"/>
        <v>13000</v>
      </c>
      <c r="N261" s="19">
        <f t="shared" si="167"/>
        <v>0</v>
      </c>
      <c r="O261" s="19">
        <f t="shared" si="167"/>
        <v>0</v>
      </c>
      <c r="P261" s="19">
        <f t="shared" si="167"/>
        <v>5952554.6199999992</v>
      </c>
      <c r="Q261" s="19">
        <f t="shared" si="167"/>
        <v>4759371.129999999</v>
      </c>
      <c r="R261" s="19">
        <f t="shared" si="167"/>
        <v>1192.8899999999999</v>
      </c>
      <c r="S261" s="19">
        <f t="shared" si="167"/>
        <v>0</v>
      </c>
      <c r="T261" s="19">
        <f t="shared" si="167"/>
        <v>0</v>
      </c>
      <c r="U261" s="19">
        <f t="shared" si="167"/>
        <v>0</v>
      </c>
      <c r="V261" s="19">
        <f t="shared" si="167"/>
        <v>0</v>
      </c>
      <c r="W261" s="19">
        <f t="shared" si="167"/>
        <v>0</v>
      </c>
      <c r="X261" s="19">
        <f t="shared" si="167"/>
        <v>0</v>
      </c>
      <c r="Y261" s="19">
        <f t="shared" si="167"/>
        <v>0</v>
      </c>
      <c r="Z261" s="18"/>
      <c r="AA261" s="20"/>
      <c r="AB261" s="21"/>
      <c r="AC261" s="21"/>
      <c r="AD261" s="22"/>
    </row>
    <row r="262" spans="1:30" ht="67.5" x14ac:dyDescent="0.25">
      <c r="A262" s="23" t="s">
        <v>739</v>
      </c>
      <c r="B262" s="24" t="s">
        <v>740</v>
      </c>
      <c r="C262" s="25" t="s">
        <v>741</v>
      </c>
      <c r="D262" s="25" t="s">
        <v>738</v>
      </c>
      <c r="E262" s="25"/>
      <c r="F262" s="26">
        <f t="shared" ref="F262:Y262" si="168">F263+F309+F312+F319+F322+F333+F338</f>
        <v>6041557.04</v>
      </c>
      <c r="G262" s="26">
        <f t="shared" si="168"/>
        <v>5529412.4299999997</v>
      </c>
      <c r="H262" s="26">
        <f t="shared" si="168"/>
        <v>11360.609999999999</v>
      </c>
      <c r="I262" s="26">
        <f t="shared" si="168"/>
        <v>0</v>
      </c>
      <c r="J262" s="26">
        <f t="shared" si="168"/>
        <v>477784</v>
      </c>
      <c r="K262" s="26">
        <f t="shared" si="168"/>
        <v>0</v>
      </c>
      <c r="L262" s="26">
        <f t="shared" si="168"/>
        <v>0</v>
      </c>
      <c r="M262" s="26">
        <f t="shared" si="168"/>
        <v>13000</v>
      </c>
      <c r="N262" s="26">
        <f t="shared" si="168"/>
        <v>0</v>
      </c>
      <c r="O262" s="26">
        <f t="shared" si="168"/>
        <v>0</v>
      </c>
      <c r="P262" s="26">
        <f t="shared" si="168"/>
        <v>5942284.6199999992</v>
      </c>
      <c r="Q262" s="26">
        <f t="shared" si="168"/>
        <v>4749101.129999999</v>
      </c>
      <c r="R262" s="26">
        <f t="shared" si="168"/>
        <v>1192.8899999999999</v>
      </c>
      <c r="S262" s="26">
        <f t="shared" si="168"/>
        <v>0</v>
      </c>
      <c r="T262" s="26">
        <f t="shared" si="168"/>
        <v>0</v>
      </c>
      <c r="U262" s="26">
        <f t="shared" si="168"/>
        <v>0</v>
      </c>
      <c r="V262" s="26">
        <f t="shared" si="168"/>
        <v>0</v>
      </c>
      <c r="W262" s="26">
        <f t="shared" si="168"/>
        <v>0</v>
      </c>
      <c r="X262" s="26">
        <f t="shared" si="168"/>
        <v>0</v>
      </c>
      <c r="Y262" s="26">
        <f t="shared" si="168"/>
        <v>0</v>
      </c>
      <c r="Z262" s="25" t="s">
        <v>742</v>
      </c>
      <c r="AA262" s="27" t="s">
        <v>35</v>
      </c>
      <c r="AB262" s="28" t="s">
        <v>285</v>
      </c>
      <c r="AC262" s="28" t="s">
        <v>285</v>
      </c>
      <c r="AD262" s="29"/>
    </row>
    <row r="263" spans="1:30" ht="67.5" x14ac:dyDescent="0.25">
      <c r="A263" s="30" t="s">
        <v>743</v>
      </c>
      <c r="B263" s="31" t="s">
        <v>744</v>
      </c>
      <c r="C263" s="32"/>
      <c r="D263" s="32" t="s">
        <v>738</v>
      </c>
      <c r="E263" s="32" t="s">
        <v>39</v>
      </c>
      <c r="F263" s="33">
        <f t="shared" ref="F263:Y263" si="169">F264+F266+F268+F270+F272+F274+F279+F282+F284+F286+F288+F290+F292+F294+F296+F298+F301+F303+F305+F307</f>
        <v>4862023.6100000003</v>
      </c>
      <c r="G263" s="33">
        <f t="shared" si="169"/>
        <v>4362879</v>
      </c>
      <c r="H263" s="33">
        <f t="shared" si="169"/>
        <v>11360.609999999999</v>
      </c>
      <c r="I263" s="33">
        <f t="shared" si="169"/>
        <v>0</v>
      </c>
      <c r="J263" s="33">
        <f t="shared" si="169"/>
        <v>477784</v>
      </c>
      <c r="K263" s="33">
        <f t="shared" si="169"/>
        <v>0</v>
      </c>
      <c r="L263" s="33">
        <f t="shared" si="169"/>
        <v>0</v>
      </c>
      <c r="M263" s="33">
        <f t="shared" si="169"/>
        <v>0</v>
      </c>
      <c r="N263" s="33">
        <f t="shared" si="169"/>
        <v>0</v>
      </c>
      <c r="O263" s="33">
        <f t="shared" si="169"/>
        <v>0</v>
      </c>
      <c r="P263" s="33">
        <f t="shared" si="169"/>
        <v>4783525.0599999996</v>
      </c>
      <c r="Q263" s="33">
        <f t="shared" si="169"/>
        <v>4290046.209999999</v>
      </c>
      <c r="R263" s="33">
        <f t="shared" si="169"/>
        <v>1192.8899999999999</v>
      </c>
      <c r="S263" s="33">
        <f t="shared" si="169"/>
        <v>0</v>
      </c>
      <c r="T263" s="33">
        <f t="shared" si="169"/>
        <v>0</v>
      </c>
      <c r="U263" s="33">
        <f t="shared" si="169"/>
        <v>0</v>
      </c>
      <c r="V263" s="33">
        <f t="shared" si="169"/>
        <v>0</v>
      </c>
      <c r="W263" s="33">
        <f t="shared" si="169"/>
        <v>0</v>
      </c>
      <c r="X263" s="33">
        <f t="shared" si="169"/>
        <v>0</v>
      </c>
      <c r="Y263" s="33">
        <f t="shared" si="169"/>
        <v>0</v>
      </c>
      <c r="Z263" s="32" t="s">
        <v>745</v>
      </c>
      <c r="AA263" s="34" t="s">
        <v>41</v>
      </c>
      <c r="AB263" s="35" t="s">
        <v>746</v>
      </c>
      <c r="AC263" s="35" t="s">
        <v>747</v>
      </c>
      <c r="AD263" s="36"/>
    </row>
    <row r="264" spans="1:30" ht="46.5" x14ac:dyDescent="0.25">
      <c r="A264" s="37" t="s">
        <v>748</v>
      </c>
      <c r="B264" s="38" t="s">
        <v>749</v>
      </c>
      <c r="C264" s="39" t="s">
        <v>741</v>
      </c>
      <c r="D264" s="39" t="s">
        <v>738</v>
      </c>
      <c r="E264" s="39" t="s">
        <v>46</v>
      </c>
      <c r="F264" s="40">
        <f>SUM(F265:F265)+434365</f>
        <v>434365</v>
      </c>
      <c r="G264" s="40">
        <f>SUM(G265:G265)+424365</f>
        <v>424365</v>
      </c>
      <c r="H264" s="40">
        <f t="shared" ref="H264:O264" si="170">SUM(H265:H265)</f>
        <v>0</v>
      </c>
      <c r="I264" s="40">
        <f t="shared" si="170"/>
        <v>0</v>
      </c>
      <c r="J264" s="40">
        <f t="shared" si="170"/>
        <v>0</v>
      </c>
      <c r="K264" s="40">
        <f t="shared" si="170"/>
        <v>0</v>
      </c>
      <c r="L264" s="40">
        <f t="shared" si="170"/>
        <v>0</v>
      </c>
      <c r="M264" s="40">
        <f t="shared" si="170"/>
        <v>0</v>
      </c>
      <c r="N264" s="40">
        <f t="shared" si="170"/>
        <v>0</v>
      </c>
      <c r="O264" s="40">
        <f t="shared" si="170"/>
        <v>0</v>
      </c>
      <c r="P264" s="40">
        <f>SUM(P265:P265)+431285.39</f>
        <v>431285.39</v>
      </c>
      <c r="Q264" s="40">
        <f>SUM(Q265:Q265)+421285.39</f>
        <v>421285.39</v>
      </c>
      <c r="R264" s="40">
        <f t="shared" ref="R264:Y264" si="171">SUM(R265:R265)</f>
        <v>0</v>
      </c>
      <c r="S264" s="40">
        <f t="shared" si="171"/>
        <v>0</v>
      </c>
      <c r="T264" s="40">
        <f t="shared" si="171"/>
        <v>0</v>
      </c>
      <c r="U264" s="40">
        <f t="shared" si="171"/>
        <v>0</v>
      </c>
      <c r="V264" s="40">
        <f t="shared" si="171"/>
        <v>0</v>
      </c>
      <c r="W264" s="40">
        <f t="shared" si="171"/>
        <v>0</v>
      </c>
      <c r="X264" s="40">
        <f t="shared" si="171"/>
        <v>0</v>
      </c>
      <c r="Y264" s="40">
        <f t="shared" si="171"/>
        <v>0</v>
      </c>
      <c r="Z264" s="39" t="s">
        <v>750</v>
      </c>
      <c r="AA264" s="41" t="s">
        <v>41</v>
      </c>
      <c r="AB264" s="42" t="s">
        <v>83</v>
      </c>
      <c r="AC264" s="42" t="s">
        <v>751</v>
      </c>
      <c r="AD264" s="43"/>
    </row>
    <row r="265" spans="1:30" ht="93" x14ac:dyDescent="0.25">
      <c r="A265" s="37" t="s">
        <v>752</v>
      </c>
      <c r="B265" s="38" t="s">
        <v>753</v>
      </c>
      <c r="C265" s="39"/>
      <c r="D265" s="39"/>
      <c r="E265" s="39"/>
      <c r="F265" s="44">
        <v>0</v>
      </c>
      <c r="G265" s="44">
        <v>0</v>
      </c>
      <c r="H265" s="44">
        <v>0</v>
      </c>
      <c r="I265" s="44">
        <v>0</v>
      </c>
      <c r="J265" s="44">
        <v>0</v>
      </c>
      <c r="K265" s="44">
        <v>0</v>
      </c>
      <c r="L265" s="44">
        <v>0</v>
      </c>
      <c r="M265" s="44">
        <v>0</v>
      </c>
      <c r="N265" s="44">
        <v>0</v>
      </c>
      <c r="O265" s="44">
        <v>0</v>
      </c>
      <c r="P265" s="44">
        <v>0</v>
      </c>
      <c r="Q265" s="44">
        <v>0</v>
      </c>
      <c r="R265" s="44">
        <v>0</v>
      </c>
      <c r="S265" s="44">
        <v>0</v>
      </c>
      <c r="T265" s="44">
        <v>0</v>
      </c>
      <c r="U265" s="44">
        <v>0</v>
      </c>
      <c r="V265" s="44">
        <v>0</v>
      </c>
      <c r="W265" s="44">
        <v>0</v>
      </c>
      <c r="X265" s="44">
        <v>0</v>
      </c>
      <c r="Y265" s="44">
        <v>0</v>
      </c>
      <c r="Z265" s="39"/>
      <c r="AA265" s="41"/>
      <c r="AB265" s="42"/>
      <c r="AC265" s="42"/>
      <c r="AD265" s="43"/>
    </row>
    <row r="266" spans="1:30" ht="46.5" x14ac:dyDescent="0.25">
      <c r="A266" s="37" t="s">
        <v>754</v>
      </c>
      <c r="B266" s="38" t="s">
        <v>755</v>
      </c>
      <c r="C266" s="39" t="s">
        <v>756</v>
      </c>
      <c r="D266" s="39" t="s">
        <v>738</v>
      </c>
      <c r="E266" s="39" t="s">
        <v>46</v>
      </c>
      <c r="F266" s="40">
        <f>SUM(F267:F267)+78370</f>
        <v>78370</v>
      </c>
      <c r="G266" s="40">
        <f>SUM(G267:G267)+78370</f>
        <v>78370</v>
      </c>
      <c r="H266" s="40">
        <f t="shared" ref="H266:O266" si="172">SUM(H267:H267)</f>
        <v>0</v>
      </c>
      <c r="I266" s="40">
        <f t="shared" si="172"/>
        <v>0</v>
      </c>
      <c r="J266" s="40">
        <f t="shared" si="172"/>
        <v>0</v>
      </c>
      <c r="K266" s="40">
        <f t="shared" si="172"/>
        <v>0</v>
      </c>
      <c r="L266" s="40">
        <f t="shared" si="172"/>
        <v>0</v>
      </c>
      <c r="M266" s="40">
        <f t="shared" si="172"/>
        <v>0</v>
      </c>
      <c r="N266" s="40">
        <f t="shared" si="172"/>
        <v>0</v>
      </c>
      <c r="O266" s="40">
        <f t="shared" si="172"/>
        <v>0</v>
      </c>
      <c r="P266" s="40">
        <f>SUM(P267:P267)+77778.78</f>
        <v>77778.78</v>
      </c>
      <c r="Q266" s="40">
        <f>SUM(Q267:Q267)+77778.78</f>
        <v>77778.78</v>
      </c>
      <c r="R266" s="40">
        <f t="shared" ref="R266:Y266" si="173">SUM(R267:R267)</f>
        <v>0</v>
      </c>
      <c r="S266" s="40">
        <f t="shared" si="173"/>
        <v>0</v>
      </c>
      <c r="T266" s="40">
        <f t="shared" si="173"/>
        <v>0</v>
      </c>
      <c r="U266" s="40">
        <f t="shared" si="173"/>
        <v>0</v>
      </c>
      <c r="V266" s="40">
        <f t="shared" si="173"/>
        <v>0</v>
      </c>
      <c r="W266" s="40">
        <f t="shared" si="173"/>
        <v>0</v>
      </c>
      <c r="X266" s="40">
        <f t="shared" si="173"/>
        <v>0</v>
      </c>
      <c r="Y266" s="40">
        <f t="shared" si="173"/>
        <v>0</v>
      </c>
      <c r="Z266" s="39" t="s">
        <v>757</v>
      </c>
      <c r="AA266" s="41" t="s">
        <v>41</v>
      </c>
      <c r="AB266" s="42" t="s">
        <v>42</v>
      </c>
      <c r="AC266" s="42" t="s">
        <v>42</v>
      </c>
      <c r="AD266" s="43"/>
    </row>
    <row r="267" spans="1:30" ht="116.25" x14ac:dyDescent="0.25">
      <c r="A267" s="37" t="s">
        <v>758</v>
      </c>
      <c r="B267" s="38" t="s">
        <v>759</v>
      </c>
      <c r="C267" s="39"/>
      <c r="D267" s="39"/>
      <c r="E267" s="39"/>
      <c r="F267" s="44">
        <v>0</v>
      </c>
      <c r="G267" s="44">
        <v>0</v>
      </c>
      <c r="H267" s="44">
        <v>0</v>
      </c>
      <c r="I267" s="44">
        <v>0</v>
      </c>
      <c r="J267" s="44">
        <v>0</v>
      </c>
      <c r="K267" s="44">
        <v>0</v>
      </c>
      <c r="L267" s="44">
        <v>0</v>
      </c>
      <c r="M267" s="44">
        <v>0</v>
      </c>
      <c r="N267" s="44">
        <v>0</v>
      </c>
      <c r="O267" s="44">
        <v>0</v>
      </c>
      <c r="P267" s="44">
        <v>0</v>
      </c>
      <c r="Q267" s="44">
        <v>0</v>
      </c>
      <c r="R267" s="44">
        <v>0</v>
      </c>
      <c r="S267" s="44">
        <v>0</v>
      </c>
      <c r="T267" s="44">
        <v>0</v>
      </c>
      <c r="U267" s="44">
        <v>0</v>
      </c>
      <c r="V267" s="44">
        <v>0</v>
      </c>
      <c r="W267" s="44">
        <v>0</v>
      </c>
      <c r="X267" s="44">
        <v>0</v>
      </c>
      <c r="Y267" s="44">
        <v>0</v>
      </c>
      <c r="Z267" s="39"/>
      <c r="AA267" s="41"/>
      <c r="AB267" s="42"/>
      <c r="AC267" s="42"/>
      <c r="AD267" s="43"/>
    </row>
    <row r="268" spans="1:30" ht="46.5" x14ac:dyDescent="0.25">
      <c r="A268" s="37" t="s">
        <v>760</v>
      </c>
      <c r="B268" s="38" t="s">
        <v>761</v>
      </c>
      <c r="C268" s="39" t="s">
        <v>741</v>
      </c>
      <c r="D268" s="39" t="s">
        <v>762</v>
      </c>
      <c r="E268" s="39" t="s">
        <v>46</v>
      </c>
      <c r="F268" s="40">
        <f>SUM(F269:F269)+3923526.32</f>
        <v>3923526.32</v>
      </c>
      <c r="G268" s="40">
        <f>SUM(G269:G269)+3438183</f>
        <v>3438183</v>
      </c>
      <c r="H268" s="40">
        <f>SUM(H269:H269)+7559.32</f>
        <v>7559.32</v>
      </c>
      <c r="I268" s="40">
        <f>SUM(I269:I269)</f>
        <v>0</v>
      </c>
      <c r="J268" s="40">
        <f>SUM(J269:J269)+477784</f>
        <v>477784</v>
      </c>
      <c r="K268" s="40">
        <f>SUM(K269:K269)</f>
        <v>0</v>
      </c>
      <c r="L268" s="40">
        <f>SUM(L269:L269)</f>
        <v>0</v>
      </c>
      <c r="M268" s="40">
        <f>SUM(M269:M269)</f>
        <v>0</v>
      </c>
      <c r="N268" s="40">
        <f>SUM(N269:N269)</f>
        <v>0</v>
      </c>
      <c r="O268" s="40">
        <f>SUM(O269:O269)</f>
        <v>0</v>
      </c>
      <c r="P268" s="40">
        <f>SUM(P269:P269)+3850325.53</f>
        <v>3850325.53</v>
      </c>
      <c r="Q268" s="40">
        <f>SUM(Q269:Q269)+3369340.86</f>
        <v>3369340.86</v>
      </c>
      <c r="R268" s="40">
        <f t="shared" ref="R268:Y268" si="174">SUM(R269:R269)</f>
        <v>0</v>
      </c>
      <c r="S268" s="40">
        <f t="shared" si="174"/>
        <v>0</v>
      </c>
      <c r="T268" s="40">
        <f t="shared" si="174"/>
        <v>0</v>
      </c>
      <c r="U268" s="40">
        <f t="shared" si="174"/>
        <v>0</v>
      </c>
      <c r="V268" s="40">
        <f t="shared" si="174"/>
        <v>0</v>
      </c>
      <c r="W268" s="40">
        <f t="shared" si="174"/>
        <v>0</v>
      </c>
      <c r="X268" s="40">
        <f t="shared" si="174"/>
        <v>0</v>
      </c>
      <c r="Y268" s="40">
        <f t="shared" si="174"/>
        <v>0</v>
      </c>
      <c r="Z268" s="39" t="s">
        <v>763</v>
      </c>
      <c r="AA268" s="41" t="s">
        <v>41</v>
      </c>
      <c r="AB268" s="42" t="s">
        <v>764</v>
      </c>
      <c r="AC268" s="42" t="s">
        <v>765</v>
      </c>
      <c r="AD268" s="43"/>
    </row>
    <row r="269" spans="1:30" ht="69.75" x14ac:dyDescent="0.25">
      <c r="A269" s="37" t="s">
        <v>766</v>
      </c>
      <c r="B269" s="38" t="s">
        <v>767</v>
      </c>
      <c r="C269" s="39"/>
      <c r="D269" s="39"/>
      <c r="E269" s="39"/>
      <c r="F269" s="44">
        <v>0</v>
      </c>
      <c r="G269" s="44">
        <v>0</v>
      </c>
      <c r="H269" s="44">
        <v>0</v>
      </c>
      <c r="I269" s="44">
        <v>0</v>
      </c>
      <c r="J269" s="44">
        <v>0</v>
      </c>
      <c r="K269" s="44">
        <v>0</v>
      </c>
      <c r="L269" s="44">
        <v>0</v>
      </c>
      <c r="M269" s="44">
        <v>0</v>
      </c>
      <c r="N269" s="44">
        <v>0</v>
      </c>
      <c r="O269" s="44">
        <v>0</v>
      </c>
      <c r="P269" s="44">
        <v>0</v>
      </c>
      <c r="Q269" s="44">
        <v>0</v>
      </c>
      <c r="R269" s="44">
        <v>0</v>
      </c>
      <c r="S269" s="44">
        <v>0</v>
      </c>
      <c r="T269" s="44">
        <v>0</v>
      </c>
      <c r="U269" s="44">
        <v>0</v>
      </c>
      <c r="V269" s="44">
        <v>0</v>
      </c>
      <c r="W269" s="44">
        <v>0</v>
      </c>
      <c r="X269" s="44">
        <v>0</v>
      </c>
      <c r="Y269" s="44">
        <v>0</v>
      </c>
      <c r="Z269" s="39"/>
      <c r="AA269" s="41"/>
      <c r="AB269" s="42"/>
      <c r="AC269" s="42"/>
      <c r="AD269" s="43"/>
    </row>
    <row r="270" spans="1:30" ht="69.75" x14ac:dyDescent="0.25">
      <c r="A270" s="37" t="s">
        <v>768</v>
      </c>
      <c r="B270" s="38" t="s">
        <v>769</v>
      </c>
      <c r="C270" s="39" t="s">
        <v>741</v>
      </c>
      <c r="D270" s="39" t="s">
        <v>738</v>
      </c>
      <c r="E270" s="39" t="s">
        <v>770</v>
      </c>
      <c r="F270" s="40">
        <f>SUM(F271:F271)+17190</f>
        <v>17190</v>
      </c>
      <c r="G270" s="40">
        <f>SUM(G271:G271)+17190</f>
        <v>17190</v>
      </c>
      <c r="H270" s="40">
        <f t="shared" ref="H270:O270" si="175">SUM(H271:H271)</f>
        <v>0</v>
      </c>
      <c r="I270" s="40">
        <f t="shared" si="175"/>
        <v>0</v>
      </c>
      <c r="J270" s="40">
        <f t="shared" si="175"/>
        <v>0</v>
      </c>
      <c r="K270" s="40">
        <f t="shared" si="175"/>
        <v>0</v>
      </c>
      <c r="L270" s="40">
        <f t="shared" si="175"/>
        <v>0</v>
      </c>
      <c r="M270" s="40">
        <f t="shared" si="175"/>
        <v>0</v>
      </c>
      <c r="N270" s="40">
        <f t="shared" si="175"/>
        <v>0</v>
      </c>
      <c r="O270" s="40">
        <f t="shared" si="175"/>
        <v>0</v>
      </c>
      <c r="P270" s="40">
        <f>SUM(P271:P271)+17190</f>
        <v>17190</v>
      </c>
      <c r="Q270" s="40">
        <f>SUM(Q271:Q271)+17190</f>
        <v>17190</v>
      </c>
      <c r="R270" s="40">
        <f t="shared" ref="R270:Y270" si="176">SUM(R271:R271)</f>
        <v>0</v>
      </c>
      <c r="S270" s="40">
        <f t="shared" si="176"/>
        <v>0</v>
      </c>
      <c r="T270" s="40">
        <f t="shared" si="176"/>
        <v>0</v>
      </c>
      <c r="U270" s="40">
        <f t="shared" si="176"/>
        <v>0</v>
      </c>
      <c r="V270" s="40">
        <f t="shared" si="176"/>
        <v>0</v>
      </c>
      <c r="W270" s="40">
        <f t="shared" si="176"/>
        <v>0</v>
      </c>
      <c r="X270" s="40">
        <f t="shared" si="176"/>
        <v>0</v>
      </c>
      <c r="Y270" s="40">
        <f t="shared" si="176"/>
        <v>0</v>
      </c>
      <c r="Z270" s="39" t="s">
        <v>771</v>
      </c>
      <c r="AA270" s="41" t="s">
        <v>35</v>
      </c>
      <c r="AB270" s="42" t="s">
        <v>285</v>
      </c>
      <c r="AC270" s="42" t="s">
        <v>285</v>
      </c>
      <c r="AD270" s="43"/>
    </row>
    <row r="271" spans="1:30" ht="46.5" x14ac:dyDescent="0.25">
      <c r="A271" s="37" t="s">
        <v>772</v>
      </c>
      <c r="B271" s="38" t="s">
        <v>773</v>
      </c>
      <c r="C271" s="39"/>
      <c r="D271" s="39"/>
      <c r="E271" s="39"/>
      <c r="F271" s="44">
        <v>0</v>
      </c>
      <c r="G271" s="44">
        <v>0</v>
      </c>
      <c r="H271" s="44">
        <v>0</v>
      </c>
      <c r="I271" s="44">
        <v>0</v>
      </c>
      <c r="J271" s="44">
        <v>0</v>
      </c>
      <c r="K271" s="44">
        <v>0</v>
      </c>
      <c r="L271" s="44">
        <v>0</v>
      </c>
      <c r="M271" s="44">
        <v>0</v>
      </c>
      <c r="N271" s="44">
        <v>0</v>
      </c>
      <c r="O271" s="44">
        <v>0</v>
      </c>
      <c r="P271" s="44">
        <v>0</v>
      </c>
      <c r="Q271" s="44">
        <v>0</v>
      </c>
      <c r="R271" s="44">
        <v>0</v>
      </c>
      <c r="S271" s="44">
        <v>0</v>
      </c>
      <c r="T271" s="44">
        <v>0</v>
      </c>
      <c r="U271" s="44">
        <v>0</v>
      </c>
      <c r="V271" s="44">
        <v>0</v>
      </c>
      <c r="W271" s="44">
        <v>0</v>
      </c>
      <c r="X271" s="44">
        <v>0</v>
      </c>
      <c r="Y271" s="44">
        <v>0</v>
      </c>
      <c r="Z271" s="39"/>
      <c r="AA271" s="41"/>
      <c r="AB271" s="42"/>
      <c r="AC271" s="42"/>
      <c r="AD271" s="43"/>
    </row>
    <row r="272" spans="1:30" ht="69.75" x14ac:dyDescent="0.25">
      <c r="A272" s="37" t="s">
        <v>774</v>
      </c>
      <c r="B272" s="38" t="s">
        <v>775</v>
      </c>
      <c r="C272" s="39" t="s">
        <v>741</v>
      </c>
      <c r="D272" s="39" t="s">
        <v>738</v>
      </c>
      <c r="E272" s="39"/>
      <c r="F272" s="40">
        <f>SUM(F273:F273)+2200</f>
        <v>2200</v>
      </c>
      <c r="G272" s="40">
        <f>SUM(G273:G273)+2200</f>
        <v>2200</v>
      </c>
      <c r="H272" s="40">
        <f t="shared" ref="H272:O272" si="177">SUM(H273:H273)</f>
        <v>0</v>
      </c>
      <c r="I272" s="40">
        <f t="shared" si="177"/>
        <v>0</v>
      </c>
      <c r="J272" s="40">
        <f t="shared" si="177"/>
        <v>0</v>
      </c>
      <c r="K272" s="40">
        <f t="shared" si="177"/>
        <v>0</v>
      </c>
      <c r="L272" s="40">
        <f t="shared" si="177"/>
        <v>0</v>
      </c>
      <c r="M272" s="40">
        <f t="shared" si="177"/>
        <v>0</v>
      </c>
      <c r="N272" s="40">
        <f t="shared" si="177"/>
        <v>0</v>
      </c>
      <c r="O272" s="40">
        <f t="shared" si="177"/>
        <v>0</v>
      </c>
      <c r="P272" s="40">
        <f>SUM(P273:P273)+2010.39</f>
        <v>2010.39</v>
      </c>
      <c r="Q272" s="40">
        <f>SUM(Q273:Q273)+2010.39</f>
        <v>2010.39</v>
      </c>
      <c r="R272" s="40">
        <f t="shared" ref="R272:Y272" si="178">SUM(R273:R273)</f>
        <v>0</v>
      </c>
      <c r="S272" s="40">
        <f t="shared" si="178"/>
        <v>0</v>
      </c>
      <c r="T272" s="40">
        <f t="shared" si="178"/>
        <v>0</v>
      </c>
      <c r="U272" s="40">
        <f t="shared" si="178"/>
        <v>0</v>
      </c>
      <c r="V272" s="40">
        <f t="shared" si="178"/>
        <v>0</v>
      </c>
      <c r="W272" s="40">
        <f t="shared" si="178"/>
        <v>0</v>
      </c>
      <c r="X272" s="40">
        <f t="shared" si="178"/>
        <v>0</v>
      </c>
      <c r="Y272" s="40">
        <f t="shared" si="178"/>
        <v>0</v>
      </c>
      <c r="Z272" s="39" t="s">
        <v>771</v>
      </c>
      <c r="AA272" s="41" t="s">
        <v>35</v>
      </c>
      <c r="AB272" s="42" t="s">
        <v>285</v>
      </c>
      <c r="AC272" s="42" t="s">
        <v>285</v>
      </c>
      <c r="AD272" s="43"/>
    </row>
    <row r="273" spans="1:30" ht="46.5" x14ac:dyDescent="0.25">
      <c r="A273" s="37" t="s">
        <v>776</v>
      </c>
      <c r="B273" s="38" t="s">
        <v>777</v>
      </c>
      <c r="C273" s="39"/>
      <c r="D273" s="39"/>
      <c r="E273" s="39"/>
      <c r="F273" s="44">
        <v>0</v>
      </c>
      <c r="G273" s="44">
        <v>0</v>
      </c>
      <c r="H273" s="44">
        <v>0</v>
      </c>
      <c r="I273" s="44">
        <v>0</v>
      </c>
      <c r="J273" s="44">
        <v>0</v>
      </c>
      <c r="K273" s="44">
        <v>0</v>
      </c>
      <c r="L273" s="44">
        <v>0</v>
      </c>
      <c r="M273" s="44">
        <v>0</v>
      </c>
      <c r="N273" s="44">
        <v>0</v>
      </c>
      <c r="O273" s="44">
        <v>0</v>
      </c>
      <c r="P273" s="44">
        <v>0</v>
      </c>
      <c r="Q273" s="44">
        <v>0</v>
      </c>
      <c r="R273" s="44">
        <v>0</v>
      </c>
      <c r="S273" s="44">
        <v>0</v>
      </c>
      <c r="T273" s="44">
        <v>0</v>
      </c>
      <c r="U273" s="44">
        <v>0</v>
      </c>
      <c r="V273" s="44">
        <v>0</v>
      </c>
      <c r="W273" s="44">
        <v>0</v>
      </c>
      <c r="X273" s="44">
        <v>0</v>
      </c>
      <c r="Y273" s="44">
        <v>0</v>
      </c>
      <c r="Z273" s="39"/>
      <c r="AA273" s="41"/>
      <c r="AB273" s="42"/>
      <c r="AC273" s="42"/>
      <c r="AD273" s="43"/>
    </row>
    <row r="274" spans="1:30" ht="69.75" x14ac:dyDescent="0.25">
      <c r="A274" s="37" t="s">
        <v>778</v>
      </c>
      <c r="B274" s="38" t="s">
        <v>779</v>
      </c>
      <c r="C274" s="39" t="s">
        <v>780</v>
      </c>
      <c r="D274" s="39" t="s">
        <v>781</v>
      </c>
      <c r="E274" s="39"/>
      <c r="F274" s="40">
        <f>SUM(F275:F278)+26936</f>
        <v>26936</v>
      </c>
      <c r="G274" s="40">
        <f>SUM(G275:G278)+26936</f>
        <v>26936</v>
      </c>
      <c r="H274" s="40">
        <f t="shared" ref="H274:O274" si="179">SUM(H275:H278)</f>
        <v>0</v>
      </c>
      <c r="I274" s="40">
        <f t="shared" si="179"/>
        <v>0</v>
      </c>
      <c r="J274" s="40">
        <f t="shared" si="179"/>
        <v>0</v>
      </c>
      <c r="K274" s="40">
        <f t="shared" si="179"/>
        <v>0</v>
      </c>
      <c r="L274" s="40">
        <f t="shared" si="179"/>
        <v>0</v>
      </c>
      <c r="M274" s="40">
        <f t="shared" si="179"/>
        <v>0</v>
      </c>
      <c r="N274" s="40">
        <f t="shared" si="179"/>
        <v>0</v>
      </c>
      <c r="O274" s="40">
        <f t="shared" si="179"/>
        <v>0</v>
      </c>
      <c r="P274" s="40">
        <f>SUM(P275:P278)+26936</f>
        <v>26936</v>
      </c>
      <c r="Q274" s="40">
        <f>SUM(Q275:Q278)+26936</f>
        <v>26936</v>
      </c>
      <c r="R274" s="40">
        <f t="shared" ref="R274:Y274" si="180">SUM(R275:R278)</f>
        <v>0</v>
      </c>
      <c r="S274" s="40">
        <f t="shared" si="180"/>
        <v>0</v>
      </c>
      <c r="T274" s="40">
        <f t="shared" si="180"/>
        <v>0</v>
      </c>
      <c r="U274" s="40">
        <f t="shared" si="180"/>
        <v>0</v>
      </c>
      <c r="V274" s="40">
        <f t="shared" si="180"/>
        <v>0</v>
      </c>
      <c r="W274" s="40">
        <f t="shared" si="180"/>
        <v>0</v>
      </c>
      <c r="X274" s="40">
        <f t="shared" si="180"/>
        <v>0</v>
      </c>
      <c r="Y274" s="40">
        <f t="shared" si="180"/>
        <v>0</v>
      </c>
      <c r="Z274" s="39" t="s">
        <v>782</v>
      </c>
      <c r="AA274" s="41" t="s">
        <v>41</v>
      </c>
      <c r="AB274" s="42" t="s">
        <v>178</v>
      </c>
      <c r="AC274" s="42" t="s">
        <v>42</v>
      </c>
      <c r="AD274" s="43"/>
    </row>
    <row r="275" spans="1:30" ht="46.5" x14ac:dyDescent="0.25">
      <c r="A275" s="45"/>
      <c r="B275" s="46"/>
      <c r="C275" s="47"/>
      <c r="D275" s="47"/>
      <c r="E275" s="47"/>
      <c r="F275" s="48">
        <v>0</v>
      </c>
      <c r="G275" s="48">
        <v>0</v>
      </c>
      <c r="H275" s="48">
        <v>0</v>
      </c>
      <c r="I275" s="48">
        <v>0</v>
      </c>
      <c r="J275" s="48">
        <v>0</v>
      </c>
      <c r="K275" s="48">
        <v>0</v>
      </c>
      <c r="L275" s="48">
        <v>0</v>
      </c>
      <c r="M275" s="48">
        <v>0</v>
      </c>
      <c r="N275" s="48">
        <v>0</v>
      </c>
      <c r="O275" s="48">
        <v>0</v>
      </c>
      <c r="P275" s="48">
        <v>0</v>
      </c>
      <c r="Q275" s="48">
        <v>0</v>
      </c>
      <c r="R275" s="48">
        <v>0</v>
      </c>
      <c r="S275" s="48">
        <v>0</v>
      </c>
      <c r="T275" s="48">
        <v>0</v>
      </c>
      <c r="U275" s="48">
        <v>0</v>
      </c>
      <c r="V275" s="48">
        <v>0</v>
      </c>
      <c r="W275" s="48">
        <v>0</v>
      </c>
      <c r="X275" s="48">
        <v>0</v>
      </c>
      <c r="Y275" s="48">
        <v>0</v>
      </c>
      <c r="Z275" s="47" t="s">
        <v>783</v>
      </c>
      <c r="AA275" s="49" t="s">
        <v>41</v>
      </c>
      <c r="AB275" s="50" t="s">
        <v>178</v>
      </c>
      <c r="AC275" s="50" t="s">
        <v>107</v>
      </c>
      <c r="AD275" s="51"/>
    </row>
    <row r="276" spans="1:30" x14ac:dyDescent="0.25">
      <c r="A276" s="45"/>
      <c r="B276" s="46"/>
      <c r="C276" s="47"/>
      <c r="D276" s="47"/>
      <c r="E276" s="47"/>
      <c r="F276" s="48">
        <v>0</v>
      </c>
      <c r="G276" s="48">
        <v>0</v>
      </c>
      <c r="H276" s="48">
        <v>0</v>
      </c>
      <c r="I276" s="48">
        <v>0</v>
      </c>
      <c r="J276" s="48">
        <v>0</v>
      </c>
      <c r="K276" s="48">
        <v>0</v>
      </c>
      <c r="L276" s="48">
        <v>0</v>
      </c>
      <c r="M276" s="48">
        <v>0</v>
      </c>
      <c r="N276" s="48">
        <v>0</v>
      </c>
      <c r="O276" s="48">
        <v>0</v>
      </c>
      <c r="P276" s="48">
        <v>0</v>
      </c>
      <c r="Q276" s="48">
        <v>0</v>
      </c>
      <c r="R276" s="48">
        <v>0</v>
      </c>
      <c r="S276" s="48">
        <v>0</v>
      </c>
      <c r="T276" s="48">
        <v>0</v>
      </c>
      <c r="U276" s="48">
        <v>0</v>
      </c>
      <c r="V276" s="48">
        <v>0</v>
      </c>
      <c r="W276" s="48">
        <v>0</v>
      </c>
      <c r="X276" s="48">
        <v>0</v>
      </c>
      <c r="Y276" s="48">
        <v>0</v>
      </c>
      <c r="Z276" s="47" t="s">
        <v>784</v>
      </c>
      <c r="AA276" s="49" t="s">
        <v>41</v>
      </c>
      <c r="AB276" s="50" t="s">
        <v>56</v>
      </c>
      <c r="AC276" s="50" t="s">
        <v>56</v>
      </c>
      <c r="AD276" s="51"/>
    </row>
    <row r="277" spans="1:30" x14ac:dyDescent="0.25">
      <c r="A277" s="45"/>
      <c r="B277" s="46"/>
      <c r="C277" s="47"/>
      <c r="D277" s="47"/>
      <c r="E277" s="47"/>
      <c r="F277" s="48">
        <v>0</v>
      </c>
      <c r="G277" s="48">
        <v>0</v>
      </c>
      <c r="H277" s="48">
        <v>0</v>
      </c>
      <c r="I277" s="48">
        <v>0</v>
      </c>
      <c r="J277" s="48">
        <v>0</v>
      </c>
      <c r="K277" s="48">
        <v>0</v>
      </c>
      <c r="L277" s="48">
        <v>0</v>
      </c>
      <c r="M277" s="48">
        <v>0</v>
      </c>
      <c r="N277" s="48">
        <v>0</v>
      </c>
      <c r="O277" s="48">
        <v>0</v>
      </c>
      <c r="P277" s="48">
        <v>0</v>
      </c>
      <c r="Q277" s="48">
        <v>0</v>
      </c>
      <c r="R277" s="48">
        <v>0</v>
      </c>
      <c r="S277" s="48">
        <v>0</v>
      </c>
      <c r="T277" s="48">
        <v>0</v>
      </c>
      <c r="U277" s="48">
        <v>0</v>
      </c>
      <c r="V277" s="48">
        <v>0</v>
      </c>
      <c r="W277" s="48">
        <v>0</v>
      </c>
      <c r="X277" s="48">
        <v>0</v>
      </c>
      <c r="Y277" s="48">
        <v>0</v>
      </c>
      <c r="Z277" s="47" t="s">
        <v>785</v>
      </c>
      <c r="AA277" s="49" t="s">
        <v>41</v>
      </c>
      <c r="AB277" s="50" t="s">
        <v>83</v>
      </c>
      <c r="AC277" s="50" t="s">
        <v>83</v>
      </c>
      <c r="AD277" s="51"/>
    </row>
    <row r="278" spans="1:30" ht="46.5" x14ac:dyDescent="0.25">
      <c r="A278" s="37" t="s">
        <v>786</v>
      </c>
      <c r="B278" s="38" t="s">
        <v>787</v>
      </c>
      <c r="C278" s="39"/>
      <c r="D278" s="39"/>
      <c r="E278" s="39"/>
      <c r="F278" s="44">
        <v>0</v>
      </c>
      <c r="G278" s="44">
        <v>0</v>
      </c>
      <c r="H278" s="44">
        <v>0</v>
      </c>
      <c r="I278" s="44">
        <v>0</v>
      </c>
      <c r="J278" s="44">
        <v>0</v>
      </c>
      <c r="K278" s="44">
        <v>0</v>
      </c>
      <c r="L278" s="44">
        <v>0</v>
      </c>
      <c r="M278" s="44">
        <v>0</v>
      </c>
      <c r="N278" s="44">
        <v>0</v>
      </c>
      <c r="O278" s="44">
        <v>0</v>
      </c>
      <c r="P278" s="44">
        <v>0</v>
      </c>
      <c r="Q278" s="44">
        <v>0</v>
      </c>
      <c r="R278" s="44">
        <v>0</v>
      </c>
      <c r="S278" s="44">
        <v>0</v>
      </c>
      <c r="T278" s="44">
        <v>0</v>
      </c>
      <c r="U278" s="44">
        <v>0</v>
      </c>
      <c r="V278" s="44">
        <v>0</v>
      </c>
      <c r="W278" s="44">
        <v>0</v>
      </c>
      <c r="X278" s="44">
        <v>0</v>
      </c>
      <c r="Y278" s="44">
        <v>0</v>
      </c>
      <c r="Z278" s="39"/>
      <c r="AA278" s="41"/>
      <c r="AB278" s="42"/>
      <c r="AC278" s="42"/>
      <c r="AD278" s="43"/>
    </row>
    <row r="279" spans="1:30" ht="69.75" x14ac:dyDescent="0.25">
      <c r="A279" s="37" t="s">
        <v>788</v>
      </c>
      <c r="B279" s="38" t="s">
        <v>789</v>
      </c>
      <c r="C279" s="39" t="s">
        <v>790</v>
      </c>
      <c r="D279" s="39" t="s">
        <v>791</v>
      </c>
      <c r="E279" s="39" t="s">
        <v>46</v>
      </c>
      <c r="F279" s="40">
        <f>SUM(F280:F281)+28683.46</f>
        <v>28683.46</v>
      </c>
      <c r="G279" s="40">
        <f>SUM(G280:G281)+27690</f>
        <v>27690</v>
      </c>
      <c r="H279" s="40">
        <f>SUM(H280:H281)+993.46</f>
        <v>993.46</v>
      </c>
      <c r="I279" s="40">
        <f t="shared" ref="I279:O279" si="181">SUM(I280:I281)</f>
        <v>0</v>
      </c>
      <c r="J279" s="40">
        <f t="shared" si="181"/>
        <v>0</v>
      </c>
      <c r="K279" s="40">
        <f t="shared" si="181"/>
        <v>0</v>
      </c>
      <c r="L279" s="40">
        <f t="shared" si="181"/>
        <v>0</v>
      </c>
      <c r="M279" s="40">
        <f t="shared" si="181"/>
        <v>0</v>
      </c>
      <c r="N279" s="40">
        <f t="shared" si="181"/>
        <v>0</v>
      </c>
      <c r="O279" s="40">
        <f t="shared" si="181"/>
        <v>0</v>
      </c>
      <c r="P279" s="40">
        <f>SUM(P280:P281)+28276.82</f>
        <v>28276.82</v>
      </c>
      <c r="Q279" s="40">
        <f>SUM(Q280:Q281)+27687.86</f>
        <v>27687.86</v>
      </c>
      <c r="R279" s="40">
        <f>SUM(R280:R281)+295.5</f>
        <v>295.5</v>
      </c>
      <c r="S279" s="40">
        <f t="shared" ref="S279:Y279" si="182">SUM(S280:S281)</f>
        <v>0</v>
      </c>
      <c r="T279" s="40">
        <f t="shared" si="182"/>
        <v>0</v>
      </c>
      <c r="U279" s="40">
        <f t="shared" si="182"/>
        <v>0</v>
      </c>
      <c r="V279" s="40">
        <f t="shared" si="182"/>
        <v>0</v>
      </c>
      <c r="W279" s="40">
        <f t="shared" si="182"/>
        <v>0</v>
      </c>
      <c r="X279" s="40">
        <f t="shared" si="182"/>
        <v>0</v>
      </c>
      <c r="Y279" s="40">
        <f t="shared" si="182"/>
        <v>0</v>
      </c>
      <c r="Z279" s="39" t="s">
        <v>792</v>
      </c>
      <c r="AA279" s="41" t="s">
        <v>41</v>
      </c>
      <c r="AB279" s="42" t="s">
        <v>42</v>
      </c>
      <c r="AC279" s="42" t="s">
        <v>42</v>
      </c>
      <c r="AD279" s="43"/>
    </row>
    <row r="280" spans="1:30" ht="69.75" x14ac:dyDescent="0.25">
      <c r="A280" s="37" t="s">
        <v>793</v>
      </c>
      <c r="B280" s="38" t="s">
        <v>794</v>
      </c>
      <c r="C280" s="39"/>
      <c r="D280" s="39"/>
      <c r="E280" s="39"/>
      <c r="F280" s="44">
        <v>0</v>
      </c>
      <c r="G280" s="44">
        <v>0</v>
      </c>
      <c r="H280" s="44">
        <v>0</v>
      </c>
      <c r="I280" s="44">
        <v>0</v>
      </c>
      <c r="J280" s="44">
        <v>0</v>
      </c>
      <c r="K280" s="44">
        <v>0</v>
      </c>
      <c r="L280" s="44">
        <v>0</v>
      </c>
      <c r="M280" s="44">
        <v>0</v>
      </c>
      <c r="N280" s="44">
        <v>0</v>
      </c>
      <c r="O280" s="44">
        <v>0</v>
      </c>
      <c r="P280" s="44">
        <v>0</v>
      </c>
      <c r="Q280" s="44">
        <v>0</v>
      </c>
      <c r="R280" s="44">
        <v>0</v>
      </c>
      <c r="S280" s="44">
        <v>0</v>
      </c>
      <c r="T280" s="44">
        <v>0</v>
      </c>
      <c r="U280" s="44">
        <v>0</v>
      </c>
      <c r="V280" s="44">
        <v>0</v>
      </c>
      <c r="W280" s="44">
        <v>0</v>
      </c>
      <c r="X280" s="44">
        <v>0</v>
      </c>
      <c r="Y280" s="44">
        <v>0</v>
      </c>
      <c r="Z280" s="39"/>
      <c r="AA280" s="41"/>
      <c r="AB280" s="42"/>
      <c r="AC280" s="42"/>
      <c r="AD280" s="43"/>
    </row>
    <row r="281" spans="1:30" ht="93" x14ac:dyDescent="0.25">
      <c r="A281" s="37" t="s">
        <v>795</v>
      </c>
      <c r="B281" s="38" t="s">
        <v>796</v>
      </c>
      <c r="C281" s="39"/>
      <c r="D281" s="39"/>
      <c r="E281" s="39"/>
      <c r="F281" s="44">
        <v>0</v>
      </c>
      <c r="G281" s="44">
        <v>0</v>
      </c>
      <c r="H281" s="44">
        <v>0</v>
      </c>
      <c r="I281" s="44">
        <v>0</v>
      </c>
      <c r="J281" s="44">
        <v>0</v>
      </c>
      <c r="K281" s="44">
        <v>0</v>
      </c>
      <c r="L281" s="44">
        <v>0</v>
      </c>
      <c r="M281" s="44">
        <v>0</v>
      </c>
      <c r="N281" s="44">
        <v>0</v>
      </c>
      <c r="O281" s="44">
        <v>0</v>
      </c>
      <c r="P281" s="44">
        <v>0</v>
      </c>
      <c r="Q281" s="44">
        <v>0</v>
      </c>
      <c r="R281" s="44">
        <v>0</v>
      </c>
      <c r="S281" s="44">
        <v>0</v>
      </c>
      <c r="T281" s="44">
        <v>0</v>
      </c>
      <c r="U281" s="44">
        <v>0</v>
      </c>
      <c r="V281" s="44">
        <v>0</v>
      </c>
      <c r="W281" s="44">
        <v>0</v>
      </c>
      <c r="X281" s="44">
        <v>0</v>
      </c>
      <c r="Y281" s="44">
        <v>0</v>
      </c>
      <c r="Z281" s="39"/>
      <c r="AA281" s="41"/>
      <c r="AB281" s="42"/>
      <c r="AC281" s="42"/>
      <c r="AD281" s="43"/>
    </row>
    <row r="282" spans="1:30" ht="69.75" x14ac:dyDescent="0.25">
      <c r="A282" s="37" t="s">
        <v>797</v>
      </c>
      <c r="B282" s="38" t="s">
        <v>798</v>
      </c>
      <c r="C282" s="39" t="s">
        <v>799</v>
      </c>
      <c r="D282" s="39" t="s">
        <v>800</v>
      </c>
      <c r="E282" s="39" t="s">
        <v>46</v>
      </c>
      <c r="F282" s="40">
        <f>SUM(F283:F283)+84312</f>
        <v>84312</v>
      </c>
      <c r="G282" s="40">
        <f>SUM(G283:G283)+84312</f>
        <v>84312</v>
      </c>
      <c r="H282" s="40">
        <f t="shared" ref="H282:O282" si="183">SUM(H283:H283)</f>
        <v>0</v>
      </c>
      <c r="I282" s="40">
        <f t="shared" si="183"/>
        <v>0</v>
      </c>
      <c r="J282" s="40">
        <f t="shared" si="183"/>
        <v>0</v>
      </c>
      <c r="K282" s="40">
        <f t="shared" si="183"/>
        <v>0</v>
      </c>
      <c r="L282" s="40">
        <f t="shared" si="183"/>
        <v>0</v>
      </c>
      <c r="M282" s="40">
        <f t="shared" si="183"/>
        <v>0</v>
      </c>
      <c r="N282" s="40">
        <f t="shared" si="183"/>
        <v>0</v>
      </c>
      <c r="O282" s="40">
        <f t="shared" si="183"/>
        <v>0</v>
      </c>
      <c r="P282" s="40">
        <f>SUM(P283:P283)+84308.86</f>
        <v>84308.86</v>
      </c>
      <c r="Q282" s="40">
        <f>SUM(Q283:Q283)+84308.86</f>
        <v>84308.86</v>
      </c>
      <c r="R282" s="40">
        <f t="shared" ref="R282:Y282" si="184">SUM(R283:R283)</f>
        <v>0</v>
      </c>
      <c r="S282" s="40">
        <f t="shared" si="184"/>
        <v>0</v>
      </c>
      <c r="T282" s="40">
        <f t="shared" si="184"/>
        <v>0</v>
      </c>
      <c r="U282" s="40">
        <f t="shared" si="184"/>
        <v>0</v>
      </c>
      <c r="V282" s="40">
        <f t="shared" si="184"/>
        <v>0</v>
      </c>
      <c r="W282" s="40">
        <f t="shared" si="184"/>
        <v>0</v>
      </c>
      <c r="X282" s="40">
        <f t="shared" si="184"/>
        <v>0</v>
      </c>
      <c r="Y282" s="40">
        <f t="shared" si="184"/>
        <v>0</v>
      </c>
      <c r="Z282" s="39" t="s">
        <v>792</v>
      </c>
      <c r="AA282" s="41" t="s">
        <v>41</v>
      </c>
      <c r="AB282" s="42" t="s">
        <v>42</v>
      </c>
      <c r="AC282" s="42" t="s">
        <v>42</v>
      </c>
      <c r="AD282" s="43"/>
    </row>
    <row r="283" spans="1:30" ht="69.75" x14ac:dyDescent="0.25">
      <c r="A283" s="37" t="s">
        <v>801</v>
      </c>
      <c r="B283" s="38" t="s">
        <v>802</v>
      </c>
      <c r="C283" s="39"/>
      <c r="D283" s="39"/>
      <c r="E283" s="39"/>
      <c r="F283" s="44">
        <v>0</v>
      </c>
      <c r="G283" s="44">
        <v>0</v>
      </c>
      <c r="H283" s="44">
        <v>0</v>
      </c>
      <c r="I283" s="44">
        <v>0</v>
      </c>
      <c r="J283" s="44">
        <v>0</v>
      </c>
      <c r="K283" s="44">
        <v>0</v>
      </c>
      <c r="L283" s="44">
        <v>0</v>
      </c>
      <c r="M283" s="44">
        <v>0</v>
      </c>
      <c r="N283" s="44">
        <v>0</v>
      </c>
      <c r="O283" s="44">
        <v>0</v>
      </c>
      <c r="P283" s="44">
        <v>0</v>
      </c>
      <c r="Q283" s="44">
        <v>0</v>
      </c>
      <c r="R283" s="44">
        <v>0</v>
      </c>
      <c r="S283" s="44">
        <v>0</v>
      </c>
      <c r="T283" s="44">
        <v>0</v>
      </c>
      <c r="U283" s="44">
        <v>0</v>
      </c>
      <c r="V283" s="44">
        <v>0</v>
      </c>
      <c r="W283" s="44">
        <v>0</v>
      </c>
      <c r="X283" s="44">
        <v>0</v>
      </c>
      <c r="Y283" s="44">
        <v>0</v>
      </c>
      <c r="Z283" s="39"/>
      <c r="AA283" s="41"/>
      <c r="AB283" s="42"/>
      <c r="AC283" s="42"/>
      <c r="AD283" s="43"/>
    </row>
    <row r="284" spans="1:30" ht="69.75" x14ac:dyDescent="0.25">
      <c r="A284" s="37" t="s">
        <v>803</v>
      </c>
      <c r="B284" s="38" t="s">
        <v>804</v>
      </c>
      <c r="C284" s="39" t="s">
        <v>136</v>
      </c>
      <c r="D284" s="39" t="s">
        <v>805</v>
      </c>
      <c r="E284" s="39" t="s">
        <v>46</v>
      </c>
      <c r="F284" s="40">
        <f>SUM(F285:F285)+13009</f>
        <v>13009</v>
      </c>
      <c r="G284" s="40">
        <f>SUM(G285:G285)+13009</f>
        <v>13009</v>
      </c>
      <c r="H284" s="40">
        <f t="shared" ref="H284:O284" si="185">SUM(H285:H285)</f>
        <v>0</v>
      </c>
      <c r="I284" s="40">
        <f t="shared" si="185"/>
        <v>0</v>
      </c>
      <c r="J284" s="40">
        <f t="shared" si="185"/>
        <v>0</v>
      </c>
      <c r="K284" s="40">
        <f t="shared" si="185"/>
        <v>0</v>
      </c>
      <c r="L284" s="40">
        <f t="shared" si="185"/>
        <v>0</v>
      </c>
      <c r="M284" s="40">
        <f t="shared" si="185"/>
        <v>0</v>
      </c>
      <c r="N284" s="40">
        <f t="shared" si="185"/>
        <v>0</v>
      </c>
      <c r="O284" s="40">
        <f t="shared" si="185"/>
        <v>0</v>
      </c>
      <c r="P284" s="40">
        <f>SUM(P285:P285)+13006.9</f>
        <v>13006.9</v>
      </c>
      <c r="Q284" s="40">
        <f>SUM(Q285:Q285)+13006.9</f>
        <v>13006.9</v>
      </c>
      <c r="R284" s="40">
        <f t="shared" ref="R284:Y284" si="186">SUM(R285:R285)</f>
        <v>0</v>
      </c>
      <c r="S284" s="40">
        <f t="shared" si="186"/>
        <v>0</v>
      </c>
      <c r="T284" s="40">
        <f t="shared" si="186"/>
        <v>0</v>
      </c>
      <c r="U284" s="40">
        <f t="shared" si="186"/>
        <v>0</v>
      </c>
      <c r="V284" s="40">
        <f t="shared" si="186"/>
        <v>0</v>
      </c>
      <c r="W284" s="40">
        <f t="shared" si="186"/>
        <v>0</v>
      </c>
      <c r="X284" s="40">
        <f t="shared" si="186"/>
        <v>0</v>
      </c>
      <c r="Y284" s="40">
        <f t="shared" si="186"/>
        <v>0</v>
      </c>
      <c r="Z284" s="39" t="s">
        <v>792</v>
      </c>
      <c r="AA284" s="41" t="s">
        <v>41</v>
      </c>
      <c r="AB284" s="42" t="s">
        <v>42</v>
      </c>
      <c r="AC284" s="42" t="s">
        <v>56</v>
      </c>
      <c r="AD284" s="43"/>
    </row>
    <row r="285" spans="1:30" ht="69.75" x14ac:dyDescent="0.25">
      <c r="A285" s="37" t="s">
        <v>806</v>
      </c>
      <c r="B285" s="38" t="s">
        <v>807</v>
      </c>
      <c r="C285" s="39"/>
      <c r="D285" s="39"/>
      <c r="E285" s="39"/>
      <c r="F285" s="44">
        <v>0</v>
      </c>
      <c r="G285" s="44">
        <v>0</v>
      </c>
      <c r="H285" s="44">
        <v>0</v>
      </c>
      <c r="I285" s="44">
        <v>0</v>
      </c>
      <c r="J285" s="44">
        <v>0</v>
      </c>
      <c r="K285" s="44">
        <v>0</v>
      </c>
      <c r="L285" s="44">
        <v>0</v>
      </c>
      <c r="M285" s="44">
        <v>0</v>
      </c>
      <c r="N285" s="44">
        <v>0</v>
      </c>
      <c r="O285" s="44">
        <v>0</v>
      </c>
      <c r="P285" s="44">
        <v>0</v>
      </c>
      <c r="Q285" s="44">
        <v>0</v>
      </c>
      <c r="R285" s="44">
        <v>0</v>
      </c>
      <c r="S285" s="44">
        <v>0</v>
      </c>
      <c r="T285" s="44">
        <v>0</v>
      </c>
      <c r="U285" s="44">
        <v>0</v>
      </c>
      <c r="V285" s="44">
        <v>0</v>
      </c>
      <c r="W285" s="44">
        <v>0</v>
      </c>
      <c r="X285" s="44">
        <v>0</v>
      </c>
      <c r="Y285" s="44">
        <v>0</v>
      </c>
      <c r="Z285" s="39"/>
      <c r="AA285" s="41"/>
      <c r="AB285" s="42"/>
      <c r="AC285" s="42"/>
      <c r="AD285" s="43"/>
    </row>
    <row r="286" spans="1:30" ht="69.75" x14ac:dyDescent="0.25">
      <c r="A286" s="37" t="s">
        <v>808</v>
      </c>
      <c r="B286" s="38" t="s">
        <v>809</v>
      </c>
      <c r="C286" s="39" t="s">
        <v>810</v>
      </c>
      <c r="D286" s="39" t="s">
        <v>811</v>
      </c>
      <c r="E286" s="39" t="s">
        <v>46</v>
      </c>
      <c r="F286" s="40">
        <f>SUM(F287:F287)+33000</f>
        <v>33000</v>
      </c>
      <c r="G286" s="40">
        <f>SUM(G287:G287)+33000</f>
        <v>33000</v>
      </c>
      <c r="H286" s="40">
        <f t="shared" ref="H286:O286" si="187">SUM(H287:H287)</f>
        <v>0</v>
      </c>
      <c r="I286" s="40">
        <f t="shared" si="187"/>
        <v>0</v>
      </c>
      <c r="J286" s="40">
        <f t="shared" si="187"/>
        <v>0</v>
      </c>
      <c r="K286" s="40">
        <f t="shared" si="187"/>
        <v>0</v>
      </c>
      <c r="L286" s="40">
        <f t="shared" si="187"/>
        <v>0</v>
      </c>
      <c r="M286" s="40">
        <f t="shared" si="187"/>
        <v>0</v>
      </c>
      <c r="N286" s="40">
        <f t="shared" si="187"/>
        <v>0</v>
      </c>
      <c r="O286" s="40">
        <f t="shared" si="187"/>
        <v>0</v>
      </c>
      <c r="P286" s="40">
        <f>SUM(P287:P287)+32999.26</f>
        <v>32999.26</v>
      </c>
      <c r="Q286" s="40">
        <f>SUM(Q287:Q287)+32999.26</f>
        <v>32999.26</v>
      </c>
      <c r="R286" s="40">
        <f t="shared" ref="R286:Y286" si="188">SUM(R287:R287)</f>
        <v>0</v>
      </c>
      <c r="S286" s="40">
        <f t="shared" si="188"/>
        <v>0</v>
      </c>
      <c r="T286" s="40">
        <f t="shared" si="188"/>
        <v>0</v>
      </c>
      <c r="U286" s="40">
        <f t="shared" si="188"/>
        <v>0</v>
      </c>
      <c r="V286" s="40">
        <f t="shared" si="188"/>
        <v>0</v>
      </c>
      <c r="W286" s="40">
        <f t="shared" si="188"/>
        <v>0</v>
      </c>
      <c r="X286" s="40">
        <f t="shared" si="188"/>
        <v>0</v>
      </c>
      <c r="Y286" s="40">
        <f t="shared" si="188"/>
        <v>0</v>
      </c>
      <c r="Z286" s="39" t="s">
        <v>792</v>
      </c>
      <c r="AA286" s="41" t="s">
        <v>41</v>
      </c>
      <c r="AB286" s="42" t="s">
        <v>42</v>
      </c>
      <c r="AC286" s="42" t="s">
        <v>56</v>
      </c>
      <c r="AD286" s="43"/>
    </row>
    <row r="287" spans="1:30" ht="69.75" x14ac:dyDescent="0.25">
      <c r="A287" s="37" t="s">
        <v>812</v>
      </c>
      <c r="B287" s="38" t="s">
        <v>813</v>
      </c>
      <c r="C287" s="39"/>
      <c r="D287" s="39"/>
      <c r="E287" s="39"/>
      <c r="F287" s="44">
        <v>0</v>
      </c>
      <c r="G287" s="44">
        <v>0</v>
      </c>
      <c r="H287" s="44">
        <v>0</v>
      </c>
      <c r="I287" s="44">
        <v>0</v>
      </c>
      <c r="J287" s="44">
        <v>0</v>
      </c>
      <c r="K287" s="44">
        <v>0</v>
      </c>
      <c r="L287" s="44">
        <v>0</v>
      </c>
      <c r="M287" s="44">
        <v>0</v>
      </c>
      <c r="N287" s="44">
        <v>0</v>
      </c>
      <c r="O287" s="44">
        <v>0</v>
      </c>
      <c r="P287" s="44">
        <v>0</v>
      </c>
      <c r="Q287" s="44">
        <v>0</v>
      </c>
      <c r="R287" s="44">
        <v>0</v>
      </c>
      <c r="S287" s="44">
        <v>0</v>
      </c>
      <c r="T287" s="44">
        <v>0</v>
      </c>
      <c r="U287" s="44">
        <v>0</v>
      </c>
      <c r="V287" s="44">
        <v>0</v>
      </c>
      <c r="W287" s="44">
        <v>0</v>
      </c>
      <c r="X287" s="44">
        <v>0</v>
      </c>
      <c r="Y287" s="44">
        <v>0</v>
      </c>
      <c r="Z287" s="39"/>
      <c r="AA287" s="41"/>
      <c r="AB287" s="42"/>
      <c r="AC287" s="42"/>
      <c r="AD287" s="43"/>
    </row>
    <row r="288" spans="1:30" ht="69.75" x14ac:dyDescent="0.25">
      <c r="A288" s="37" t="s">
        <v>814</v>
      </c>
      <c r="B288" s="38" t="s">
        <v>815</v>
      </c>
      <c r="C288" s="39" t="s">
        <v>144</v>
      </c>
      <c r="D288" s="39" t="s">
        <v>816</v>
      </c>
      <c r="E288" s="39" t="s">
        <v>46</v>
      </c>
      <c r="F288" s="40">
        <f>SUM(F289:F289)+16500</f>
        <v>16500</v>
      </c>
      <c r="G288" s="40">
        <f>SUM(G289:G289)+16500</f>
        <v>16500</v>
      </c>
      <c r="H288" s="40">
        <f t="shared" ref="H288:O288" si="189">SUM(H289:H289)</f>
        <v>0</v>
      </c>
      <c r="I288" s="40">
        <f t="shared" si="189"/>
        <v>0</v>
      </c>
      <c r="J288" s="40">
        <f t="shared" si="189"/>
        <v>0</v>
      </c>
      <c r="K288" s="40">
        <f t="shared" si="189"/>
        <v>0</v>
      </c>
      <c r="L288" s="40">
        <f t="shared" si="189"/>
        <v>0</v>
      </c>
      <c r="M288" s="40">
        <f t="shared" si="189"/>
        <v>0</v>
      </c>
      <c r="N288" s="40">
        <f t="shared" si="189"/>
        <v>0</v>
      </c>
      <c r="O288" s="40">
        <f t="shared" si="189"/>
        <v>0</v>
      </c>
      <c r="P288" s="40">
        <f>SUM(P289:P289)+16499.02</f>
        <v>16499.02</v>
      </c>
      <c r="Q288" s="40">
        <f>SUM(Q289:Q289)+16499.02</f>
        <v>16499.02</v>
      </c>
      <c r="R288" s="40">
        <f t="shared" ref="R288:Y288" si="190">SUM(R289:R289)</f>
        <v>0</v>
      </c>
      <c r="S288" s="40">
        <f t="shared" si="190"/>
        <v>0</v>
      </c>
      <c r="T288" s="40">
        <f t="shared" si="190"/>
        <v>0</v>
      </c>
      <c r="U288" s="40">
        <f t="shared" si="190"/>
        <v>0</v>
      </c>
      <c r="V288" s="40">
        <f t="shared" si="190"/>
        <v>0</v>
      </c>
      <c r="W288" s="40">
        <f t="shared" si="190"/>
        <v>0</v>
      </c>
      <c r="X288" s="40">
        <f t="shared" si="190"/>
        <v>0</v>
      </c>
      <c r="Y288" s="40">
        <f t="shared" si="190"/>
        <v>0</v>
      </c>
      <c r="Z288" s="39" t="s">
        <v>792</v>
      </c>
      <c r="AA288" s="41" t="s">
        <v>41</v>
      </c>
      <c r="AB288" s="42" t="s">
        <v>42</v>
      </c>
      <c r="AC288" s="42" t="s">
        <v>42</v>
      </c>
      <c r="AD288" s="43"/>
    </row>
    <row r="289" spans="1:30" ht="69.75" x14ac:dyDescent="0.25">
      <c r="A289" s="37" t="s">
        <v>817</v>
      </c>
      <c r="B289" s="38" t="s">
        <v>818</v>
      </c>
      <c r="C289" s="39"/>
      <c r="D289" s="39"/>
      <c r="E289" s="39"/>
      <c r="F289" s="44">
        <v>0</v>
      </c>
      <c r="G289" s="44">
        <v>0</v>
      </c>
      <c r="H289" s="44">
        <v>0</v>
      </c>
      <c r="I289" s="44">
        <v>0</v>
      </c>
      <c r="J289" s="44">
        <v>0</v>
      </c>
      <c r="K289" s="44">
        <v>0</v>
      </c>
      <c r="L289" s="44">
        <v>0</v>
      </c>
      <c r="M289" s="44">
        <v>0</v>
      </c>
      <c r="N289" s="44">
        <v>0</v>
      </c>
      <c r="O289" s="44">
        <v>0</v>
      </c>
      <c r="P289" s="44">
        <v>0</v>
      </c>
      <c r="Q289" s="44">
        <v>0</v>
      </c>
      <c r="R289" s="44">
        <v>0</v>
      </c>
      <c r="S289" s="44">
        <v>0</v>
      </c>
      <c r="T289" s="44">
        <v>0</v>
      </c>
      <c r="U289" s="44">
        <v>0</v>
      </c>
      <c r="V289" s="44">
        <v>0</v>
      </c>
      <c r="W289" s="44">
        <v>0</v>
      </c>
      <c r="X289" s="44">
        <v>0</v>
      </c>
      <c r="Y289" s="44">
        <v>0</v>
      </c>
      <c r="Z289" s="39"/>
      <c r="AA289" s="41"/>
      <c r="AB289" s="42"/>
      <c r="AC289" s="42"/>
      <c r="AD289" s="43"/>
    </row>
    <row r="290" spans="1:30" ht="69.75" x14ac:dyDescent="0.25">
      <c r="A290" s="37" t="s">
        <v>819</v>
      </c>
      <c r="B290" s="38" t="s">
        <v>820</v>
      </c>
      <c r="C290" s="39" t="s">
        <v>149</v>
      </c>
      <c r="D290" s="39" t="s">
        <v>821</v>
      </c>
      <c r="E290" s="39" t="s">
        <v>46</v>
      </c>
      <c r="F290" s="40">
        <f>SUM(F291:F291)+24902</f>
        <v>24902</v>
      </c>
      <c r="G290" s="40">
        <f>SUM(G291:G291)+24902</f>
        <v>24902</v>
      </c>
      <c r="H290" s="40">
        <f t="shared" ref="H290:O290" si="191">SUM(H291:H291)</f>
        <v>0</v>
      </c>
      <c r="I290" s="40">
        <f t="shared" si="191"/>
        <v>0</v>
      </c>
      <c r="J290" s="40">
        <f t="shared" si="191"/>
        <v>0</v>
      </c>
      <c r="K290" s="40">
        <f t="shared" si="191"/>
        <v>0</v>
      </c>
      <c r="L290" s="40">
        <f t="shared" si="191"/>
        <v>0</v>
      </c>
      <c r="M290" s="40">
        <f t="shared" si="191"/>
        <v>0</v>
      </c>
      <c r="N290" s="40">
        <f t="shared" si="191"/>
        <v>0</v>
      </c>
      <c r="O290" s="40">
        <f t="shared" si="191"/>
        <v>0</v>
      </c>
      <c r="P290" s="40">
        <f>SUM(P291:P291)+24801.88</f>
        <v>24801.88</v>
      </c>
      <c r="Q290" s="40">
        <f>SUM(Q291:Q291)+24801.88</f>
        <v>24801.88</v>
      </c>
      <c r="R290" s="40">
        <f t="shared" ref="R290:Y290" si="192">SUM(R291:R291)</f>
        <v>0</v>
      </c>
      <c r="S290" s="40">
        <f t="shared" si="192"/>
        <v>0</v>
      </c>
      <c r="T290" s="40">
        <f t="shared" si="192"/>
        <v>0</v>
      </c>
      <c r="U290" s="40">
        <f t="shared" si="192"/>
        <v>0</v>
      </c>
      <c r="V290" s="40">
        <f t="shared" si="192"/>
        <v>0</v>
      </c>
      <c r="W290" s="40">
        <f t="shared" si="192"/>
        <v>0</v>
      </c>
      <c r="X290" s="40">
        <f t="shared" si="192"/>
        <v>0</v>
      </c>
      <c r="Y290" s="40">
        <f t="shared" si="192"/>
        <v>0</v>
      </c>
      <c r="Z290" s="39" t="s">
        <v>792</v>
      </c>
      <c r="AA290" s="41" t="s">
        <v>41</v>
      </c>
      <c r="AB290" s="42" t="s">
        <v>42</v>
      </c>
      <c r="AC290" s="42" t="s">
        <v>42</v>
      </c>
      <c r="AD290" s="43"/>
    </row>
    <row r="291" spans="1:30" ht="69.75" x14ac:dyDescent="0.25">
      <c r="A291" s="37" t="s">
        <v>822</v>
      </c>
      <c r="B291" s="38" t="s">
        <v>823</v>
      </c>
      <c r="C291" s="39"/>
      <c r="D291" s="39"/>
      <c r="E291" s="39"/>
      <c r="F291" s="44">
        <v>0</v>
      </c>
      <c r="G291" s="44">
        <v>0</v>
      </c>
      <c r="H291" s="44">
        <v>0</v>
      </c>
      <c r="I291" s="44">
        <v>0</v>
      </c>
      <c r="J291" s="44">
        <v>0</v>
      </c>
      <c r="K291" s="44">
        <v>0</v>
      </c>
      <c r="L291" s="44">
        <v>0</v>
      </c>
      <c r="M291" s="44">
        <v>0</v>
      </c>
      <c r="N291" s="44">
        <v>0</v>
      </c>
      <c r="O291" s="44">
        <v>0</v>
      </c>
      <c r="P291" s="44">
        <v>0</v>
      </c>
      <c r="Q291" s="44">
        <v>0</v>
      </c>
      <c r="R291" s="44">
        <v>0</v>
      </c>
      <c r="S291" s="44">
        <v>0</v>
      </c>
      <c r="T291" s="44">
        <v>0</v>
      </c>
      <c r="U291" s="44">
        <v>0</v>
      </c>
      <c r="V291" s="44">
        <v>0</v>
      </c>
      <c r="W291" s="44">
        <v>0</v>
      </c>
      <c r="X291" s="44">
        <v>0</v>
      </c>
      <c r="Y291" s="44">
        <v>0</v>
      </c>
      <c r="Z291" s="39"/>
      <c r="AA291" s="41"/>
      <c r="AB291" s="42"/>
      <c r="AC291" s="42"/>
      <c r="AD291" s="43"/>
    </row>
    <row r="292" spans="1:30" ht="69.75" x14ac:dyDescent="0.25">
      <c r="A292" s="37" t="s">
        <v>824</v>
      </c>
      <c r="B292" s="38" t="s">
        <v>825</v>
      </c>
      <c r="C292" s="39" t="s">
        <v>156</v>
      </c>
      <c r="D292" s="39" t="s">
        <v>826</v>
      </c>
      <c r="E292" s="39" t="s">
        <v>46</v>
      </c>
      <c r="F292" s="40">
        <f>SUM(F293:F293)+12636</f>
        <v>12636</v>
      </c>
      <c r="G292" s="40">
        <f>SUM(G293:G293)+12636</f>
        <v>12636</v>
      </c>
      <c r="H292" s="40">
        <f t="shared" ref="H292:O292" si="193">SUM(H293:H293)</f>
        <v>0</v>
      </c>
      <c r="I292" s="40">
        <f t="shared" si="193"/>
        <v>0</v>
      </c>
      <c r="J292" s="40">
        <f t="shared" si="193"/>
        <v>0</v>
      </c>
      <c r="K292" s="40">
        <f t="shared" si="193"/>
        <v>0</v>
      </c>
      <c r="L292" s="40">
        <f t="shared" si="193"/>
        <v>0</v>
      </c>
      <c r="M292" s="40">
        <f t="shared" si="193"/>
        <v>0</v>
      </c>
      <c r="N292" s="40">
        <f t="shared" si="193"/>
        <v>0</v>
      </c>
      <c r="O292" s="40">
        <f t="shared" si="193"/>
        <v>0</v>
      </c>
      <c r="P292" s="40">
        <f>SUM(P293:P293)+12634.5</f>
        <v>12634.5</v>
      </c>
      <c r="Q292" s="40">
        <f>SUM(Q293:Q293)+12634.5</f>
        <v>12634.5</v>
      </c>
      <c r="R292" s="40">
        <f t="shared" ref="R292:Y292" si="194">SUM(R293:R293)</f>
        <v>0</v>
      </c>
      <c r="S292" s="40">
        <f t="shared" si="194"/>
        <v>0</v>
      </c>
      <c r="T292" s="40">
        <f t="shared" si="194"/>
        <v>0</v>
      </c>
      <c r="U292" s="40">
        <f t="shared" si="194"/>
        <v>0</v>
      </c>
      <c r="V292" s="40">
        <f t="shared" si="194"/>
        <v>0</v>
      </c>
      <c r="W292" s="40">
        <f t="shared" si="194"/>
        <v>0</v>
      </c>
      <c r="X292" s="40">
        <f t="shared" si="194"/>
        <v>0</v>
      </c>
      <c r="Y292" s="40">
        <f t="shared" si="194"/>
        <v>0</v>
      </c>
      <c r="Z292" s="39" t="s">
        <v>792</v>
      </c>
      <c r="AA292" s="41" t="s">
        <v>41</v>
      </c>
      <c r="AB292" s="42" t="s">
        <v>42</v>
      </c>
      <c r="AC292" s="42" t="s">
        <v>42</v>
      </c>
      <c r="AD292" s="43"/>
    </row>
    <row r="293" spans="1:30" ht="69.75" x14ac:dyDescent="0.25">
      <c r="A293" s="37" t="s">
        <v>827</v>
      </c>
      <c r="B293" s="38" t="s">
        <v>828</v>
      </c>
      <c r="C293" s="39"/>
      <c r="D293" s="39"/>
      <c r="E293" s="39"/>
      <c r="F293" s="44">
        <v>0</v>
      </c>
      <c r="G293" s="44">
        <v>0</v>
      </c>
      <c r="H293" s="44">
        <v>0</v>
      </c>
      <c r="I293" s="44">
        <v>0</v>
      </c>
      <c r="J293" s="44">
        <v>0</v>
      </c>
      <c r="K293" s="44">
        <v>0</v>
      </c>
      <c r="L293" s="44">
        <v>0</v>
      </c>
      <c r="M293" s="44">
        <v>0</v>
      </c>
      <c r="N293" s="44">
        <v>0</v>
      </c>
      <c r="O293" s="44">
        <v>0</v>
      </c>
      <c r="P293" s="44">
        <v>0</v>
      </c>
      <c r="Q293" s="44">
        <v>0</v>
      </c>
      <c r="R293" s="44">
        <v>0</v>
      </c>
      <c r="S293" s="44">
        <v>0</v>
      </c>
      <c r="T293" s="44">
        <v>0</v>
      </c>
      <c r="U293" s="44">
        <v>0</v>
      </c>
      <c r="V293" s="44">
        <v>0</v>
      </c>
      <c r="W293" s="44">
        <v>0</v>
      </c>
      <c r="X293" s="44">
        <v>0</v>
      </c>
      <c r="Y293" s="44">
        <v>0</v>
      </c>
      <c r="Z293" s="39"/>
      <c r="AA293" s="41"/>
      <c r="AB293" s="42"/>
      <c r="AC293" s="42"/>
      <c r="AD293" s="43"/>
    </row>
    <row r="294" spans="1:30" ht="69.75" x14ac:dyDescent="0.25">
      <c r="A294" s="37" t="s">
        <v>829</v>
      </c>
      <c r="B294" s="38" t="s">
        <v>830</v>
      </c>
      <c r="C294" s="39" t="s">
        <v>831</v>
      </c>
      <c r="D294" s="39" t="s">
        <v>832</v>
      </c>
      <c r="E294" s="39" t="s">
        <v>46</v>
      </c>
      <c r="F294" s="40">
        <f>SUM(F295:F295)+35898</f>
        <v>35898</v>
      </c>
      <c r="G294" s="40">
        <f>SUM(G295:G295)+35898</f>
        <v>35898</v>
      </c>
      <c r="H294" s="40">
        <f t="shared" ref="H294:O294" si="195">SUM(H295:H295)</f>
        <v>0</v>
      </c>
      <c r="I294" s="40">
        <f t="shared" si="195"/>
        <v>0</v>
      </c>
      <c r="J294" s="40">
        <f t="shared" si="195"/>
        <v>0</v>
      </c>
      <c r="K294" s="40">
        <f t="shared" si="195"/>
        <v>0</v>
      </c>
      <c r="L294" s="40">
        <f t="shared" si="195"/>
        <v>0</v>
      </c>
      <c r="M294" s="40">
        <f t="shared" si="195"/>
        <v>0</v>
      </c>
      <c r="N294" s="40">
        <f t="shared" si="195"/>
        <v>0</v>
      </c>
      <c r="O294" s="40">
        <f t="shared" si="195"/>
        <v>0</v>
      </c>
      <c r="P294" s="40">
        <f>SUM(P295:P295)+35890.81</f>
        <v>35890.81</v>
      </c>
      <c r="Q294" s="40">
        <f>SUM(Q295:Q295)+35890.81</f>
        <v>35890.81</v>
      </c>
      <c r="R294" s="40">
        <f t="shared" ref="R294:Y294" si="196">SUM(R295:R295)</f>
        <v>0</v>
      </c>
      <c r="S294" s="40">
        <f t="shared" si="196"/>
        <v>0</v>
      </c>
      <c r="T294" s="40">
        <f t="shared" si="196"/>
        <v>0</v>
      </c>
      <c r="U294" s="40">
        <f t="shared" si="196"/>
        <v>0</v>
      </c>
      <c r="V294" s="40">
        <f t="shared" si="196"/>
        <v>0</v>
      </c>
      <c r="W294" s="40">
        <f t="shared" si="196"/>
        <v>0</v>
      </c>
      <c r="X294" s="40">
        <f t="shared" si="196"/>
        <v>0</v>
      </c>
      <c r="Y294" s="40">
        <f t="shared" si="196"/>
        <v>0</v>
      </c>
      <c r="Z294" s="39" t="s">
        <v>792</v>
      </c>
      <c r="AA294" s="41" t="s">
        <v>41</v>
      </c>
      <c r="AB294" s="42" t="s">
        <v>42</v>
      </c>
      <c r="AC294" s="42" t="s">
        <v>42</v>
      </c>
      <c r="AD294" s="43"/>
    </row>
    <row r="295" spans="1:30" ht="69.75" x14ac:dyDescent="0.25">
      <c r="A295" s="37" t="s">
        <v>833</v>
      </c>
      <c r="B295" s="38" t="s">
        <v>834</v>
      </c>
      <c r="C295" s="39"/>
      <c r="D295" s="39"/>
      <c r="E295" s="39"/>
      <c r="F295" s="44">
        <v>0</v>
      </c>
      <c r="G295" s="44">
        <v>0</v>
      </c>
      <c r="H295" s="44">
        <v>0</v>
      </c>
      <c r="I295" s="44">
        <v>0</v>
      </c>
      <c r="J295" s="44">
        <v>0</v>
      </c>
      <c r="K295" s="44">
        <v>0</v>
      </c>
      <c r="L295" s="44">
        <v>0</v>
      </c>
      <c r="M295" s="44">
        <v>0</v>
      </c>
      <c r="N295" s="44">
        <v>0</v>
      </c>
      <c r="O295" s="44">
        <v>0</v>
      </c>
      <c r="P295" s="44">
        <v>0</v>
      </c>
      <c r="Q295" s="44">
        <v>0</v>
      </c>
      <c r="R295" s="44">
        <v>0</v>
      </c>
      <c r="S295" s="44">
        <v>0</v>
      </c>
      <c r="T295" s="44">
        <v>0</v>
      </c>
      <c r="U295" s="44">
        <v>0</v>
      </c>
      <c r="V295" s="44">
        <v>0</v>
      </c>
      <c r="W295" s="44">
        <v>0</v>
      </c>
      <c r="X295" s="44">
        <v>0</v>
      </c>
      <c r="Y295" s="44">
        <v>0</v>
      </c>
      <c r="Z295" s="39"/>
      <c r="AA295" s="41"/>
      <c r="AB295" s="42"/>
      <c r="AC295" s="42"/>
      <c r="AD295" s="43"/>
    </row>
    <row r="296" spans="1:30" ht="69.75" x14ac:dyDescent="0.25">
      <c r="A296" s="37" t="s">
        <v>835</v>
      </c>
      <c r="B296" s="38" t="s">
        <v>836</v>
      </c>
      <c r="C296" s="39" t="s">
        <v>837</v>
      </c>
      <c r="D296" s="39" t="s">
        <v>838</v>
      </c>
      <c r="E296" s="39" t="s">
        <v>46</v>
      </c>
      <c r="F296" s="40">
        <f>SUM(F297:F297)+6325</f>
        <v>6325</v>
      </c>
      <c r="G296" s="40">
        <f>SUM(G297:G297)+6325</f>
        <v>6325</v>
      </c>
      <c r="H296" s="40">
        <f t="shared" ref="H296:O296" si="197">SUM(H297:H297)</f>
        <v>0</v>
      </c>
      <c r="I296" s="40">
        <f t="shared" si="197"/>
        <v>0</v>
      </c>
      <c r="J296" s="40">
        <f t="shared" si="197"/>
        <v>0</v>
      </c>
      <c r="K296" s="40">
        <f t="shared" si="197"/>
        <v>0</v>
      </c>
      <c r="L296" s="40">
        <f t="shared" si="197"/>
        <v>0</v>
      </c>
      <c r="M296" s="40">
        <f t="shared" si="197"/>
        <v>0</v>
      </c>
      <c r="N296" s="40">
        <f t="shared" si="197"/>
        <v>0</v>
      </c>
      <c r="O296" s="40">
        <f t="shared" si="197"/>
        <v>0</v>
      </c>
      <c r="P296" s="40">
        <f>SUM(P297:P297)+6324.07</f>
        <v>6324.07</v>
      </c>
      <c r="Q296" s="40">
        <f>SUM(Q297:Q297)+6324.07</f>
        <v>6324.07</v>
      </c>
      <c r="R296" s="40">
        <f t="shared" ref="R296:Y296" si="198">SUM(R297:R297)</f>
        <v>0</v>
      </c>
      <c r="S296" s="40">
        <f t="shared" si="198"/>
        <v>0</v>
      </c>
      <c r="T296" s="40">
        <f t="shared" si="198"/>
        <v>0</v>
      </c>
      <c r="U296" s="40">
        <f t="shared" si="198"/>
        <v>0</v>
      </c>
      <c r="V296" s="40">
        <f t="shared" si="198"/>
        <v>0</v>
      </c>
      <c r="W296" s="40">
        <f t="shared" si="198"/>
        <v>0</v>
      </c>
      <c r="X296" s="40">
        <f t="shared" si="198"/>
        <v>0</v>
      </c>
      <c r="Y296" s="40">
        <f t="shared" si="198"/>
        <v>0</v>
      </c>
      <c r="Z296" s="39" t="s">
        <v>792</v>
      </c>
      <c r="AA296" s="41" t="s">
        <v>41</v>
      </c>
      <c r="AB296" s="42" t="s">
        <v>42</v>
      </c>
      <c r="AC296" s="42" t="s">
        <v>42</v>
      </c>
      <c r="AD296" s="43"/>
    </row>
    <row r="297" spans="1:30" ht="69.75" x14ac:dyDescent="0.25">
      <c r="A297" s="37" t="s">
        <v>839</v>
      </c>
      <c r="B297" s="38" t="s">
        <v>840</v>
      </c>
      <c r="C297" s="39"/>
      <c r="D297" s="39"/>
      <c r="E297" s="39"/>
      <c r="F297" s="44">
        <v>0</v>
      </c>
      <c r="G297" s="44">
        <v>0</v>
      </c>
      <c r="H297" s="44">
        <v>0</v>
      </c>
      <c r="I297" s="44">
        <v>0</v>
      </c>
      <c r="J297" s="44">
        <v>0</v>
      </c>
      <c r="K297" s="44">
        <v>0</v>
      </c>
      <c r="L297" s="44">
        <v>0</v>
      </c>
      <c r="M297" s="44">
        <v>0</v>
      </c>
      <c r="N297" s="44">
        <v>0</v>
      </c>
      <c r="O297" s="44">
        <v>0</v>
      </c>
      <c r="P297" s="44">
        <v>0</v>
      </c>
      <c r="Q297" s="44">
        <v>0</v>
      </c>
      <c r="R297" s="44">
        <v>0</v>
      </c>
      <c r="S297" s="44">
        <v>0</v>
      </c>
      <c r="T297" s="44">
        <v>0</v>
      </c>
      <c r="U297" s="44">
        <v>0</v>
      </c>
      <c r="V297" s="44">
        <v>0</v>
      </c>
      <c r="W297" s="44">
        <v>0</v>
      </c>
      <c r="X297" s="44">
        <v>0</v>
      </c>
      <c r="Y297" s="44">
        <v>0</v>
      </c>
      <c r="Z297" s="39"/>
      <c r="AA297" s="41"/>
      <c r="AB297" s="42"/>
      <c r="AC297" s="42"/>
      <c r="AD297" s="43"/>
    </row>
    <row r="298" spans="1:30" ht="69.75" x14ac:dyDescent="0.25">
      <c r="A298" s="37" t="s">
        <v>841</v>
      </c>
      <c r="B298" s="38" t="s">
        <v>842</v>
      </c>
      <c r="C298" s="39" t="s">
        <v>843</v>
      </c>
      <c r="D298" s="39" t="s">
        <v>844</v>
      </c>
      <c r="E298" s="39" t="s">
        <v>46</v>
      </c>
      <c r="F298" s="40">
        <f>SUM(F299:F300)+31563.15</f>
        <v>31563.15</v>
      </c>
      <c r="G298" s="40">
        <f>SUM(G299:G300)+30000</f>
        <v>30000</v>
      </c>
      <c r="H298" s="40">
        <f>SUM(H299:H300)+1563.15</f>
        <v>1563.15</v>
      </c>
      <c r="I298" s="40">
        <f t="shared" ref="I298:O298" si="199">SUM(I299:I300)</f>
        <v>0</v>
      </c>
      <c r="J298" s="40">
        <f t="shared" si="199"/>
        <v>0</v>
      </c>
      <c r="K298" s="40">
        <f t="shared" si="199"/>
        <v>0</v>
      </c>
      <c r="L298" s="40">
        <f t="shared" si="199"/>
        <v>0</v>
      </c>
      <c r="M298" s="40">
        <f t="shared" si="199"/>
        <v>0</v>
      </c>
      <c r="N298" s="40">
        <f t="shared" si="199"/>
        <v>0</v>
      </c>
      <c r="O298" s="40">
        <f t="shared" si="199"/>
        <v>0</v>
      </c>
      <c r="P298" s="40">
        <f>SUM(P299:P300)+30659.6</f>
        <v>30659.599999999999</v>
      </c>
      <c r="Q298" s="40">
        <f>SUM(Q299:Q300)+29996.45</f>
        <v>29996.45</v>
      </c>
      <c r="R298" s="40">
        <f>SUM(R299:R300)+100</f>
        <v>100</v>
      </c>
      <c r="S298" s="40">
        <f t="shared" ref="S298:Y298" si="200">SUM(S299:S300)</f>
        <v>0</v>
      </c>
      <c r="T298" s="40">
        <f t="shared" si="200"/>
        <v>0</v>
      </c>
      <c r="U298" s="40">
        <f t="shared" si="200"/>
        <v>0</v>
      </c>
      <c r="V298" s="40">
        <f t="shared" si="200"/>
        <v>0</v>
      </c>
      <c r="W298" s="40">
        <f t="shared" si="200"/>
        <v>0</v>
      </c>
      <c r="X298" s="40">
        <f t="shared" si="200"/>
        <v>0</v>
      </c>
      <c r="Y298" s="40">
        <f t="shared" si="200"/>
        <v>0</v>
      </c>
      <c r="Z298" s="39" t="s">
        <v>792</v>
      </c>
      <c r="AA298" s="41" t="s">
        <v>41</v>
      </c>
      <c r="AB298" s="42" t="s">
        <v>42</v>
      </c>
      <c r="AC298" s="42" t="s">
        <v>42</v>
      </c>
      <c r="AD298" s="43"/>
    </row>
    <row r="299" spans="1:30" ht="69.75" x14ac:dyDescent="0.25">
      <c r="A299" s="37" t="s">
        <v>845</v>
      </c>
      <c r="B299" s="38" t="s">
        <v>846</v>
      </c>
      <c r="C299" s="39"/>
      <c r="D299" s="39"/>
      <c r="E299" s="39"/>
      <c r="F299" s="44">
        <v>0</v>
      </c>
      <c r="G299" s="44">
        <v>0</v>
      </c>
      <c r="H299" s="44">
        <v>0</v>
      </c>
      <c r="I299" s="44">
        <v>0</v>
      </c>
      <c r="J299" s="44">
        <v>0</v>
      </c>
      <c r="K299" s="44">
        <v>0</v>
      </c>
      <c r="L299" s="44">
        <v>0</v>
      </c>
      <c r="M299" s="44">
        <v>0</v>
      </c>
      <c r="N299" s="44">
        <v>0</v>
      </c>
      <c r="O299" s="44">
        <v>0</v>
      </c>
      <c r="P299" s="44">
        <v>0</v>
      </c>
      <c r="Q299" s="44">
        <v>0</v>
      </c>
      <c r="R299" s="44">
        <v>0</v>
      </c>
      <c r="S299" s="44">
        <v>0</v>
      </c>
      <c r="T299" s="44">
        <v>0</v>
      </c>
      <c r="U299" s="44">
        <v>0</v>
      </c>
      <c r="V299" s="44">
        <v>0</v>
      </c>
      <c r="W299" s="44">
        <v>0</v>
      </c>
      <c r="X299" s="44">
        <v>0</v>
      </c>
      <c r="Y299" s="44">
        <v>0</v>
      </c>
      <c r="Z299" s="39"/>
      <c r="AA299" s="41"/>
      <c r="AB299" s="42"/>
      <c r="AC299" s="42"/>
      <c r="AD299" s="43"/>
    </row>
    <row r="300" spans="1:30" ht="93" x14ac:dyDescent="0.25">
      <c r="A300" s="37" t="s">
        <v>847</v>
      </c>
      <c r="B300" s="38" t="s">
        <v>848</v>
      </c>
      <c r="C300" s="39"/>
      <c r="D300" s="39"/>
      <c r="E300" s="39"/>
      <c r="F300" s="44">
        <v>0</v>
      </c>
      <c r="G300" s="44">
        <v>0</v>
      </c>
      <c r="H300" s="44">
        <v>0</v>
      </c>
      <c r="I300" s="44">
        <v>0</v>
      </c>
      <c r="J300" s="44">
        <v>0</v>
      </c>
      <c r="K300" s="44">
        <v>0</v>
      </c>
      <c r="L300" s="44">
        <v>0</v>
      </c>
      <c r="M300" s="44">
        <v>0</v>
      </c>
      <c r="N300" s="44">
        <v>0</v>
      </c>
      <c r="O300" s="44">
        <v>0</v>
      </c>
      <c r="P300" s="44">
        <v>0</v>
      </c>
      <c r="Q300" s="44">
        <v>0</v>
      </c>
      <c r="R300" s="44">
        <v>0</v>
      </c>
      <c r="S300" s="44">
        <v>0</v>
      </c>
      <c r="T300" s="44">
        <v>0</v>
      </c>
      <c r="U300" s="44">
        <v>0</v>
      </c>
      <c r="V300" s="44">
        <v>0</v>
      </c>
      <c r="W300" s="44">
        <v>0</v>
      </c>
      <c r="X300" s="44">
        <v>0</v>
      </c>
      <c r="Y300" s="44">
        <v>0</v>
      </c>
      <c r="Z300" s="39"/>
      <c r="AA300" s="41"/>
      <c r="AB300" s="42"/>
      <c r="AC300" s="42"/>
      <c r="AD300" s="43"/>
    </row>
    <row r="301" spans="1:30" ht="69.75" x14ac:dyDescent="0.25">
      <c r="A301" s="37" t="s">
        <v>849</v>
      </c>
      <c r="B301" s="38" t="s">
        <v>850</v>
      </c>
      <c r="C301" s="39" t="s">
        <v>851</v>
      </c>
      <c r="D301" s="39" t="s">
        <v>852</v>
      </c>
      <c r="E301" s="39" t="s">
        <v>46</v>
      </c>
      <c r="F301" s="40">
        <f>SUM(F302:F302)+18758</f>
        <v>18758</v>
      </c>
      <c r="G301" s="40">
        <f>SUM(G302:G302)+18758</f>
        <v>18758</v>
      </c>
      <c r="H301" s="40">
        <f t="shared" ref="H301:O301" si="201">SUM(H302:H302)</f>
        <v>0</v>
      </c>
      <c r="I301" s="40">
        <f t="shared" si="201"/>
        <v>0</v>
      </c>
      <c r="J301" s="40">
        <f t="shared" si="201"/>
        <v>0</v>
      </c>
      <c r="K301" s="40">
        <f t="shared" si="201"/>
        <v>0</v>
      </c>
      <c r="L301" s="40">
        <f t="shared" si="201"/>
        <v>0</v>
      </c>
      <c r="M301" s="40">
        <f t="shared" si="201"/>
        <v>0</v>
      </c>
      <c r="N301" s="40">
        <f t="shared" si="201"/>
        <v>0</v>
      </c>
      <c r="O301" s="40">
        <f t="shared" si="201"/>
        <v>0</v>
      </c>
      <c r="P301" s="40">
        <f>SUM(P302:P302)+18754.91</f>
        <v>18754.91</v>
      </c>
      <c r="Q301" s="40">
        <f>SUM(Q302:Q302)+18754.91</f>
        <v>18754.91</v>
      </c>
      <c r="R301" s="40">
        <f t="shared" ref="R301:Y301" si="202">SUM(R302:R302)</f>
        <v>0</v>
      </c>
      <c r="S301" s="40">
        <f t="shared" si="202"/>
        <v>0</v>
      </c>
      <c r="T301" s="40">
        <f t="shared" si="202"/>
        <v>0</v>
      </c>
      <c r="U301" s="40">
        <f t="shared" si="202"/>
        <v>0</v>
      </c>
      <c r="V301" s="40">
        <f t="shared" si="202"/>
        <v>0</v>
      </c>
      <c r="W301" s="40">
        <f t="shared" si="202"/>
        <v>0</v>
      </c>
      <c r="X301" s="40">
        <f t="shared" si="202"/>
        <v>0</v>
      </c>
      <c r="Y301" s="40">
        <f t="shared" si="202"/>
        <v>0</v>
      </c>
      <c r="Z301" s="39" t="s">
        <v>792</v>
      </c>
      <c r="AA301" s="41" t="s">
        <v>41</v>
      </c>
      <c r="AB301" s="42" t="s">
        <v>42</v>
      </c>
      <c r="AC301" s="42" t="s">
        <v>42</v>
      </c>
      <c r="AD301" s="43"/>
    </row>
    <row r="302" spans="1:30" ht="69.75" x14ac:dyDescent="0.25">
      <c r="A302" s="37" t="s">
        <v>853</v>
      </c>
      <c r="B302" s="38" t="s">
        <v>854</v>
      </c>
      <c r="C302" s="39"/>
      <c r="D302" s="39"/>
      <c r="E302" s="39"/>
      <c r="F302" s="44">
        <v>0</v>
      </c>
      <c r="G302" s="44">
        <v>0</v>
      </c>
      <c r="H302" s="44">
        <v>0</v>
      </c>
      <c r="I302" s="44">
        <v>0</v>
      </c>
      <c r="J302" s="44">
        <v>0</v>
      </c>
      <c r="K302" s="44">
        <v>0</v>
      </c>
      <c r="L302" s="44">
        <v>0</v>
      </c>
      <c r="M302" s="44">
        <v>0</v>
      </c>
      <c r="N302" s="44">
        <v>0</v>
      </c>
      <c r="O302" s="44">
        <v>0</v>
      </c>
      <c r="P302" s="44">
        <v>0</v>
      </c>
      <c r="Q302" s="44">
        <v>0</v>
      </c>
      <c r="R302" s="44">
        <v>0</v>
      </c>
      <c r="S302" s="44">
        <v>0</v>
      </c>
      <c r="T302" s="44">
        <v>0</v>
      </c>
      <c r="U302" s="44">
        <v>0</v>
      </c>
      <c r="V302" s="44">
        <v>0</v>
      </c>
      <c r="W302" s="44">
        <v>0</v>
      </c>
      <c r="X302" s="44">
        <v>0</v>
      </c>
      <c r="Y302" s="44">
        <v>0</v>
      </c>
      <c r="Z302" s="39"/>
      <c r="AA302" s="41"/>
      <c r="AB302" s="42"/>
      <c r="AC302" s="42"/>
      <c r="AD302" s="43"/>
    </row>
    <row r="303" spans="1:30" ht="69.75" x14ac:dyDescent="0.25">
      <c r="A303" s="37" t="s">
        <v>855</v>
      </c>
      <c r="B303" s="38" t="s">
        <v>856</v>
      </c>
      <c r="C303" s="39" t="s">
        <v>161</v>
      </c>
      <c r="D303" s="39" t="s">
        <v>857</v>
      </c>
      <c r="E303" s="39" t="s">
        <v>46</v>
      </c>
      <c r="F303" s="40">
        <f>SUM(F304:F304)+16150</f>
        <v>16150</v>
      </c>
      <c r="G303" s="40">
        <f>SUM(G304:G304)+16150</f>
        <v>16150</v>
      </c>
      <c r="H303" s="40">
        <f t="shared" ref="H303:O303" si="203">SUM(H304:H304)</f>
        <v>0</v>
      </c>
      <c r="I303" s="40">
        <f t="shared" si="203"/>
        <v>0</v>
      </c>
      <c r="J303" s="40">
        <f t="shared" si="203"/>
        <v>0</v>
      </c>
      <c r="K303" s="40">
        <f t="shared" si="203"/>
        <v>0</v>
      </c>
      <c r="L303" s="40">
        <f t="shared" si="203"/>
        <v>0</v>
      </c>
      <c r="M303" s="40">
        <f t="shared" si="203"/>
        <v>0</v>
      </c>
      <c r="N303" s="40">
        <f t="shared" si="203"/>
        <v>0</v>
      </c>
      <c r="O303" s="40">
        <f t="shared" si="203"/>
        <v>0</v>
      </c>
      <c r="P303" s="40">
        <f>SUM(P304:P304)+16147.52</f>
        <v>16147.52</v>
      </c>
      <c r="Q303" s="40">
        <f>SUM(Q304:Q304)+16147.52</f>
        <v>16147.52</v>
      </c>
      <c r="R303" s="40">
        <f t="shared" ref="R303:Y303" si="204">SUM(R304:R304)</f>
        <v>0</v>
      </c>
      <c r="S303" s="40">
        <f t="shared" si="204"/>
        <v>0</v>
      </c>
      <c r="T303" s="40">
        <f t="shared" si="204"/>
        <v>0</v>
      </c>
      <c r="U303" s="40">
        <f t="shared" si="204"/>
        <v>0</v>
      </c>
      <c r="V303" s="40">
        <f t="shared" si="204"/>
        <v>0</v>
      </c>
      <c r="W303" s="40">
        <f t="shared" si="204"/>
        <v>0</v>
      </c>
      <c r="X303" s="40">
        <f t="shared" si="204"/>
        <v>0</v>
      </c>
      <c r="Y303" s="40">
        <f t="shared" si="204"/>
        <v>0</v>
      </c>
      <c r="Z303" s="39" t="s">
        <v>792</v>
      </c>
      <c r="AA303" s="41" t="s">
        <v>41</v>
      </c>
      <c r="AB303" s="42" t="s">
        <v>42</v>
      </c>
      <c r="AC303" s="42" t="s">
        <v>56</v>
      </c>
      <c r="AD303" s="43"/>
    </row>
    <row r="304" spans="1:30" ht="69.75" x14ac:dyDescent="0.25">
      <c r="A304" s="37" t="s">
        <v>858</v>
      </c>
      <c r="B304" s="38" t="s">
        <v>859</v>
      </c>
      <c r="C304" s="39"/>
      <c r="D304" s="39"/>
      <c r="E304" s="39"/>
      <c r="F304" s="44">
        <v>0</v>
      </c>
      <c r="G304" s="44">
        <v>0</v>
      </c>
      <c r="H304" s="44">
        <v>0</v>
      </c>
      <c r="I304" s="44">
        <v>0</v>
      </c>
      <c r="J304" s="44">
        <v>0</v>
      </c>
      <c r="K304" s="44">
        <v>0</v>
      </c>
      <c r="L304" s="44">
        <v>0</v>
      </c>
      <c r="M304" s="44">
        <v>0</v>
      </c>
      <c r="N304" s="44">
        <v>0</v>
      </c>
      <c r="O304" s="44">
        <v>0</v>
      </c>
      <c r="P304" s="44">
        <v>0</v>
      </c>
      <c r="Q304" s="44">
        <v>0</v>
      </c>
      <c r="R304" s="44">
        <v>0</v>
      </c>
      <c r="S304" s="44">
        <v>0</v>
      </c>
      <c r="T304" s="44">
        <v>0</v>
      </c>
      <c r="U304" s="44">
        <v>0</v>
      </c>
      <c r="V304" s="44">
        <v>0</v>
      </c>
      <c r="W304" s="44">
        <v>0</v>
      </c>
      <c r="X304" s="44">
        <v>0</v>
      </c>
      <c r="Y304" s="44">
        <v>0</v>
      </c>
      <c r="Z304" s="39"/>
      <c r="AA304" s="41"/>
      <c r="AB304" s="42"/>
      <c r="AC304" s="42"/>
      <c r="AD304" s="43"/>
    </row>
    <row r="305" spans="1:30" ht="69.75" x14ac:dyDescent="0.25">
      <c r="A305" s="37" t="s">
        <v>860</v>
      </c>
      <c r="B305" s="38" t="s">
        <v>861</v>
      </c>
      <c r="C305" s="39" t="s">
        <v>862</v>
      </c>
      <c r="D305" s="39" t="s">
        <v>863</v>
      </c>
      <c r="E305" s="39" t="s">
        <v>46</v>
      </c>
      <c r="F305" s="40">
        <f>SUM(F306:F306)+29290</f>
        <v>29290</v>
      </c>
      <c r="G305" s="40">
        <f>SUM(G306:G306)+29290</f>
        <v>29290</v>
      </c>
      <c r="H305" s="40">
        <f t="shared" ref="H305:O305" si="205">SUM(H306:H306)</f>
        <v>0</v>
      </c>
      <c r="I305" s="40">
        <f t="shared" si="205"/>
        <v>0</v>
      </c>
      <c r="J305" s="40">
        <f t="shared" si="205"/>
        <v>0</v>
      </c>
      <c r="K305" s="40">
        <f t="shared" si="205"/>
        <v>0</v>
      </c>
      <c r="L305" s="40">
        <f t="shared" si="205"/>
        <v>0</v>
      </c>
      <c r="M305" s="40">
        <f t="shared" si="205"/>
        <v>0</v>
      </c>
      <c r="N305" s="40">
        <f t="shared" si="205"/>
        <v>0</v>
      </c>
      <c r="O305" s="40">
        <f t="shared" si="205"/>
        <v>0</v>
      </c>
      <c r="P305" s="40">
        <f>SUM(P306:P306)+29289.24</f>
        <v>29289.24</v>
      </c>
      <c r="Q305" s="40">
        <f>SUM(Q306:Q306)+29289.24</f>
        <v>29289.24</v>
      </c>
      <c r="R305" s="40">
        <f t="shared" ref="R305:Y305" si="206">SUM(R306:R306)</f>
        <v>0</v>
      </c>
      <c r="S305" s="40">
        <f t="shared" si="206"/>
        <v>0</v>
      </c>
      <c r="T305" s="40">
        <f t="shared" si="206"/>
        <v>0</v>
      </c>
      <c r="U305" s="40">
        <f t="shared" si="206"/>
        <v>0</v>
      </c>
      <c r="V305" s="40">
        <f t="shared" si="206"/>
        <v>0</v>
      </c>
      <c r="W305" s="40">
        <f t="shared" si="206"/>
        <v>0</v>
      </c>
      <c r="X305" s="40">
        <f t="shared" si="206"/>
        <v>0</v>
      </c>
      <c r="Y305" s="40">
        <f t="shared" si="206"/>
        <v>0</v>
      </c>
      <c r="Z305" s="39" t="s">
        <v>792</v>
      </c>
      <c r="AA305" s="41" t="s">
        <v>41</v>
      </c>
      <c r="AB305" s="42" t="s">
        <v>82</v>
      </c>
      <c r="AC305" s="42" t="s">
        <v>82</v>
      </c>
      <c r="AD305" s="43"/>
    </row>
    <row r="306" spans="1:30" ht="69.75" x14ac:dyDescent="0.25">
      <c r="A306" s="37" t="s">
        <v>864</v>
      </c>
      <c r="B306" s="38" t="s">
        <v>865</v>
      </c>
      <c r="C306" s="39"/>
      <c r="D306" s="39"/>
      <c r="E306" s="39"/>
      <c r="F306" s="44">
        <v>0</v>
      </c>
      <c r="G306" s="44">
        <v>0</v>
      </c>
      <c r="H306" s="44">
        <v>0</v>
      </c>
      <c r="I306" s="44">
        <v>0</v>
      </c>
      <c r="J306" s="44">
        <v>0</v>
      </c>
      <c r="K306" s="44">
        <v>0</v>
      </c>
      <c r="L306" s="44">
        <v>0</v>
      </c>
      <c r="M306" s="44">
        <v>0</v>
      </c>
      <c r="N306" s="44">
        <v>0</v>
      </c>
      <c r="O306" s="44">
        <v>0</v>
      </c>
      <c r="P306" s="44">
        <v>0</v>
      </c>
      <c r="Q306" s="44">
        <v>0</v>
      </c>
      <c r="R306" s="44">
        <v>0</v>
      </c>
      <c r="S306" s="44">
        <v>0</v>
      </c>
      <c r="T306" s="44">
        <v>0</v>
      </c>
      <c r="U306" s="44">
        <v>0</v>
      </c>
      <c r="V306" s="44">
        <v>0</v>
      </c>
      <c r="W306" s="44">
        <v>0</v>
      </c>
      <c r="X306" s="44">
        <v>0</v>
      </c>
      <c r="Y306" s="44">
        <v>0</v>
      </c>
      <c r="Z306" s="39"/>
      <c r="AA306" s="41"/>
      <c r="AB306" s="42"/>
      <c r="AC306" s="42"/>
      <c r="AD306" s="43"/>
    </row>
    <row r="307" spans="1:30" ht="69.75" x14ac:dyDescent="0.25">
      <c r="A307" s="37" t="s">
        <v>866</v>
      </c>
      <c r="B307" s="38" t="s">
        <v>867</v>
      </c>
      <c r="C307" s="39" t="s">
        <v>868</v>
      </c>
      <c r="D307" s="39" t="s">
        <v>869</v>
      </c>
      <c r="E307" s="39" t="s">
        <v>46</v>
      </c>
      <c r="F307" s="40">
        <f>SUM(F308:F308)+28409.68</f>
        <v>28409.68</v>
      </c>
      <c r="G307" s="40">
        <f>SUM(G308:G308)+27165</f>
        <v>27165</v>
      </c>
      <c r="H307" s="40">
        <f>SUM(H308:H308)+1244.68</f>
        <v>1244.68</v>
      </c>
      <c r="I307" s="40">
        <f t="shared" ref="I307:O307" si="207">SUM(I308:I308)</f>
        <v>0</v>
      </c>
      <c r="J307" s="40">
        <f t="shared" si="207"/>
        <v>0</v>
      </c>
      <c r="K307" s="40">
        <f t="shared" si="207"/>
        <v>0</v>
      </c>
      <c r="L307" s="40">
        <f t="shared" si="207"/>
        <v>0</v>
      </c>
      <c r="M307" s="40">
        <f t="shared" si="207"/>
        <v>0</v>
      </c>
      <c r="N307" s="40">
        <f t="shared" si="207"/>
        <v>0</v>
      </c>
      <c r="O307" s="40">
        <f t="shared" si="207"/>
        <v>0</v>
      </c>
      <c r="P307" s="40">
        <f>SUM(P308:P308)+28405.58</f>
        <v>28405.58</v>
      </c>
      <c r="Q307" s="40">
        <f>SUM(Q308:Q308)+27163.51</f>
        <v>27163.51</v>
      </c>
      <c r="R307" s="40">
        <f>SUM(R308:R308)+797.39</f>
        <v>797.39</v>
      </c>
      <c r="S307" s="40">
        <f t="shared" ref="S307:Y307" si="208">SUM(S308:S308)</f>
        <v>0</v>
      </c>
      <c r="T307" s="40">
        <f t="shared" si="208"/>
        <v>0</v>
      </c>
      <c r="U307" s="40">
        <f t="shared" si="208"/>
        <v>0</v>
      </c>
      <c r="V307" s="40">
        <f t="shared" si="208"/>
        <v>0</v>
      </c>
      <c r="W307" s="40">
        <f t="shared" si="208"/>
        <v>0</v>
      </c>
      <c r="X307" s="40">
        <f t="shared" si="208"/>
        <v>0</v>
      </c>
      <c r="Y307" s="40">
        <f t="shared" si="208"/>
        <v>0</v>
      </c>
      <c r="Z307" s="39" t="s">
        <v>792</v>
      </c>
      <c r="AA307" s="41" t="s">
        <v>41</v>
      </c>
      <c r="AB307" s="42" t="s">
        <v>42</v>
      </c>
      <c r="AC307" s="42" t="s">
        <v>42</v>
      </c>
      <c r="AD307" s="43"/>
    </row>
    <row r="308" spans="1:30" ht="69.75" x14ac:dyDescent="0.25">
      <c r="A308" s="37" t="s">
        <v>870</v>
      </c>
      <c r="B308" s="38" t="s">
        <v>871</v>
      </c>
      <c r="C308" s="39"/>
      <c r="D308" s="39"/>
      <c r="E308" s="39"/>
      <c r="F308" s="44">
        <v>0</v>
      </c>
      <c r="G308" s="44">
        <v>0</v>
      </c>
      <c r="H308" s="44">
        <v>0</v>
      </c>
      <c r="I308" s="44">
        <v>0</v>
      </c>
      <c r="J308" s="44">
        <v>0</v>
      </c>
      <c r="K308" s="44">
        <v>0</v>
      </c>
      <c r="L308" s="44">
        <v>0</v>
      </c>
      <c r="M308" s="44">
        <v>0</v>
      </c>
      <c r="N308" s="44">
        <v>0</v>
      </c>
      <c r="O308" s="44">
        <v>0</v>
      </c>
      <c r="P308" s="44">
        <v>0</v>
      </c>
      <c r="Q308" s="44">
        <v>0</v>
      </c>
      <c r="R308" s="44">
        <v>0</v>
      </c>
      <c r="S308" s="44">
        <v>0</v>
      </c>
      <c r="T308" s="44">
        <v>0</v>
      </c>
      <c r="U308" s="44">
        <v>0</v>
      </c>
      <c r="V308" s="44">
        <v>0</v>
      </c>
      <c r="W308" s="44">
        <v>0</v>
      </c>
      <c r="X308" s="44">
        <v>0</v>
      </c>
      <c r="Y308" s="44">
        <v>0</v>
      </c>
      <c r="Z308" s="39"/>
      <c r="AA308" s="41"/>
      <c r="AB308" s="42"/>
      <c r="AC308" s="42"/>
      <c r="AD308" s="43"/>
    </row>
    <row r="309" spans="1:30" ht="135" x14ac:dyDescent="0.25">
      <c r="A309" s="30" t="s">
        <v>872</v>
      </c>
      <c r="B309" s="31" t="s">
        <v>873</v>
      </c>
      <c r="C309" s="32"/>
      <c r="D309" s="32"/>
      <c r="E309" s="32" t="s">
        <v>39</v>
      </c>
      <c r="F309" s="33">
        <f t="shared" ref="F309:Y309" si="209">SUM(F310:F310)</f>
        <v>391460</v>
      </c>
      <c r="G309" s="33">
        <f t="shared" si="209"/>
        <v>391460</v>
      </c>
      <c r="H309" s="33">
        <f t="shared" si="209"/>
        <v>0</v>
      </c>
      <c r="I309" s="33">
        <f t="shared" si="209"/>
        <v>0</v>
      </c>
      <c r="J309" s="33">
        <f t="shared" si="209"/>
        <v>0</v>
      </c>
      <c r="K309" s="33">
        <f t="shared" si="209"/>
        <v>0</v>
      </c>
      <c r="L309" s="33">
        <f t="shared" si="209"/>
        <v>0</v>
      </c>
      <c r="M309" s="33">
        <f t="shared" si="209"/>
        <v>0</v>
      </c>
      <c r="N309" s="33">
        <f t="shared" si="209"/>
        <v>0</v>
      </c>
      <c r="O309" s="33">
        <f t="shared" si="209"/>
        <v>0</v>
      </c>
      <c r="P309" s="33">
        <f t="shared" si="209"/>
        <v>376341.88</v>
      </c>
      <c r="Q309" s="33">
        <f t="shared" si="209"/>
        <v>376341.88</v>
      </c>
      <c r="R309" s="33">
        <f t="shared" si="209"/>
        <v>0</v>
      </c>
      <c r="S309" s="33">
        <f t="shared" si="209"/>
        <v>0</v>
      </c>
      <c r="T309" s="33">
        <f t="shared" si="209"/>
        <v>0</v>
      </c>
      <c r="U309" s="33">
        <f t="shared" si="209"/>
        <v>0</v>
      </c>
      <c r="V309" s="33">
        <f t="shared" si="209"/>
        <v>0</v>
      </c>
      <c r="W309" s="33">
        <f t="shared" si="209"/>
        <v>0</v>
      </c>
      <c r="X309" s="33">
        <f t="shared" si="209"/>
        <v>0</v>
      </c>
      <c r="Y309" s="33">
        <f t="shared" si="209"/>
        <v>0</v>
      </c>
      <c r="Z309" s="32" t="s">
        <v>874</v>
      </c>
      <c r="AA309" s="34" t="s">
        <v>35</v>
      </c>
      <c r="AB309" s="35" t="s">
        <v>875</v>
      </c>
      <c r="AC309" s="35" t="s">
        <v>876</v>
      </c>
      <c r="AD309" s="36"/>
    </row>
    <row r="310" spans="1:30" ht="139.5" x14ac:dyDescent="0.25">
      <c r="A310" s="37" t="s">
        <v>877</v>
      </c>
      <c r="B310" s="38" t="s">
        <v>878</v>
      </c>
      <c r="C310" s="39" t="s">
        <v>312</v>
      </c>
      <c r="D310" s="39" t="s">
        <v>316</v>
      </c>
      <c r="E310" s="39" t="s">
        <v>46</v>
      </c>
      <c r="F310" s="40">
        <f>SUM(F311:F311)+391460</f>
        <v>391460</v>
      </c>
      <c r="G310" s="40">
        <f>SUM(G311:G311)+391460</f>
        <v>391460</v>
      </c>
      <c r="H310" s="40">
        <f t="shared" ref="H310:O310" si="210">SUM(H311:H311)</f>
        <v>0</v>
      </c>
      <c r="I310" s="40">
        <f t="shared" si="210"/>
        <v>0</v>
      </c>
      <c r="J310" s="40">
        <f t="shared" si="210"/>
        <v>0</v>
      </c>
      <c r="K310" s="40">
        <f t="shared" si="210"/>
        <v>0</v>
      </c>
      <c r="L310" s="40">
        <f t="shared" si="210"/>
        <v>0</v>
      </c>
      <c r="M310" s="40">
        <f t="shared" si="210"/>
        <v>0</v>
      </c>
      <c r="N310" s="40">
        <f t="shared" si="210"/>
        <v>0</v>
      </c>
      <c r="O310" s="40">
        <f t="shared" si="210"/>
        <v>0</v>
      </c>
      <c r="P310" s="40">
        <f>SUM(P311:P311)+376341.88</f>
        <v>376341.88</v>
      </c>
      <c r="Q310" s="40">
        <f>SUM(Q311:Q311)+376341.88</f>
        <v>376341.88</v>
      </c>
      <c r="R310" s="40">
        <f t="shared" ref="R310:Y310" si="211">SUM(R311:R311)</f>
        <v>0</v>
      </c>
      <c r="S310" s="40">
        <f t="shared" si="211"/>
        <v>0</v>
      </c>
      <c r="T310" s="40">
        <f t="shared" si="211"/>
        <v>0</v>
      </c>
      <c r="U310" s="40">
        <f t="shared" si="211"/>
        <v>0</v>
      </c>
      <c r="V310" s="40">
        <f t="shared" si="211"/>
        <v>0</v>
      </c>
      <c r="W310" s="40">
        <f t="shared" si="211"/>
        <v>0</v>
      </c>
      <c r="X310" s="40">
        <f t="shared" si="211"/>
        <v>0</v>
      </c>
      <c r="Y310" s="40">
        <f t="shared" si="211"/>
        <v>0</v>
      </c>
      <c r="Z310" s="39" t="s">
        <v>874</v>
      </c>
      <c r="AA310" s="41" t="s">
        <v>35</v>
      </c>
      <c r="AB310" s="42" t="s">
        <v>875</v>
      </c>
      <c r="AC310" s="42" t="s">
        <v>876</v>
      </c>
      <c r="AD310" s="43"/>
    </row>
    <row r="311" spans="1:30" ht="46.5" x14ac:dyDescent="0.25">
      <c r="A311" s="37" t="s">
        <v>879</v>
      </c>
      <c r="B311" s="38" t="s">
        <v>880</v>
      </c>
      <c r="C311" s="39"/>
      <c r="D311" s="39"/>
      <c r="E311" s="39"/>
      <c r="F311" s="44">
        <v>0</v>
      </c>
      <c r="G311" s="44">
        <v>0</v>
      </c>
      <c r="H311" s="44">
        <v>0</v>
      </c>
      <c r="I311" s="44">
        <v>0</v>
      </c>
      <c r="J311" s="44">
        <v>0</v>
      </c>
      <c r="K311" s="44">
        <v>0</v>
      </c>
      <c r="L311" s="44">
        <v>0</v>
      </c>
      <c r="M311" s="44">
        <v>0</v>
      </c>
      <c r="N311" s="44">
        <v>0</v>
      </c>
      <c r="O311" s="44">
        <v>0</v>
      </c>
      <c r="P311" s="44">
        <v>0</v>
      </c>
      <c r="Q311" s="44">
        <v>0</v>
      </c>
      <c r="R311" s="44">
        <v>0</v>
      </c>
      <c r="S311" s="44">
        <v>0</v>
      </c>
      <c r="T311" s="44">
        <v>0</v>
      </c>
      <c r="U311" s="44">
        <v>0</v>
      </c>
      <c r="V311" s="44">
        <v>0</v>
      </c>
      <c r="W311" s="44">
        <v>0</v>
      </c>
      <c r="X311" s="44">
        <v>0</v>
      </c>
      <c r="Y311" s="44">
        <v>0</v>
      </c>
      <c r="Z311" s="39"/>
      <c r="AA311" s="41"/>
      <c r="AB311" s="42"/>
      <c r="AC311" s="42"/>
      <c r="AD311" s="43"/>
    </row>
    <row r="312" spans="1:30" ht="45" x14ac:dyDescent="0.25">
      <c r="A312" s="30" t="s">
        <v>881</v>
      </c>
      <c r="B312" s="31" t="s">
        <v>882</v>
      </c>
      <c r="C312" s="32"/>
      <c r="D312" s="32"/>
      <c r="E312" s="32" t="s">
        <v>39</v>
      </c>
      <c r="F312" s="33">
        <f t="shared" ref="F312:Y312" si="212">F313+F315+F317</f>
        <v>54168</v>
      </c>
      <c r="G312" s="33">
        <f t="shared" si="212"/>
        <v>54168</v>
      </c>
      <c r="H312" s="33">
        <f t="shared" si="212"/>
        <v>0</v>
      </c>
      <c r="I312" s="33">
        <f t="shared" si="212"/>
        <v>0</v>
      </c>
      <c r="J312" s="33">
        <f t="shared" si="212"/>
        <v>0</v>
      </c>
      <c r="K312" s="33">
        <f t="shared" si="212"/>
        <v>0</v>
      </c>
      <c r="L312" s="33">
        <f t="shared" si="212"/>
        <v>0</v>
      </c>
      <c r="M312" s="33">
        <f t="shared" si="212"/>
        <v>0</v>
      </c>
      <c r="N312" s="33">
        <f t="shared" si="212"/>
        <v>0</v>
      </c>
      <c r="O312" s="33">
        <f t="shared" si="212"/>
        <v>0</v>
      </c>
      <c r="P312" s="33">
        <f t="shared" si="212"/>
        <v>54168</v>
      </c>
      <c r="Q312" s="33">
        <f t="shared" si="212"/>
        <v>54168</v>
      </c>
      <c r="R312" s="33">
        <f t="shared" si="212"/>
        <v>0</v>
      </c>
      <c r="S312" s="33">
        <f t="shared" si="212"/>
        <v>0</v>
      </c>
      <c r="T312" s="33">
        <f t="shared" si="212"/>
        <v>0</v>
      </c>
      <c r="U312" s="33">
        <f t="shared" si="212"/>
        <v>0</v>
      </c>
      <c r="V312" s="33">
        <f t="shared" si="212"/>
        <v>0</v>
      </c>
      <c r="W312" s="33">
        <f t="shared" si="212"/>
        <v>0</v>
      </c>
      <c r="X312" s="33">
        <f t="shared" si="212"/>
        <v>0</v>
      </c>
      <c r="Y312" s="33">
        <f t="shared" si="212"/>
        <v>0</v>
      </c>
      <c r="Z312" s="32" t="s">
        <v>883</v>
      </c>
      <c r="AA312" s="34" t="s">
        <v>41</v>
      </c>
      <c r="AB312" s="35" t="s">
        <v>884</v>
      </c>
      <c r="AC312" s="35" t="s">
        <v>885</v>
      </c>
      <c r="AD312" s="36"/>
    </row>
    <row r="313" spans="1:30" ht="46.5" x14ac:dyDescent="0.25">
      <c r="A313" s="37" t="s">
        <v>886</v>
      </c>
      <c r="B313" s="38" t="s">
        <v>887</v>
      </c>
      <c r="C313" s="39" t="s">
        <v>888</v>
      </c>
      <c r="D313" s="39" t="s">
        <v>889</v>
      </c>
      <c r="E313" s="39" t="s">
        <v>46</v>
      </c>
      <c r="F313" s="40">
        <f>SUM(F314:F314)+32000</f>
        <v>32000</v>
      </c>
      <c r="G313" s="40">
        <f>SUM(G314:G314)+32000</f>
        <v>32000</v>
      </c>
      <c r="H313" s="40">
        <f t="shared" ref="H313:O313" si="213">SUM(H314:H314)</f>
        <v>0</v>
      </c>
      <c r="I313" s="40">
        <f t="shared" si="213"/>
        <v>0</v>
      </c>
      <c r="J313" s="40">
        <f t="shared" si="213"/>
        <v>0</v>
      </c>
      <c r="K313" s="40">
        <f t="shared" si="213"/>
        <v>0</v>
      </c>
      <c r="L313" s="40">
        <f t="shared" si="213"/>
        <v>0</v>
      </c>
      <c r="M313" s="40">
        <f t="shared" si="213"/>
        <v>0</v>
      </c>
      <c r="N313" s="40">
        <f t="shared" si="213"/>
        <v>0</v>
      </c>
      <c r="O313" s="40">
        <f t="shared" si="213"/>
        <v>0</v>
      </c>
      <c r="P313" s="40">
        <f>SUM(P314:P314)+32000</f>
        <v>32000</v>
      </c>
      <c r="Q313" s="40">
        <f>SUM(Q314:Q314)+32000</f>
        <v>32000</v>
      </c>
      <c r="R313" s="40">
        <f t="shared" ref="R313:Y313" si="214">SUM(R314:R314)</f>
        <v>0</v>
      </c>
      <c r="S313" s="40">
        <f t="shared" si="214"/>
        <v>0</v>
      </c>
      <c r="T313" s="40">
        <f t="shared" si="214"/>
        <v>0</v>
      </c>
      <c r="U313" s="40">
        <f t="shared" si="214"/>
        <v>0</v>
      </c>
      <c r="V313" s="40">
        <f t="shared" si="214"/>
        <v>0</v>
      </c>
      <c r="W313" s="40">
        <f t="shared" si="214"/>
        <v>0</v>
      </c>
      <c r="X313" s="40">
        <f t="shared" si="214"/>
        <v>0</v>
      </c>
      <c r="Y313" s="40">
        <f t="shared" si="214"/>
        <v>0</v>
      </c>
      <c r="Z313" s="39" t="s">
        <v>883</v>
      </c>
      <c r="AA313" s="41" t="s">
        <v>41</v>
      </c>
      <c r="AB313" s="42" t="s">
        <v>890</v>
      </c>
      <c r="AC313" s="42" t="s">
        <v>891</v>
      </c>
      <c r="AD313" s="43"/>
    </row>
    <row r="314" spans="1:30" ht="46.5" x14ac:dyDescent="0.25">
      <c r="A314" s="37" t="s">
        <v>892</v>
      </c>
      <c r="B314" s="38" t="s">
        <v>893</v>
      </c>
      <c r="C314" s="39"/>
      <c r="D314" s="39"/>
      <c r="E314" s="39"/>
      <c r="F314" s="44">
        <v>0</v>
      </c>
      <c r="G314" s="44">
        <v>0</v>
      </c>
      <c r="H314" s="44">
        <v>0</v>
      </c>
      <c r="I314" s="44">
        <v>0</v>
      </c>
      <c r="J314" s="44">
        <v>0</v>
      </c>
      <c r="K314" s="44">
        <v>0</v>
      </c>
      <c r="L314" s="44">
        <v>0</v>
      </c>
      <c r="M314" s="44">
        <v>0</v>
      </c>
      <c r="N314" s="44">
        <v>0</v>
      </c>
      <c r="O314" s="44">
        <v>0</v>
      </c>
      <c r="P314" s="44">
        <v>0</v>
      </c>
      <c r="Q314" s="44">
        <v>0</v>
      </c>
      <c r="R314" s="44">
        <v>0</v>
      </c>
      <c r="S314" s="44">
        <v>0</v>
      </c>
      <c r="T314" s="44">
        <v>0</v>
      </c>
      <c r="U314" s="44">
        <v>0</v>
      </c>
      <c r="V314" s="44">
        <v>0</v>
      </c>
      <c r="W314" s="44">
        <v>0</v>
      </c>
      <c r="X314" s="44">
        <v>0</v>
      </c>
      <c r="Y314" s="44">
        <v>0</v>
      </c>
      <c r="Z314" s="39"/>
      <c r="AA314" s="41"/>
      <c r="AB314" s="42"/>
      <c r="AC314" s="42"/>
      <c r="AD314" s="43"/>
    </row>
    <row r="315" spans="1:30" x14ac:dyDescent="0.25">
      <c r="A315" s="37" t="s">
        <v>894</v>
      </c>
      <c r="B315" s="38" t="s">
        <v>895</v>
      </c>
      <c r="C315" s="39" t="s">
        <v>888</v>
      </c>
      <c r="D315" s="39" t="s">
        <v>889</v>
      </c>
      <c r="E315" s="39" t="s">
        <v>46</v>
      </c>
      <c r="F315" s="40">
        <f>SUM(F316:F316)+580</f>
        <v>580</v>
      </c>
      <c r="G315" s="40">
        <f>SUM(G316:G316)+580</f>
        <v>580</v>
      </c>
      <c r="H315" s="40">
        <f t="shared" ref="H315:O315" si="215">SUM(H316:H316)</f>
        <v>0</v>
      </c>
      <c r="I315" s="40">
        <f t="shared" si="215"/>
        <v>0</v>
      </c>
      <c r="J315" s="40">
        <f t="shared" si="215"/>
        <v>0</v>
      </c>
      <c r="K315" s="40">
        <f t="shared" si="215"/>
        <v>0</v>
      </c>
      <c r="L315" s="40">
        <f t="shared" si="215"/>
        <v>0</v>
      </c>
      <c r="M315" s="40">
        <f t="shared" si="215"/>
        <v>0</v>
      </c>
      <c r="N315" s="40">
        <f t="shared" si="215"/>
        <v>0</v>
      </c>
      <c r="O315" s="40">
        <f t="shared" si="215"/>
        <v>0</v>
      </c>
      <c r="P315" s="40">
        <f>SUM(P316:P316)+580</f>
        <v>580</v>
      </c>
      <c r="Q315" s="40">
        <f>SUM(Q316:Q316)+580</f>
        <v>580</v>
      </c>
      <c r="R315" s="40">
        <f t="shared" ref="R315:Y315" si="216">SUM(R316:R316)</f>
        <v>0</v>
      </c>
      <c r="S315" s="40">
        <f t="shared" si="216"/>
        <v>0</v>
      </c>
      <c r="T315" s="40">
        <f t="shared" si="216"/>
        <v>0</v>
      </c>
      <c r="U315" s="40">
        <f t="shared" si="216"/>
        <v>0</v>
      </c>
      <c r="V315" s="40">
        <f t="shared" si="216"/>
        <v>0</v>
      </c>
      <c r="W315" s="40">
        <f t="shared" si="216"/>
        <v>0</v>
      </c>
      <c r="X315" s="40">
        <f t="shared" si="216"/>
        <v>0</v>
      </c>
      <c r="Y315" s="40">
        <f t="shared" si="216"/>
        <v>0</v>
      </c>
      <c r="Z315" s="39" t="s">
        <v>896</v>
      </c>
      <c r="AA315" s="41" t="s">
        <v>41</v>
      </c>
      <c r="AB315" s="42" t="s">
        <v>897</v>
      </c>
      <c r="AC315" s="42" t="s">
        <v>898</v>
      </c>
      <c r="AD315" s="43"/>
    </row>
    <row r="316" spans="1:30" ht="46.5" x14ac:dyDescent="0.25">
      <c r="A316" s="37" t="s">
        <v>899</v>
      </c>
      <c r="B316" s="38" t="s">
        <v>900</v>
      </c>
      <c r="C316" s="39"/>
      <c r="D316" s="39"/>
      <c r="E316" s="39"/>
      <c r="F316" s="44">
        <v>0</v>
      </c>
      <c r="G316" s="44">
        <v>0</v>
      </c>
      <c r="H316" s="44">
        <v>0</v>
      </c>
      <c r="I316" s="44">
        <v>0</v>
      </c>
      <c r="J316" s="44">
        <v>0</v>
      </c>
      <c r="K316" s="44">
        <v>0</v>
      </c>
      <c r="L316" s="44">
        <v>0</v>
      </c>
      <c r="M316" s="44">
        <v>0</v>
      </c>
      <c r="N316" s="44">
        <v>0</v>
      </c>
      <c r="O316" s="44">
        <v>0</v>
      </c>
      <c r="P316" s="44">
        <v>0</v>
      </c>
      <c r="Q316" s="44">
        <v>0</v>
      </c>
      <c r="R316" s="44">
        <v>0</v>
      </c>
      <c r="S316" s="44">
        <v>0</v>
      </c>
      <c r="T316" s="44">
        <v>0</v>
      </c>
      <c r="U316" s="44">
        <v>0</v>
      </c>
      <c r="V316" s="44">
        <v>0</v>
      </c>
      <c r="W316" s="44">
        <v>0</v>
      </c>
      <c r="X316" s="44">
        <v>0</v>
      </c>
      <c r="Y316" s="44">
        <v>0</v>
      </c>
      <c r="Z316" s="39"/>
      <c r="AA316" s="41"/>
      <c r="AB316" s="42"/>
      <c r="AC316" s="42"/>
      <c r="AD316" s="43"/>
    </row>
    <row r="317" spans="1:30" ht="69.75" x14ac:dyDescent="0.25">
      <c r="A317" s="37" t="s">
        <v>901</v>
      </c>
      <c r="B317" s="38" t="s">
        <v>902</v>
      </c>
      <c r="C317" s="39" t="s">
        <v>903</v>
      </c>
      <c r="D317" s="39" t="s">
        <v>904</v>
      </c>
      <c r="E317" s="39" t="s">
        <v>46</v>
      </c>
      <c r="F317" s="40">
        <f>SUM(F318:F318)+21588</f>
        <v>21588</v>
      </c>
      <c r="G317" s="40">
        <f>SUM(G318:G318)+21588</f>
        <v>21588</v>
      </c>
      <c r="H317" s="40">
        <f t="shared" ref="H317:O317" si="217">SUM(H318:H318)</f>
        <v>0</v>
      </c>
      <c r="I317" s="40">
        <f t="shared" si="217"/>
        <v>0</v>
      </c>
      <c r="J317" s="40">
        <f t="shared" si="217"/>
        <v>0</v>
      </c>
      <c r="K317" s="40">
        <f t="shared" si="217"/>
        <v>0</v>
      </c>
      <c r="L317" s="40">
        <f t="shared" si="217"/>
        <v>0</v>
      </c>
      <c r="M317" s="40">
        <f t="shared" si="217"/>
        <v>0</v>
      </c>
      <c r="N317" s="40">
        <f t="shared" si="217"/>
        <v>0</v>
      </c>
      <c r="O317" s="40">
        <f t="shared" si="217"/>
        <v>0</v>
      </c>
      <c r="P317" s="40">
        <f>SUM(P318:P318)+21588</f>
        <v>21588</v>
      </c>
      <c r="Q317" s="40">
        <f>SUM(Q318:Q318)+21588</f>
        <v>21588</v>
      </c>
      <c r="R317" s="40">
        <f t="shared" ref="R317:Y317" si="218">SUM(R318:R318)</f>
        <v>0</v>
      </c>
      <c r="S317" s="40">
        <f t="shared" si="218"/>
        <v>0</v>
      </c>
      <c r="T317" s="40">
        <f t="shared" si="218"/>
        <v>0</v>
      </c>
      <c r="U317" s="40">
        <f t="shared" si="218"/>
        <v>0</v>
      </c>
      <c r="V317" s="40">
        <f t="shared" si="218"/>
        <v>0</v>
      </c>
      <c r="W317" s="40">
        <f t="shared" si="218"/>
        <v>0</v>
      </c>
      <c r="X317" s="40">
        <f t="shared" si="218"/>
        <v>0</v>
      </c>
      <c r="Y317" s="40">
        <f t="shared" si="218"/>
        <v>0</v>
      </c>
      <c r="Z317" s="39" t="s">
        <v>883</v>
      </c>
      <c r="AA317" s="41" t="s">
        <v>41</v>
      </c>
      <c r="AB317" s="42" t="s">
        <v>905</v>
      </c>
      <c r="AC317" s="42" t="s">
        <v>906</v>
      </c>
      <c r="AD317" s="43"/>
    </row>
    <row r="318" spans="1:30" ht="69.75" x14ac:dyDescent="0.25">
      <c r="A318" s="37" t="s">
        <v>907</v>
      </c>
      <c r="B318" s="38" t="s">
        <v>908</v>
      </c>
      <c r="C318" s="39"/>
      <c r="D318" s="39"/>
      <c r="E318" s="39"/>
      <c r="F318" s="44">
        <v>0</v>
      </c>
      <c r="G318" s="44">
        <v>0</v>
      </c>
      <c r="H318" s="44">
        <v>0</v>
      </c>
      <c r="I318" s="44">
        <v>0</v>
      </c>
      <c r="J318" s="44">
        <v>0</v>
      </c>
      <c r="K318" s="44">
        <v>0</v>
      </c>
      <c r="L318" s="44">
        <v>0</v>
      </c>
      <c r="M318" s="44">
        <v>0</v>
      </c>
      <c r="N318" s="44">
        <v>0</v>
      </c>
      <c r="O318" s="44">
        <v>0</v>
      </c>
      <c r="P318" s="44">
        <v>0</v>
      </c>
      <c r="Q318" s="44">
        <v>0</v>
      </c>
      <c r="R318" s="44">
        <v>0</v>
      </c>
      <c r="S318" s="44">
        <v>0</v>
      </c>
      <c r="T318" s="44">
        <v>0</v>
      </c>
      <c r="U318" s="44">
        <v>0</v>
      </c>
      <c r="V318" s="44">
        <v>0</v>
      </c>
      <c r="W318" s="44">
        <v>0</v>
      </c>
      <c r="X318" s="44">
        <v>0</v>
      </c>
      <c r="Y318" s="44">
        <v>0</v>
      </c>
      <c r="Z318" s="39"/>
      <c r="AA318" s="41"/>
      <c r="AB318" s="42"/>
      <c r="AC318" s="42"/>
      <c r="AD318" s="43"/>
    </row>
    <row r="319" spans="1:30" ht="45" x14ac:dyDescent="0.25">
      <c r="A319" s="30" t="s">
        <v>909</v>
      </c>
      <c r="B319" s="31" t="s">
        <v>910</v>
      </c>
      <c r="C319" s="32" t="s">
        <v>911</v>
      </c>
      <c r="D319" s="32" t="s">
        <v>912</v>
      </c>
      <c r="E319" s="32" t="s">
        <v>39</v>
      </c>
      <c r="F319" s="33">
        <f t="shared" ref="F319:O320" si="219">SUM(F320:F320)</f>
        <v>0</v>
      </c>
      <c r="G319" s="33">
        <f t="shared" si="219"/>
        <v>0</v>
      </c>
      <c r="H319" s="33">
        <f t="shared" si="219"/>
        <v>0</v>
      </c>
      <c r="I319" s="33">
        <f t="shared" si="219"/>
        <v>0</v>
      </c>
      <c r="J319" s="33">
        <f t="shared" si="219"/>
        <v>0</v>
      </c>
      <c r="K319" s="33">
        <f t="shared" si="219"/>
        <v>0</v>
      </c>
      <c r="L319" s="33">
        <f t="shared" si="219"/>
        <v>0</v>
      </c>
      <c r="M319" s="33">
        <f t="shared" si="219"/>
        <v>0</v>
      </c>
      <c r="N319" s="33">
        <f t="shared" si="219"/>
        <v>0</v>
      </c>
      <c r="O319" s="33">
        <f t="shared" si="219"/>
        <v>0</v>
      </c>
      <c r="P319" s="33">
        <f t="shared" ref="P319:Y320" si="220">SUM(P320:P320)</f>
        <v>0</v>
      </c>
      <c r="Q319" s="33">
        <f t="shared" si="220"/>
        <v>0</v>
      </c>
      <c r="R319" s="33">
        <f t="shared" si="220"/>
        <v>0</v>
      </c>
      <c r="S319" s="33">
        <f t="shared" si="220"/>
        <v>0</v>
      </c>
      <c r="T319" s="33">
        <f t="shared" si="220"/>
        <v>0</v>
      </c>
      <c r="U319" s="33">
        <f t="shared" si="220"/>
        <v>0</v>
      </c>
      <c r="V319" s="33">
        <f t="shared" si="220"/>
        <v>0</v>
      </c>
      <c r="W319" s="33">
        <f t="shared" si="220"/>
        <v>0</v>
      </c>
      <c r="X319" s="33">
        <f t="shared" si="220"/>
        <v>0</v>
      </c>
      <c r="Y319" s="33">
        <f t="shared" si="220"/>
        <v>0</v>
      </c>
      <c r="Z319" s="32" t="s">
        <v>913</v>
      </c>
      <c r="AA319" s="34" t="s">
        <v>41</v>
      </c>
      <c r="AB319" s="35" t="s">
        <v>83</v>
      </c>
      <c r="AC319" s="35" t="s">
        <v>57</v>
      </c>
      <c r="AD319" s="36" t="s">
        <v>914</v>
      </c>
    </row>
    <row r="320" spans="1:30" ht="46.5" x14ac:dyDescent="0.25">
      <c r="A320" s="37" t="s">
        <v>915</v>
      </c>
      <c r="B320" s="38" t="s">
        <v>916</v>
      </c>
      <c r="C320" s="39" t="s">
        <v>911</v>
      </c>
      <c r="D320" s="39" t="s">
        <v>912</v>
      </c>
      <c r="E320" s="39" t="s">
        <v>46</v>
      </c>
      <c r="F320" s="40">
        <f t="shared" si="219"/>
        <v>0</v>
      </c>
      <c r="G320" s="40">
        <f t="shared" si="219"/>
        <v>0</v>
      </c>
      <c r="H320" s="40">
        <f t="shared" si="219"/>
        <v>0</v>
      </c>
      <c r="I320" s="40">
        <f t="shared" si="219"/>
        <v>0</v>
      </c>
      <c r="J320" s="40">
        <f t="shared" si="219"/>
        <v>0</v>
      </c>
      <c r="K320" s="40">
        <f t="shared" si="219"/>
        <v>0</v>
      </c>
      <c r="L320" s="40">
        <f t="shared" si="219"/>
        <v>0</v>
      </c>
      <c r="M320" s="40">
        <f t="shared" si="219"/>
        <v>0</v>
      </c>
      <c r="N320" s="40">
        <f t="shared" si="219"/>
        <v>0</v>
      </c>
      <c r="O320" s="40">
        <f t="shared" si="219"/>
        <v>0</v>
      </c>
      <c r="P320" s="40">
        <f t="shared" si="220"/>
        <v>0</v>
      </c>
      <c r="Q320" s="40">
        <f t="shared" si="220"/>
        <v>0</v>
      </c>
      <c r="R320" s="40">
        <f t="shared" si="220"/>
        <v>0</v>
      </c>
      <c r="S320" s="40">
        <f t="shared" si="220"/>
        <v>0</v>
      </c>
      <c r="T320" s="40">
        <f t="shared" si="220"/>
        <v>0</v>
      </c>
      <c r="U320" s="40">
        <f t="shared" si="220"/>
        <v>0</v>
      </c>
      <c r="V320" s="40">
        <f t="shared" si="220"/>
        <v>0</v>
      </c>
      <c r="W320" s="40">
        <f t="shared" si="220"/>
        <v>0</v>
      </c>
      <c r="X320" s="40">
        <f t="shared" si="220"/>
        <v>0</v>
      </c>
      <c r="Y320" s="40">
        <f t="shared" si="220"/>
        <v>0</v>
      </c>
      <c r="Z320" s="39" t="s">
        <v>913</v>
      </c>
      <c r="AA320" s="41" t="s">
        <v>41</v>
      </c>
      <c r="AB320" s="42" t="s">
        <v>83</v>
      </c>
      <c r="AC320" s="42" t="s">
        <v>57</v>
      </c>
      <c r="AD320" s="43" t="s">
        <v>914</v>
      </c>
    </row>
    <row r="321" spans="1:30" ht="46.5" x14ac:dyDescent="0.25">
      <c r="A321" s="37" t="s">
        <v>917</v>
      </c>
      <c r="B321" s="38" t="s">
        <v>918</v>
      </c>
      <c r="C321" s="39"/>
      <c r="D321" s="39"/>
      <c r="E321" s="39"/>
      <c r="F321" s="44">
        <v>0</v>
      </c>
      <c r="G321" s="44">
        <v>0</v>
      </c>
      <c r="H321" s="44">
        <v>0</v>
      </c>
      <c r="I321" s="44">
        <v>0</v>
      </c>
      <c r="J321" s="44">
        <v>0</v>
      </c>
      <c r="K321" s="44">
        <v>0</v>
      </c>
      <c r="L321" s="44">
        <v>0</v>
      </c>
      <c r="M321" s="44">
        <v>0</v>
      </c>
      <c r="N321" s="44">
        <v>0</v>
      </c>
      <c r="O321" s="44">
        <v>0</v>
      </c>
      <c r="P321" s="44">
        <v>0</v>
      </c>
      <c r="Q321" s="44">
        <v>0</v>
      </c>
      <c r="R321" s="44">
        <v>0</v>
      </c>
      <c r="S321" s="44">
        <v>0</v>
      </c>
      <c r="T321" s="44">
        <v>0</v>
      </c>
      <c r="U321" s="44">
        <v>0</v>
      </c>
      <c r="V321" s="44">
        <v>0</v>
      </c>
      <c r="W321" s="44">
        <v>0</v>
      </c>
      <c r="X321" s="44">
        <v>0</v>
      </c>
      <c r="Y321" s="44">
        <v>0</v>
      </c>
      <c r="Z321" s="39"/>
      <c r="AA321" s="41"/>
      <c r="AB321" s="42"/>
      <c r="AC321" s="42"/>
      <c r="AD321" s="43"/>
    </row>
    <row r="322" spans="1:30" ht="112.5" x14ac:dyDescent="0.25">
      <c r="A322" s="30" t="s">
        <v>919</v>
      </c>
      <c r="B322" s="31" t="s">
        <v>920</v>
      </c>
      <c r="C322" s="32" t="s">
        <v>911</v>
      </c>
      <c r="D322" s="32" t="s">
        <v>921</v>
      </c>
      <c r="E322" s="32" t="s">
        <v>39</v>
      </c>
      <c r="F322" s="33">
        <f t="shared" ref="F322:Y322" si="221">F323+F326+F328+F330</f>
        <v>29000</v>
      </c>
      <c r="G322" s="33">
        <f t="shared" si="221"/>
        <v>16000</v>
      </c>
      <c r="H322" s="33">
        <f t="shared" si="221"/>
        <v>0</v>
      </c>
      <c r="I322" s="33">
        <f t="shared" si="221"/>
        <v>0</v>
      </c>
      <c r="J322" s="33">
        <f t="shared" si="221"/>
        <v>0</v>
      </c>
      <c r="K322" s="33">
        <f t="shared" si="221"/>
        <v>0</v>
      </c>
      <c r="L322" s="33">
        <f t="shared" si="221"/>
        <v>0</v>
      </c>
      <c r="M322" s="33">
        <f t="shared" si="221"/>
        <v>13000</v>
      </c>
      <c r="N322" s="33">
        <f t="shared" si="221"/>
        <v>0</v>
      </c>
      <c r="O322" s="33">
        <f t="shared" si="221"/>
        <v>0</v>
      </c>
      <c r="P322" s="33">
        <f t="shared" si="221"/>
        <v>23540.93</v>
      </c>
      <c r="Q322" s="33">
        <f t="shared" si="221"/>
        <v>10540.93</v>
      </c>
      <c r="R322" s="33">
        <f t="shared" si="221"/>
        <v>0</v>
      </c>
      <c r="S322" s="33">
        <f t="shared" si="221"/>
        <v>0</v>
      </c>
      <c r="T322" s="33">
        <f t="shared" si="221"/>
        <v>0</v>
      </c>
      <c r="U322" s="33">
        <f t="shared" si="221"/>
        <v>0</v>
      </c>
      <c r="V322" s="33">
        <f t="shared" si="221"/>
        <v>0</v>
      </c>
      <c r="W322" s="33">
        <f t="shared" si="221"/>
        <v>0</v>
      </c>
      <c r="X322" s="33">
        <f t="shared" si="221"/>
        <v>0</v>
      </c>
      <c r="Y322" s="33">
        <f t="shared" si="221"/>
        <v>0</v>
      </c>
      <c r="Z322" s="32" t="s">
        <v>922</v>
      </c>
      <c r="AA322" s="34" t="s">
        <v>35</v>
      </c>
      <c r="AB322" s="35" t="s">
        <v>285</v>
      </c>
      <c r="AC322" s="35" t="s">
        <v>285</v>
      </c>
      <c r="AD322" s="36"/>
    </row>
    <row r="323" spans="1:30" ht="46.5" x14ac:dyDescent="0.25">
      <c r="A323" s="37" t="s">
        <v>923</v>
      </c>
      <c r="B323" s="38" t="s">
        <v>924</v>
      </c>
      <c r="C323" s="39" t="s">
        <v>911</v>
      </c>
      <c r="D323" s="39" t="s">
        <v>925</v>
      </c>
      <c r="E323" s="39"/>
      <c r="F323" s="40">
        <f>SUM(F324:F325)+5600</f>
        <v>5600</v>
      </c>
      <c r="G323" s="40">
        <f>SUM(G324:G325)+5600</f>
        <v>5600</v>
      </c>
      <c r="H323" s="40">
        <f t="shared" ref="H323:O323" si="222">SUM(H324:H325)</f>
        <v>0</v>
      </c>
      <c r="I323" s="40">
        <f t="shared" si="222"/>
        <v>0</v>
      </c>
      <c r="J323" s="40">
        <f t="shared" si="222"/>
        <v>0</v>
      </c>
      <c r="K323" s="40">
        <f t="shared" si="222"/>
        <v>0</v>
      </c>
      <c r="L323" s="40">
        <f t="shared" si="222"/>
        <v>0</v>
      </c>
      <c r="M323" s="40">
        <f t="shared" si="222"/>
        <v>0</v>
      </c>
      <c r="N323" s="40">
        <f t="shared" si="222"/>
        <v>0</v>
      </c>
      <c r="O323" s="40">
        <f t="shared" si="222"/>
        <v>0</v>
      </c>
      <c r="P323" s="40">
        <f>SUM(P324:P325)+5581.5</f>
        <v>5581.5</v>
      </c>
      <c r="Q323" s="40">
        <f>SUM(Q324:Q325)+5581.5</f>
        <v>5581.5</v>
      </c>
      <c r="R323" s="40">
        <f t="shared" ref="R323:Y323" si="223">SUM(R324:R325)</f>
        <v>0</v>
      </c>
      <c r="S323" s="40">
        <f t="shared" si="223"/>
        <v>0</v>
      </c>
      <c r="T323" s="40">
        <f t="shared" si="223"/>
        <v>0</v>
      </c>
      <c r="U323" s="40">
        <f t="shared" si="223"/>
        <v>0</v>
      </c>
      <c r="V323" s="40">
        <f t="shared" si="223"/>
        <v>0</v>
      </c>
      <c r="W323" s="40">
        <f t="shared" si="223"/>
        <v>0</v>
      </c>
      <c r="X323" s="40">
        <f t="shared" si="223"/>
        <v>0</v>
      </c>
      <c r="Y323" s="40">
        <f t="shared" si="223"/>
        <v>0</v>
      </c>
      <c r="Z323" s="39" t="s">
        <v>926</v>
      </c>
      <c r="AA323" s="41" t="s">
        <v>41</v>
      </c>
      <c r="AB323" s="42" t="s">
        <v>162</v>
      </c>
      <c r="AC323" s="42" t="s">
        <v>65</v>
      </c>
      <c r="AD323" s="43"/>
    </row>
    <row r="324" spans="1:30" ht="46.5" x14ac:dyDescent="0.25">
      <c r="A324" s="37" t="s">
        <v>927</v>
      </c>
      <c r="B324" s="38" t="s">
        <v>928</v>
      </c>
      <c r="C324" s="39"/>
      <c r="D324" s="39"/>
      <c r="E324" s="39"/>
      <c r="F324" s="44">
        <v>0</v>
      </c>
      <c r="G324" s="44">
        <v>0</v>
      </c>
      <c r="H324" s="44">
        <v>0</v>
      </c>
      <c r="I324" s="44">
        <v>0</v>
      </c>
      <c r="J324" s="44">
        <v>0</v>
      </c>
      <c r="K324" s="44">
        <v>0</v>
      </c>
      <c r="L324" s="44">
        <v>0</v>
      </c>
      <c r="M324" s="44">
        <v>0</v>
      </c>
      <c r="N324" s="44">
        <v>0</v>
      </c>
      <c r="O324" s="44">
        <v>0</v>
      </c>
      <c r="P324" s="44">
        <v>0</v>
      </c>
      <c r="Q324" s="44">
        <v>0</v>
      </c>
      <c r="R324" s="44">
        <v>0</v>
      </c>
      <c r="S324" s="44">
        <v>0</v>
      </c>
      <c r="T324" s="44">
        <v>0</v>
      </c>
      <c r="U324" s="44">
        <v>0</v>
      </c>
      <c r="V324" s="44">
        <v>0</v>
      </c>
      <c r="W324" s="44">
        <v>0</v>
      </c>
      <c r="X324" s="44">
        <v>0</v>
      </c>
      <c r="Y324" s="44">
        <v>0</v>
      </c>
      <c r="Z324" s="39"/>
      <c r="AA324" s="41"/>
      <c r="AB324" s="42"/>
      <c r="AC324" s="42"/>
      <c r="AD324" s="43"/>
    </row>
    <row r="325" spans="1:30" ht="46.5" x14ac:dyDescent="0.25">
      <c r="A325" s="37" t="s">
        <v>929</v>
      </c>
      <c r="B325" s="38" t="s">
        <v>930</v>
      </c>
      <c r="C325" s="39"/>
      <c r="D325" s="39"/>
      <c r="E325" s="39"/>
      <c r="F325" s="44">
        <v>0</v>
      </c>
      <c r="G325" s="44">
        <v>0</v>
      </c>
      <c r="H325" s="44">
        <v>0</v>
      </c>
      <c r="I325" s="44">
        <v>0</v>
      </c>
      <c r="J325" s="44">
        <v>0</v>
      </c>
      <c r="K325" s="44">
        <v>0</v>
      </c>
      <c r="L325" s="44">
        <v>0</v>
      </c>
      <c r="M325" s="44">
        <v>0</v>
      </c>
      <c r="N325" s="44">
        <v>0</v>
      </c>
      <c r="O325" s="44">
        <v>0</v>
      </c>
      <c r="P325" s="44">
        <v>0</v>
      </c>
      <c r="Q325" s="44">
        <v>0</v>
      </c>
      <c r="R325" s="44">
        <v>0</v>
      </c>
      <c r="S325" s="44">
        <v>0</v>
      </c>
      <c r="T325" s="44">
        <v>0</v>
      </c>
      <c r="U325" s="44">
        <v>0</v>
      </c>
      <c r="V325" s="44">
        <v>0</v>
      </c>
      <c r="W325" s="44">
        <v>0</v>
      </c>
      <c r="X325" s="44">
        <v>0</v>
      </c>
      <c r="Y325" s="44">
        <v>0</v>
      </c>
      <c r="Z325" s="39"/>
      <c r="AA325" s="41"/>
      <c r="AB325" s="42"/>
      <c r="AC325" s="42"/>
      <c r="AD325" s="43"/>
    </row>
    <row r="326" spans="1:30" ht="46.5" x14ac:dyDescent="0.25">
      <c r="A326" s="37" t="s">
        <v>931</v>
      </c>
      <c r="B326" s="38" t="s">
        <v>932</v>
      </c>
      <c r="C326" s="39" t="s">
        <v>911</v>
      </c>
      <c r="D326" s="39" t="s">
        <v>933</v>
      </c>
      <c r="E326" s="39"/>
      <c r="F326" s="40">
        <f>SUM(F327:F327)+1100</f>
        <v>1100</v>
      </c>
      <c r="G326" s="40">
        <f>SUM(G327:G327)+1100</f>
        <v>1100</v>
      </c>
      <c r="H326" s="40">
        <f t="shared" ref="H326:O326" si="224">SUM(H327:H327)</f>
        <v>0</v>
      </c>
      <c r="I326" s="40">
        <f t="shared" si="224"/>
        <v>0</v>
      </c>
      <c r="J326" s="40">
        <f t="shared" si="224"/>
        <v>0</v>
      </c>
      <c r="K326" s="40">
        <f t="shared" si="224"/>
        <v>0</v>
      </c>
      <c r="L326" s="40">
        <f t="shared" si="224"/>
        <v>0</v>
      </c>
      <c r="M326" s="40">
        <f t="shared" si="224"/>
        <v>0</v>
      </c>
      <c r="N326" s="40">
        <f t="shared" si="224"/>
        <v>0</v>
      </c>
      <c r="O326" s="40">
        <f t="shared" si="224"/>
        <v>0</v>
      </c>
      <c r="P326" s="40">
        <f>SUM(P327:P327)+1096.46</f>
        <v>1096.46</v>
      </c>
      <c r="Q326" s="40">
        <f>SUM(Q327:Q327)+1096.46</f>
        <v>1096.46</v>
      </c>
      <c r="R326" s="40">
        <f t="shared" ref="R326:Y326" si="225">SUM(R327:R327)</f>
        <v>0</v>
      </c>
      <c r="S326" s="40">
        <f t="shared" si="225"/>
        <v>0</v>
      </c>
      <c r="T326" s="40">
        <f t="shared" si="225"/>
        <v>0</v>
      </c>
      <c r="U326" s="40">
        <f t="shared" si="225"/>
        <v>0</v>
      </c>
      <c r="V326" s="40">
        <f t="shared" si="225"/>
        <v>0</v>
      </c>
      <c r="W326" s="40">
        <f t="shared" si="225"/>
        <v>0</v>
      </c>
      <c r="X326" s="40">
        <f t="shared" si="225"/>
        <v>0</v>
      </c>
      <c r="Y326" s="40">
        <f t="shared" si="225"/>
        <v>0</v>
      </c>
      <c r="Z326" s="39" t="s">
        <v>926</v>
      </c>
      <c r="AA326" s="41" t="s">
        <v>41</v>
      </c>
      <c r="AB326" s="42" t="s">
        <v>139</v>
      </c>
      <c r="AC326" s="42" t="s">
        <v>162</v>
      </c>
      <c r="AD326" s="43"/>
    </row>
    <row r="327" spans="1:30" ht="46.5" x14ac:dyDescent="0.25">
      <c r="A327" s="37" t="s">
        <v>934</v>
      </c>
      <c r="B327" s="38" t="s">
        <v>935</v>
      </c>
      <c r="C327" s="39"/>
      <c r="D327" s="39"/>
      <c r="E327" s="39"/>
      <c r="F327" s="44">
        <v>0</v>
      </c>
      <c r="G327" s="44">
        <v>0</v>
      </c>
      <c r="H327" s="44">
        <v>0</v>
      </c>
      <c r="I327" s="44">
        <v>0</v>
      </c>
      <c r="J327" s="44">
        <v>0</v>
      </c>
      <c r="K327" s="44">
        <v>0</v>
      </c>
      <c r="L327" s="44">
        <v>0</v>
      </c>
      <c r="M327" s="44">
        <v>0</v>
      </c>
      <c r="N327" s="44">
        <v>0</v>
      </c>
      <c r="O327" s="44">
        <v>0</v>
      </c>
      <c r="P327" s="44">
        <v>0</v>
      </c>
      <c r="Q327" s="44">
        <v>0</v>
      </c>
      <c r="R327" s="44">
        <v>0</v>
      </c>
      <c r="S327" s="44">
        <v>0</v>
      </c>
      <c r="T327" s="44">
        <v>0</v>
      </c>
      <c r="U327" s="44">
        <v>0</v>
      </c>
      <c r="V327" s="44">
        <v>0</v>
      </c>
      <c r="W327" s="44">
        <v>0</v>
      </c>
      <c r="X327" s="44">
        <v>0</v>
      </c>
      <c r="Y327" s="44">
        <v>0</v>
      </c>
      <c r="Z327" s="39"/>
      <c r="AA327" s="41"/>
      <c r="AB327" s="42"/>
      <c r="AC327" s="42"/>
      <c r="AD327" s="43"/>
    </row>
    <row r="328" spans="1:30" ht="46.5" x14ac:dyDescent="0.25">
      <c r="A328" s="37" t="s">
        <v>936</v>
      </c>
      <c r="B328" s="38" t="s">
        <v>937</v>
      </c>
      <c r="C328" s="39" t="s">
        <v>911</v>
      </c>
      <c r="D328" s="39" t="s">
        <v>921</v>
      </c>
      <c r="E328" s="39"/>
      <c r="F328" s="40">
        <f>SUM(F329:F329)+4300</f>
        <v>4300</v>
      </c>
      <c r="G328" s="40">
        <f>SUM(G329:G329)+4300</f>
        <v>4300</v>
      </c>
      <c r="H328" s="40">
        <f t="shared" ref="H328:O328" si="226">SUM(H329:H329)</f>
        <v>0</v>
      </c>
      <c r="I328" s="40">
        <f t="shared" si="226"/>
        <v>0</v>
      </c>
      <c r="J328" s="40">
        <f t="shared" si="226"/>
        <v>0</v>
      </c>
      <c r="K328" s="40">
        <f t="shared" si="226"/>
        <v>0</v>
      </c>
      <c r="L328" s="40">
        <f t="shared" si="226"/>
        <v>0</v>
      </c>
      <c r="M328" s="40">
        <f t="shared" si="226"/>
        <v>0</v>
      </c>
      <c r="N328" s="40">
        <f t="shared" si="226"/>
        <v>0</v>
      </c>
      <c r="O328" s="40">
        <f t="shared" si="226"/>
        <v>0</v>
      </c>
      <c r="P328" s="40">
        <f>SUM(P329:P329)+1095.42</f>
        <v>1095.42</v>
      </c>
      <c r="Q328" s="40">
        <f>SUM(Q329:Q329)+1095.42</f>
        <v>1095.42</v>
      </c>
      <c r="R328" s="40">
        <f t="shared" ref="R328:Y328" si="227">SUM(R329:R329)</f>
        <v>0</v>
      </c>
      <c r="S328" s="40">
        <f t="shared" si="227"/>
        <v>0</v>
      </c>
      <c r="T328" s="40">
        <f t="shared" si="227"/>
        <v>0</v>
      </c>
      <c r="U328" s="40">
        <f t="shared" si="227"/>
        <v>0</v>
      </c>
      <c r="V328" s="40">
        <f t="shared" si="227"/>
        <v>0</v>
      </c>
      <c r="W328" s="40">
        <f t="shared" si="227"/>
        <v>0</v>
      </c>
      <c r="X328" s="40">
        <f t="shared" si="227"/>
        <v>0</v>
      </c>
      <c r="Y328" s="40">
        <f t="shared" si="227"/>
        <v>0</v>
      </c>
      <c r="Z328" s="39" t="s">
        <v>926</v>
      </c>
      <c r="AA328" s="41" t="s">
        <v>41</v>
      </c>
      <c r="AB328" s="42" t="s">
        <v>104</v>
      </c>
      <c r="AC328" s="42" t="s">
        <v>938</v>
      </c>
      <c r="AD328" s="43"/>
    </row>
    <row r="329" spans="1:30" ht="46.5" x14ac:dyDescent="0.25">
      <c r="A329" s="37" t="s">
        <v>939</v>
      </c>
      <c r="B329" s="38" t="s">
        <v>940</v>
      </c>
      <c r="C329" s="39"/>
      <c r="D329" s="39"/>
      <c r="E329" s="39"/>
      <c r="F329" s="44">
        <v>0</v>
      </c>
      <c r="G329" s="44">
        <v>0</v>
      </c>
      <c r="H329" s="44">
        <v>0</v>
      </c>
      <c r="I329" s="44">
        <v>0</v>
      </c>
      <c r="J329" s="44">
        <v>0</v>
      </c>
      <c r="K329" s="44">
        <v>0</v>
      </c>
      <c r="L329" s="44">
        <v>0</v>
      </c>
      <c r="M329" s="44">
        <v>0</v>
      </c>
      <c r="N329" s="44">
        <v>0</v>
      </c>
      <c r="O329" s="44">
        <v>0</v>
      </c>
      <c r="P329" s="44">
        <v>0</v>
      </c>
      <c r="Q329" s="44">
        <v>0</v>
      </c>
      <c r="R329" s="44">
        <v>0</v>
      </c>
      <c r="S329" s="44">
        <v>0</v>
      </c>
      <c r="T329" s="44">
        <v>0</v>
      </c>
      <c r="U329" s="44">
        <v>0</v>
      </c>
      <c r="V329" s="44">
        <v>0</v>
      </c>
      <c r="W329" s="44">
        <v>0</v>
      </c>
      <c r="X329" s="44">
        <v>0</v>
      </c>
      <c r="Y329" s="44">
        <v>0</v>
      </c>
      <c r="Z329" s="39"/>
      <c r="AA329" s="41"/>
      <c r="AB329" s="42"/>
      <c r="AC329" s="42"/>
      <c r="AD329" s="43"/>
    </row>
    <row r="330" spans="1:30" ht="46.5" x14ac:dyDescent="0.25">
      <c r="A330" s="37" t="s">
        <v>941</v>
      </c>
      <c r="B330" s="38" t="s">
        <v>942</v>
      </c>
      <c r="C330" s="39" t="s">
        <v>911</v>
      </c>
      <c r="D330" s="39" t="s">
        <v>925</v>
      </c>
      <c r="E330" s="39" t="s">
        <v>46</v>
      </c>
      <c r="F330" s="40">
        <f>SUM(F331:F332)+18000</f>
        <v>18000</v>
      </c>
      <c r="G330" s="40">
        <f>SUM(G331:G332)+5000</f>
        <v>5000</v>
      </c>
      <c r="H330" s="40">
        <f>SUM(H331:H332)</f>
        <v>0</v>
      </c>
      <c r="I330" s="40">
        <f>SUM(I331:I332)</f>
        <v>0</v>
      </c>
      <c r="J330" s="40">
        <f>SUM(J331:J332)</f>
        <v>0</v>
      </c>
      <c r="K330" s="40">
        <f>SUM(K331:K332)</f>
        <v>0</v>
      </c>
      <c r="L330" s="40">
        <f>SUM(L331:L332)</f>
        <v>0</v>
      </c>
      <c r="M330" s="40">
        <f>SUM(M331:M332)+13000</f>
        <v>13000</v>
      </c>
      <c r="N330" s="40">
        <f>SUM(N331:N332)</f>
        <v>0</v>
      </c>
      <c r="O330" s="40">
        <f>SUM(O331:O332)</f>
        <v>0</v>
      </c>
      <c r="P330" s="40">
        <f>SUM(P331:P332)+15767.55</f>
        <v>15767.55</v>
      </c>
      <c r="Q330" s="40">
        <f>SUM(Q331:Q332)+2767.55</f>
        <v>2767.55</v>
      </c>
      <c r="R330" s="40">
        <f t="shared" ref="R330:Y330" si="228">SUM(R331:R332)</f>
        <v>0</v>
      </c>
      <c r="S330" s="40">
        <f t="shared" si="228"/>
        <v>0</v>
      </c>
      <c r="T330" s="40">
        <f t="shared" si="228"/>
        <v>0</v>
      </c>
      <c r="U330" s="40">
        <f t="shared" si="228"/>
        <v>0</v>
      </c>
      <c r="V330" s="40">
        <f t="shared" si="228"/>
        <v>0</v>
      </c>
      <c r="W330" s="40">
        <f t="shared" si="228"/>
        <v>0</v>
      </c>
      <c r="X330" s="40">
        <f t="shared" si="228"/>
        <v>0</v>
      </c>
      <c r="Y330" s="40">
        <f t="shared" si="228"/>
        <v>0</v>
      </c>
      <c r="Z330" s="39" t="s">
        <v>926</v>
      </c>
      <c r="AA330" s="41" t="s">
        <v>41</v>
      </c>
      <c r="AB330" s="42" t="s">
        <v>299</v>
      </c>
      <c r="AC330" s="42" t="s">
        <v>299</v>
      </c>
      <c r="AD330" s="43"/>
    </row>
    <row r="331" spans="1:30" ht="46.5" x14ac:dyDescent="0.25">
      <c r="A331" s="37" t="s">
        <v>943</v>
      </c>
      <c r="B331" s="38" t="s">
        <v>944</v>
      </c>
      <c r="C331" s="39"/>
      <c r="D331" s="39"/>
      <c r="E331" s="39"/>
      <c r="F331" s="44">
        <v>0</v>
      </c>
      <c r="G331" s="44">
        <v>0</v>
      </c>
      <c r="H331" s="44">
        <v>0</v>
      </c>
      <c r="I331" s="44">
        <v>0</v>
      </c>
      <c r="J331" s="44">
        <v>0</v>
      </c>
      <c r="K331" s="44">
        <v>0</v>
      </c>
      <c r="L331" s="44">
        <v>0</v>
      </c>
      <c r="M331" s="44">
        <v>0</v>
      </c>
      <c r="N331" s="44">
        <v>0</v>
      </c>
      <c r="O331" s="44">
        <v>0</v>
      </c>
      <c r="P331" s="44">
        <v>0</v>
      </c>
      <c r="Q331" s="44">
        <v>0</v>
      </c>
      <c r="R331" s="44">
        <v>0</v>
      </c>
      <c r="S331" s="44">
        <v>0</v>
      </c>
      <c r="T331" s="44">
        <v>0</v>
      </c>
      <c r="U331" s="44">
        <v>0</v>
      </c>
      <c r="V331" s="44">
        <v>0</v>
      </c>
      <c r="W331" s="44">
        <v>0</v>
      </c>
      <c r="X331" s="44">
        <v>0</v>
      </c>
      <c r="Y331" s="44">
        <v>0</v>
      </c>
      <c r="Z331" s="39"/>
      <c r="AA331" s="41"/>
      <c r="AB331" s="42"/>
      <c r="AC331" s="42"/>
      <c r="AD331" s="43"/>
    </row>
    <row r="332" spans="1:30" ht="46.5" x14ac:dyDescent="0.25">
      <c r="A332" s="37" t="s">
        <v>945</v>
      </c>
      <c r="B332" s="38" t="s">
        <v>946</v>
      </c>
      <c r="C332" s="39"/>
      <c r="D332" s="39"/>
      <c r="E332" s="39"/>
      <c r="F332" s="44">
        <v>0</v>
      </c>
      <c r="G332" s="44">
        <v>0</v>
      </c>
      <c r="H332" s="44">
        <v>0</v>
      </c>
      <c r="I332" s="44">
        <v>0</v>
      </c>
      <c r="J332" s="44">
        <v>0</v>
      </c>
      <c r="K332" s="44">
        <v>0</v>
      </c>
      <c r="L332" s="44">
        <v>0</v>
      </c>
      <c r="M332" s="44">
        <v>0</v>
      </c>
      <c r="N332" s="44">
        <v>0</v>
      </c>
      <c r="O332" s="44">
        <v>0</v>
      </c>
      <c r="P332" s="44">
        <v>0</v>
      </c>
      <c r="Q332" s="44">
        <v>0</v>
      </c>
      <c r="R332" s="44">
        <v>0</v>
      </c>
      <c r="S332" s="44">
        <v>0</v>
      </c>
      <c r="T332" s="44">
        <v>0</v>
      </c>
      <c r="U332" s="44">
        <v>0</v>
      </c>
      <c r="V332" s="44">
        <v>0</v>
      </c>
      <c r="W332" s="44">
        <v>0</v>
      </c>
      <c r="X332" s="44">
        <v>0</v>
      </c>
      <c r="Y332" s="44">
        <v>0</v>
      </c>
      <c r="Z332" s="39"/>
      <c r="AA332" s="41"/>
      <c r="AB332" s="42"/>
      <c r="AC332" s="42"/>
      <c r="AD332" s="43"/>
    </row>
    <row r="333" spans="1:30" ht="45" x14ac:dyDescent="0.25">
      <c r="A333" s="30" t="s">
        <v>947</v>
      </c>
      <c r="B333" s="31" t="s">
        <v>948</v>
      </c>
      <c r="C333" s="32" t="s">
        <v>911</v>
      </c>
      <c r="D333" s="32" t="s">
        <v>949</v>
      </c>
      <c r="E333" s="32" t="s">
        <v>39</v>
      </c>
      <c r="F333" s="33">
        <f t="shared" ref="F333:Y333" si="229">F334+F336</f>
        <v>704905.42999999993</v>
      </c>
      <c r="G333" s="33">
        <f t="shared" si="229"/>
        <v>704905.42999999993</v>
      </c>
      <c r="H333" s="33">
        <f t="shared" si="229"/>
        <v>0</v>
      </c>
      <c r="I333" s="33">
        <f t="shared" si="229"/>
        <v>0</v>
      </c>
      <c r="J333" s="33">
        <f t="shared" si="229"/>
        <v>0</v>
      </c>
      <c r="K333" s="33">
        <f t="shared" si="229"/>
        <v>0</v>
      </c>
      <c r="L333" s="33">
        <f t="shared" si="229"/>
        <v>0</v>
      </c>
      <c r="M333" s="33">
        <f t="shared" si="229"/>
        <v>0</v>
      </c>
      <c r="N333" s="33">
        <f t="shared" si="229"/>
        <v>0</v>
      </c>
      <c r="O333" s="33">
        <f t="shared" si="229"/>
        <v>0</v>
      </c>
      <c r="P333" s="33">
        <f t="shared" si="229"/>
        <v>704708.75</v>
      </c>
      <c r="Q333" s="33">
        <f t="shared" si="229"/>
        <v>18004.11</v>
      </c>
      <c r="R333" s="33">
        <f t="shared" si="229"/>
        <v>0</v>
      </c>
      <c r="S333" s="33">
        <f t="shared" si="229"/>
        <v>0</v>
      </c>
      <c r="T333" s="33">
        <f t="shared" si="229"/>
        <v>0</v>
      </c>
      <c r="U333" s="33">
        <f t="shared" si="229"/>
        <v>0</v>
      </c>
      <c r="V333" s="33">
        <f t="shared" si="229"/>
        <v>0</v>
      </c>
      <c r="W333" s="33">
        <f t="shared" si="229"/>
        <v>0</v>
      </c>
      <c r="X333" s="33">
        <f t="shared" si="229"/>
        <v>0</v>
      </c>
      <c r="Y333" s="33">
        <f t="shared" si="229"/>
        <v>0</v>
      </c>
      <c r="Z333" s="32" t="s">
        <v>950</v>
      </c>
      <c r="AA333" s="34" t="s">
        <v>35</v>
      </c>
      <c r="AB333" s="35" t="s">
        <v>285</v>
      </c>
      <c r="AC333" s="35" t="s">
        <v>285</v>
      </c>
      <c r="AD333" s="36"/>
    </row>
    <row r="334" spans="1:30" ht="46.5" x14ac:dyDescent="0.25">
      <c r="A334" s="37" t="s">
        <v>951</v>
      </c>
      <c r="B334" s="38" t="s">
        <v>952</v>
      </c>
      <c r="C334" s="39" t="s">
        <v>911</v>
      </c>
      <c r="D334" s="39" t="s">
        <v>949</v>
      </c>
      <c r="E334" s="39" t="s">
        <v>46</v>
      </c>
      <c r="F334" s="40">
        <f>SUM(F335:F335)+632225</f>
        <v>632225</v>
      </c>
      <c r="G334" s="40">
        <f>SUM(G335:G335)+632225</f>
        <v>632225</v>
      </c>
      <c r="H334" s="40">
        <f t="shared" ref="H334:O334" si="230">SUM(H335:H335)</f>
        <v>0</v>
      </c>
      <c r="I334" s="40">
        <f t="shared" si="230"/>
        <v>0</v>
      </c>
      <c r="J334" s="40">
        <f t="shared" si="230"/>
        <v>0</v>
      </c>
      <c r="K334" s="40">
        <f t="shared" si="230"/>
        <v>0</v>
      </c>
      <c r="L334" s="40">
        <f t="shared" si="230"/>
        <v>0</v>
      </c>
      <c r="M334" s="40">
        <f t="shared" si="230"/>
        <v>0</v>
      </c>
      <c r="N334" s="40">
        <f t="shared" si="230"/>
        <v>0</v>
      </c>
      <c r="O334" s="40">
        <f t="shared" si="230"/>
        <v>0</v>
      </c>
      <c r="P334" s="40">
        <f>SUM(P335:P335)+632224.21</f>
        <v>632224.21</v>
      </c>
      <c r="Q334" s="40">
        <f t="shared" ref="Q334:Y334" si="231">SUM(Q335:Q335)</f>
        <v>0</v>
      </c>
      <c r="R334" s="40">
        <f t="shared" si="231"/>
        <v>0</v>
      </c>
      <c r="S334" s="40">
        <f t="shared" si="231"/>
        <v>0</v>
      </c>
      <c r="T334" s="40">
        <f t="shared" si="231"/>
        <v>0</v>
      </c>
      <c r="U334" s="40">
        <f t="shared" si="231"/>
        <v>0</v>
      </c>
      <c r="V334" s="40">
        <f t="shared" si="231"/>
        <v>0</v>
      </c>
      <c r="W334" s="40">
        <f t="shared" si="231"/>
        <v>0</v>
      </c>
      <c r="X334" s="40">
        <f t="shared" si="231"/>
        <v>0</v>
      </c>
      <c r="Y334" s="40">
        <f t="shared" si="231"/>
        <v>0</v>
      </c>
      <c r="Z334" s="39" t="s">
        <v>953</v>
      </c>
      <c r="AA334" s="41" t="s">
        <v>35</v>
      </c>
      <c r="AB334" s="42" t="s">
        <v>285</v>
      </c>
      <c r="AC334" s="42" t="s">
        <v>285</v>
      </c>
      <c r="AD334" s="43"/>
    </row>
    <row r="335" spans="1:30" ht="46.5" x14ac:dyDescent="0.25">
      <c r="A335" s="37" t="s">
        <v>954</v>
      </c>
      <c r="B335" s="38" t="s">
        <v>955</v>
      </c>
      <c r="C335" s="39"/>
      <c r="D335" s="39"/>
      <c r="E335" s="39"/>
      <c r="F335" s="44">
        <v>0</v>
      </c>
      <c r="G335" s="44">
        <v>0</v>
      </c>
      <c r="H335" s="44">
        <v>0</v>
      </c>
      <c r="I335" s="44">
        <v>0</v>
      </c>
      <c r="J335" s="44">
        <v>0</v>
      </c>
      <c r="K335" s="44">
        <v>0</v>
      </c>
      <c r="L335" s="44">
        <v>0</v>
      </c>
      <c r="M335" s="44">
        <v>0</v>
      </c>
      <c r="N335" s="44">
        <v>0</v>
      </c>
      <c r="O335" s="44">
        <v>0</v>
      </c>
      <c r="P335" s="44">
        <v>0</v>
      </c>
      <c r="Q335" s="44">
        <v>0</v>
      </c>
      <c r="R335" s="44">
        <v>0</v>
      </c>
      <c r="S335" s="44">
        <v>0</v>
      </c>
      <c r="T335" s="44">
        <v>0</v>
      </c>
      <c r="U335" s="44">
        <v>0</v>
      </c>
      <c r="V335" s="44">
        <v>0</v>
      </c>
      <c r="W335" s="44">
        <v>0</v>
      </c>
      <c r="X335" s="44">
        <v>0</v>
      </c>
      <c r="Y335" s="44">
        <v>0</v>
      </c>
      <c r="Z335" s="39"/>
      <c r="AA335" s="41"/>
      <c r="AB335" s="42"/>
      <c r="AC335" s="42"/>
      <c r="AD335" s="43"/>
    </row>
    <row r="336" spans="1:30" ht="46.5" x14ac:dyDescent="0.25">
      <c r="A336" s="37" t="s">
        <v>956</v>
      </c>
      <c r="B336" s="38" t="s">
        <v>957</v>
      </c>
      <c r="C336" s="39" t="s">
        <v>911</v>
      </c>
      <c r="D336" s="39" t="s">
        <v>949</v>
      </c>
      <c r="E336" s="39" t="s">
        <v>46</v>
      </c>
      <c r="F336" s="40">
        <f>SUM(F337:F337)+72680.43</f>
        <v>72680.429999999993</v>
      </c>
      <c r="G336" s="40">
        <f>SUM(G337:G337)+72680.43</f>
        <v>72680.429999999993</v>
      </c>
      <c r="H336" s="40">
        <f t="shared" ref="H336:O336" si="232">SUM(H337:H337)</f>
        <v>0</v>
      </c>
      <c r="I336" s="40">
        <f t="shared" si="232"/>
        <v>0</v>
      </c>
      <c r="J336" s="40">
        <f t="shared" si="232"/>
        <v>0</v>
      </c>
      <c r="K336" s="40">
        <f t="shared" si="232"/>
        <v>0</v>
      </c>
      <c r="L336" s="40">
        <f t="shared" si="232"/>
        <v>0</v>
      </c>
      <c r="M336" s="40">
        <f t="shared" si="232"/>
        <v>0</v>
      </c>
      <c r="N336" s="40">
        <f t="shared" si="232"/>
        <v>0</v>
      </c>
      <c r="O336" s="40">
        <f t="shared" si="232"/>
        <v>0</v>
      </c>
      <c r="P336" s="40">
        <f>SUM(P337:P337)+72484.54</f>
        <v>72484.539999999994</v>
      </c>
      <c r="Q336" s="40">
        <f>SUM(Q337:Q337)+18004.11</f>
        <v>18004.11</v>
      </c>
      <c r="R336" s="40">
        <f t="shared" ref="R336:Y336" si="233">SUM(R337:R337)</f>
        <v>0</v>
      </c>
      <c r="S336" s="40">
        <f t="shared" si="233"/>
        <v>0</v>
      </c>
      <c r="T336" s="40">
        <f t="shared" si="233"/>
        <v>0</v>
      </c>
      <c r="U336" s="40">
        <f t="shared" si="233"/>
        <v>0</v>
      </c>
      <c r="V336" s="40">
        <f t="shared" si="233"/>
        <v>0</v>
      </c>
      <c r="W336" s="40">
        <f t="shared" si="233"/>
        <v>0</v>
      </c>
      <c r="X336" s="40">
        <f t="shared" si="233"/>
        <v>0</v>
      </c>
      <c r="Y336" s="40">
        <f t="shared" si="233"/>
        <v>0</v>
      </c>
      <c r="Z336" s="39" t="s">
        <v>958</v>
      </c>
      <c r="AA336" s="41" t="s">
        <v>35</v>
      </c>
      <c r="AB336" s="42" t="s">
        <v>285</v>
      </c>
      <c r="AC336" s="42" t="s">
        <v>959</v>
      </c>
      <c r="AD336" s="43"/>
    </row>
    <row r="337" spans="1:30" ht="46.5" x14ac:dyDescent="0.25">
      <c r="A337" s="37" t="s">
        <v>960</v>
      </c>
      <c r="B337" s="38" t="s">
        <v>961</v>
      </c>
      <c r="C337" s="39"/>
      <c r="D337" s="39"/>
      <c r="E337" s="39"/>
      <c r="F337" s="44">
        <v>0</v>
      </c>
      <c r="G337" s="44">
        <v>0</v>
      </c>
      <c r="H337" s="44">
        <v>0</v>
      </c>
      <c r="I337" s="44">
        <v>0</v>
      </c>
      <c r="J337" s="44">
        <v>0</v>
      </c>
      <c r="K337" s="44">
        <v>0</v>
      </c>
      <c r="L337" s="44">
        <v>0</v>
      </c>
      <c r="M337" s="44">
        <v>0</v>
      </c>
      <c r="N337" s="44">
        <v>0</v>
      </c>
      <c r="O337" s="44">
        <v>0</v>
      </c>
      <c r="P337" s="44">
        <v>0</v>
      </c>
      <c r="Q337" s="44">
        <v>0</v>
      </c>
      <c r="R337" s="44">
        <v>0</v>
      </c>
      <c r="S337" s="44">
        <v>0</v>
      </c>
      <c r="T337" s="44">
        <v>0</v>
      </c>
      <c r="U337" s="44">
        <v>0</v>
      </c>
      <c r="V337" s="44">
        <v>0</v>
      </c>
      <c r="W337" s="44">
        <v>0</v>
      </c>
      <c r="X337" s="44">
        <v>0</v>
      </c>
      <c r="Y337" s="44">
        <v>0</v>
      </c>
      <c r="Z337" s="39"/>
      <c r="AA337" s="41"/>
      <c r="AB337" s="42"/>
      <c r="AC337" s="42"/>
      <c r="AD337" s="43"/>
    </row>
    <row r="338" spans="1:30" ht="45" x14ac:dyDescent="0.25">
      <c r="A338" s="30" t="s">
        <v>962</v>
      </c>
      <c r="B338" s="31" t="s">
        <v>963</v>
      </c>
      <c r="C338" s="32" t="s">
        <v>888</v>
      </c>
      <c r="D338" s="32" t="s">
        <v>889</v>
      </c>
      <c r="E338" s="32" t="s">
        <v>39</v>
      </c>
      <c r="F338" s="33">
        <f t="shared" ref="F338:Y338" si="234">F339+F341+F343</f>
        <v>0</v>
      </c>
      <c r="G338" s="33">
        <f t="shared" si="234"/>
        <v>0</v>
      </c>
      <c r="H338" s="33">
        <f t="shared" si="234"/>
        <v>0</v>
      </c>
      <c r="I338" s="33">
        <f t="shared" si="234"/>
        <v>0</v>
      </c>
      <c r="J338" s="33">
        <f t="shared" si="234"/>
        <v>0</v>
      </c>
      <c r="K338" s="33">
        <f t="shared" si="234"/>
        <v>0</v>
      </c>
      <c r="L338" s="33">
        <f t="shared" si="234"/>
        <v>0</v>
      </c>
      <c r="M338" s="33">
        <f t="shared" si="234"/>
        <v>0</v>
      </c>
      <c r="N338" s="33">
        <f t="shared" si="234"/>
        <v>0</v>
      </c>
      <c r="O338" s="33">
        <f t="shared" si="234"/>
        <v>0</v>
      </c>
      <c r="P338" s="33">
        <f t="shared" si="234"/>
        <v>0</v>
      </c>
      <c r="Q338" s="33">
        <f t="shared" si="234"/>
        <v>0</v>
      </c>
      <c r="R338" s="33">
        <f t="shared" si="234"/>
        <v>0</v>
      </c>
      <c r="S338" s="33">
        <f t="shared" si="234"/>
        <v>0</v>
      </c>
      <c r="T338" s="33">
        <f t="shared" si="234"/>
        <v>0</v>
      </c>
      <c r="U338" s="33">
        <f t="shared" si="234"/>
        <v>0</v>
      </c>
      <c r="V338" s="33">
        <f t="shared" si="234"/>
        <v>0</v>
      </c>
      <c r="W338" s="33">
        <f t="shared" si="234"/>
        <v>0</v>
      </c>
      <c r="X338" s="33">
        <f t="shared" si="234"/>
        <v>0</v>
      </c>
      <c r="Y338" s="33">
        <f t="shared" si="234"/>
        <v>0</v>
      </c>
      <c r="Z338" s="32" t="s">
        <v>964</v>
      </c>
      <c r="AA338" s="34" t="s">
        <v>41</v>
      </c>
      <c r="AB338" s="35" t="s">
        <v>56</v>
      </c>
      <c r="AC338" s="35" t="s">
        <v>56</v>
      </c>
      <c r="AD338" s="36"/>
    </row>
    <row r="339" spans="1:30" ht="69.75" x14ac:dyDescent="0.25">
      <c r="A339" s="37" t="s">
        <v>965</v>
      </c>
      <c r="B339" s="38" t="s">
        <v>966</v>
      </c>
      <c r="C339" s="39" t="s">
        <v>888</v>
      </c>
      <c r="D339" s="39" t="s">
        <v>889</v>
      </c>
      <c r="E339" s="39" t="s">
        <v>46</v>
      </c>
      <c r="F339" s="40">
        <f t="shared" ref="F339:Y339" si="235">SUM(F340:F340)</f>
        <v>0</v>
      </c>
      <c r="G339" s="40">
        <f t="shared" si="235"/>
        <v>0</v>
      </c>
      <c r="H339" s="40">
        <f t="shared" si="235"/>
        <v>0</v>
      </c>
      <c r="I339" s="40">
        <f t="shared" si="235"/>
        <v>0</v>
      </c>
      <c r="J339" s="40">
        <f t="shared" si="235"/>
        <v>0</v>
      </c>
      <c r="K339" s="40">
        <f t="shared" si="235"/>
        <v>0</v>
      </c>
      <c r="L339" s="40">
        <f t="shared" si="235"/>
        <v>0</v>
      </c>
      <c r="M339" s="40">
        <f t="shared" si="235"/>
        <v>0</v>
      </c>
      <c r="N339" s="40">
        <f t="shared" si="235"/>
        <v>0</v>
      </c>
      <c r="O339" s="40">
        <f t="shared" si="235"/>
        <v>0</v>
      </c>
      <c r="P339" s="40">
        <f t="shared" si="235"/>
        <v>0</v>
      </c>
      <c r="Q339" s="40">
        <f t="shared" si="235"/>
        <v>0</v>
      </c>
      <c r="R339" s="40">
        <f t="shared" si="235"/>
        <v>0</v>
      </c>
      <c r="S339" s="40">
        <f t="shared" si="235"/>
        <v>0</v>
      </c>
      <c r="T339" s="40">
        <f t="shared" si="235"/>
        <v>0</v>
      </c>
      <c r="U339" s="40">
        <f t="shared" si="235"/>
        <v>0</v>
      </c>
      <c r="V339" s="40">
        <f t="shared" si="235"/>
        <v>0</v>
      </c>
      <c r="W339" s="40">
        <f t="shared" si="235"/>
        <v>0</v>
      </c>
      <c r="X339" s="40">
        <f t="shared" si="235"/>
        <v>0</v>
      </c>
      <c r="Y339" s="40">
        <f t="shared" si="235"/>
        <v>0</v>
      </c>
      <c r="Z339" s="39" t="s">
        <v>967</v>
      </c>
      <c r="AA339" s="41" t="s">
        <v>41</v>
      </c>
      <c r="AB339" s="42" t="s">
        <v>42</v>
      </c>
      <c r="AC339" s="42" t="s">
        <v>56</v>
      </c>
      <c r="AD339" s="43" t="s">
        <v>968</v>
      </c>
    </row>
    <row r="340" spans="1:30" x14ac:dyDescent="0.25">
      <c r="A340" s="37" t="s">
        <v>969</v>
      </c>
      <c r="B340" s="38" t="s">
        <v>970</v>
      </c>
      <c r="C340" s="39"/>
      <c r="D340" s="39"/>
      <c r="E340" s="39"/>
      <c r="F340" s="44">
        <v>0</v>
      </c>
      <c r="G340" s="44">
        <v>0</v>
      </c>
      <c r="H340" s="44">
        <v>0</v>
      </c>
      <c r="I340" s="44">
        <v>0</v>
      </c>
      <c r="J340" s="44">
        <v>0</v>
      </c>
      <c r="K340" s="44">
        <v>0</v>
      </c>
      <c r="L340" s="44">
        <v>0</v>
      </c>
      <c r="M340" s="44">
        <v>0</v>
      </c>
      <c r="N340" s="44">
        <v>0</v>
      </c>
      <c r="O340" s="44">
        <v>0</v>
      </c>
      <c r="P340" s="44">
        <v>0</v>
      </c>
      <c r="Q340" s="44">
        <v>0</v>
      </c>
      <c r="R340" s="44">
        <v>0</v>
      </c>
      <c r="S340" s="44">
        <v>0</v>
      </c>
      <c r="T340" s="44">
        <v>0</v>
      </c>
      <c r="U340" s="44">
        <v>0</v>
      </c>
      <c r="V340" s="44">
        <v>0</v>
      </c>
      <c r="W340" s="44">
        <v>0</v>
      </c>
      <c r="X340" s="44">
        <v>0</v>
      </c>
      <c r="Y340" s="44">
        <v>0</v>
      </c>
      <c r="Z340" s="39"/>
      <c r="AA340" s="41"/>
      <c r="AB340" s="42"/>
      <c r="AC340" s="42"/>
      <c r="AD340" s="43"/>
    </row>
    <row r="341" spans="1:30" ht="116.25" x14ac:dyDescent="0.25">
      <c r="A341" s="37" t="s">
        <v>971</v>
      </c>
      <c r="B341" s="38" t="s">
        <v>972</v>
      </c>
      <c r="C341" s="39" t="s">
        <v>973</v>
      </c>
      <c r="D341" s="39" t="s">
        <v>889</v>
      </c>
      <c r="E341" s="39" t="s">
        <v>257</v>
      </c>
      <c r="F341" s="40">
        <f t="shared" ref="F341:Y341" si="236">SUM(F342:F342)</f>
        <v>0</v>
      </c>
      <c r="G341" s="40">
        <f t="shared" si="236"/>
        <v>0</v>
      </c>
      <c r="H341" s="40">
        <f t="shared" si="236"/>
        <v>0</v>
      </c>
      <c r="I341" s="40">
        <f t="shared" si="236"/>
        <v>0</v>
      </c>
      <c r="J341" s="40">
        <f t="shared" si="236"/>
        <v>0</v>
      </c>
      <c r="K341" s="40">
        <f t="shared" si="236"/>
        <v>0</v>
      </c>
      <c r="L341" s="40">
        <f t="shared" si="236"/>
        <v>0</v>
      </c>
      <c r="M341" s="40">
        <f t="shared" si="236"/>
        <v>0</v>
      </c>
      <c r="N341" s="40">
        <f t="shared" si="236"/>
        <v>0</v>
      </c>
      <c r="O341" s="40">
        <f t="shared" si="236"/>
        <v>0</v>
      </c>
      <c r="P341" s="40">
        <f t="shared" si="236"/>
        <v>0</v>
      </c>
      <c r="Q341" s="40">
        <f t="shared" si="236"/>
        <v>0</v>
      </c>
      <c r="R341" s="40">
        <f t="shared" si="236"/>
        <v>0</v>
      </c>
      <c r="S341" s="40">
        <f t="shared" si="236"/>
        <v>0</v>
      </c>
      <c r="T341" s="40">
        <f t="shared" si="236"/>
        <v>0</v>
      </c>
      <c r="U341" s="40">
        <f t="shared" si="236"/>
        <v>0</v>
      </c>
      <c r="V341" s="40">
        <f t="shared" si="236"/>
        <v>0</v>
      </c>
      <c r="W341" s="40">
        <f t="shared" si="236"/>
        <v>0</v>
      </c>
      <c r="X341" s="40">
        <f t="shared" si="236"/>
        <v>0</v>
      </c>
      <c r="Y341" s="40">
        <f t="shared" si="236"/>
        <v>0</v>
      </c>
      <c r="Z341" s="39" t="s">
        <v>974</v>
      </c>
      <c r="AA341" s="41" t="s">
        <v>35</v>
      </c>
      <c r="AB341" s="42" t="s">
        <v>124</v>
      </c>
      <c r="AC341" s="42" t="s">
        <v>975</v>
      </c>
      <c r="AD341" s="43" t="s">
        <v>976</v>
      </c>
    </row>
    <row r="342" spans="1:30" ht="69.75" x14ac:dyDescent="0.25">
      <c r="A342" s="37" t="s">
        <v>977</v>
      </c>
      <c r="B342" s="38" t="s">
        <v>978</v>
      </c>
      <c r="C342" s="39"/>
      <c r="D342" s="39"/>
      <c r="E342" s="39"/>
      <c r="F342" s="44">
        <v>0</v>
      </c>
      <c r="G342" s="44">
        <v>0</v>
      </c>
      <c r="H342" s="44">
        <v>0</v>
      </c>
      <c r="I342" s="44">
        <v>0</v>
      </c>
      <c r="J342" s="44">
        <v>0</v>
      </c>
      <c r="K342" s="44">
        <v>0</v>
      </c>
      <c r="L342" s="44">
        <v>0</v>
      </c>
      <c r="M342" s="44">
        <v>0</v>
      </c>
      <c r="N342" s="44">
        <v>0</v>
      </c>
      <c r="O342" s="44">
        <v>0</v>
      </c>
      <c r="P342" s="44">
        <v>0</v>
      </c>
      <c r="Q342" s="44">
        <v>0</v>
      </c>
      <c r="R342" s="44">
        <v>0</v>
      </c>
      <c r="S342" s="44">
        <v>0</v>
      </c>
      <c r="T342" s="44">
        <v>0</v>
      </c>
      <c r="U342" s="44">
        <v>0</v>
      </c>
      <c r="V342" s="44">
        <v>0</v>
      </c>
      <c r="W342" s="44">
        <v>0</v>
      </c>
      <c r="X342" s="44">
        <v>0</v>
      </c>
      <c r="Y342" s="44">
        <v>0</v>
      </c>
      <c r="Z342" s="39"/>
      <c r="AA342" s="41"/>
      <c r="AB342" s="42"/>
      <c r="AC342" s="42"/>
      <c r="AD342" s="43"/>
    </row>
    <row r="343" spans="1:30" ht="69.75" x14ac:dyDescent="0.25">
      <c r="A343" s="37" t="s">
        <v>979</v>
      </c>
      <c r="B343" s="38" t="s">
        <v>980</v>
      </c>
      <c r="C343" s="39" t="s">
        <v>888</v>
      </c>
      <c r="D343" s="39" t="s">
        <v>889</v>
      </c>
      <c r="E343" s="39"/>
      <c r="F343" s="40">
        <f t="shared" ref="F343:Y343" si="237">SUM(F344:F344)</f>
        <v>0</v>
      </c>
      <c r="G343" s="40">
        <f t="shared" si="237"/>
        <v>0</v>
      </c>
      <c r="H343" s="40">
        <f t="shared" si="237"/>
        <v>0</v>
      </c>
      <c r="I343" s="40">
        <f t="shared" si="237"/>
        <v>0</v>
      </c>
      <c r="J343" s="40">
        <f t="shared" si="237"/>
        <v>0</v>
      </c>
      <c r="K343" s="40">
        <f t="shared" si="237"/>
        <v>0</v>
      </c>
      <c r="L343" s="40">
        <f t="shared" si="237"/>
        <v>0</v>
      </c>
      <c r="M343" s="40">
        <f t="shared" si="237"/>
        <v>0</v>
      </c>
      <c r="N343" s="40">
        <f t="shared" si="237"/>
        <v>0</v>
      </c>
      <c r="O343" s="40">
        <f t="shared" si="237"/>
        <v>0</v>
      </c>
      <c r="P343" s="40">
        <f t="shared" si="237"/>
        <v>0</v>
      </c>
      <c r="Q343" s="40">
        <f t="shared" si="237"/>
        <v>0</v>
      </c>
      <c r="R343" s="40">
        <f t="shared" si="237"/>
        <v>0</v>
      </c>
      <c r="S343" s="40">
        <f t="shared" si="237"/>
        <v>0</v>
      </c>
      <c r="T343" s="40">
        <f t="shared" si="237"/>
        <v>0</v>
      </c>
      <c r="U343" s="40">
        <f t="shared" si="237"/>
        <v>0</v>
      </c>
      <c r="V343" s="40">
        <f t="shared" si="237"/>
        <v>0</v>
      </c>
      <c r="W343" s="40">
        <f t="shared" si="237"/>
        <v>0</v>
      </c>
      <c r="X343" s="40">
        <f t="shared" si="237"/>
        <v>0</v>
      </c>
      <c r="Y343" s="40">
        <f t="shared" si="237"/>
        <v>0</v>
      </c>
      <c r="Z343" s="39" t="s">
        <v>981</v>
      </c>
      <c r="AA343" s="41" t="s">
        <v>41</v>
      </c>
      <c r="AB343" s="42" t="s">
        <v>178</v>
      </c>
      <c r="AC343" s="42" t="s">
        <v>218</v>
      </c>
      <c r="AD343" s="43" t="s">
        <v>982</v>
      </c>
    </row>
    <row r="344" spans="1:30" x14ac:dyDescent="0.25">
      <c r="A344" s="37" t="s">
        <v>983</v>
      </c>
      <c r="B344" s="38" t="s">
        <v>984</v>
      </c>
      <c r="C344" s="39"/>
      <c r="D344" s="39"/>
      <c r="E344" s="39"/>
      <c r="F344" s="44">
        <v>0</v>
      </c>
      <c r="G344" s="44">
        <v>0</v>
      </c>
      <c r="H344" s="44">
        <v>0</v>
      </c>
      <c r="I344" s="44">
        <v>0</v>
      </c>
      <c r="J344" s="44">
        <v>0</v>
      </c>
      <c r="K344" s="44">
        <v>0</v>
      </c>
      <c r="L344" s="44">
        <v>0</v>
      </c>
      <c r="M344" s="44">
        <v>0</v>
      </c>
      <c r="N344" s="44">
        <v>0</v>
      </c>
      <c r="O344" s="44">
        <v>0</v>
      </c>
      <c r="P344" s="44">
        <v>0</v>
      </c>
      <c r="Q344" s="44">
        <v>0</v>
      </c>
      <c r="R344" s="44">
        <v>0</v>
      </c>
      <c r="S344" s="44">
        <v>0</v>
      </c>
      <c r="T344" s="44">
        <v>0</v>
      </c>
      <c r="U344" s="44">
        <v>0</v>
      </c>
      <c r="V344" s="44">
        <v>0</v>
      </c>
      <c r="W344" s="44">
        <v>0</v>
      </c>
      <c r="X344" s="44">
        <v>0</v>
      </c>
      <c r="Y344" s="44">
        <v>0</v>
      </c>
      <c r="Z344" s="39"/>
      <c r="AA344" s="41"/>
      <c r="AB344" s="42"/>
      <c r="AC344" s="42"/>
      <c r="AD344" s="43"/>
    </row>
    <row r="345" spans="1:30" ht="90" x14ac:dyDescent="0.25">
      <c r="A345" s="23" t="s">
        <v>985</v>
      </c>
      <c r="B345" s="24" t="s">
        <v>986</v>
      </c>
      <c r="C345" s="25" t="s">
        <v>780</v>
      </c>
      <c r="D345" s="25" t="s">
        <v>781</v>
      </c>
      <c r="E345" s="25"/>
      <c r="F345" s="26">
        <f t="shared" ref="F345:Y345" si="238">SUM(F346:F346)</f>
        <v>10270</v>
      </c>
      <c r="G345" s="26">
        <f t="shared" si="238"/>
        <v>10270</v>
      </c>
      <c r="H345" s="26">
        <f t="shared" si="238"/>
        <v>0</v>
      </c>
      <c r="I345" s="26">
        <f t="shared" si="238"/>
        <v>0</v>
      </c>
      <c r="J345" s="26">
        <f t="shared" si="238"/>
        <v>0</v>
      </c>
      <c r="K345" s="26">
        <f t="shared" si="238"/>
        <v>0</v>
      </c>
      <c r="L345" s="26">
        <f t="shared" si="238"/>
        <v>0</v>
      </c>
      <c r="M345" s="26">
        <f t="shared" si="238"/>
        <v>0</v>
      </c>
      <c r="N345" s="26">
        <f t="shared" si="238"/>
        <v>0</v>
      </c>
      <c r="O345" s="26">
        <f t="shared" si="238"/>
        <v>0</v>
      </c>
      <c r="P345" s="26">
        <f t="shared" si="238"/>
        <v>10270</v>
      </c>
      <c r="Q345" s="26">
        <f t="shared" si="238"/>
        <v>10270</v>
      </c>
      <c r="R345" s="26">
        <f t="shared" si="238"/>
        <v>0</v>
      </c>
      <c r="S345" s="26">
        <f t="shared" si="238"/>
        <v>0</v>
      </c>
      <c r="T345" s="26">
        <f t="shared" si="238"/>
        <v>0</v>
      </c>
      <c r="U345" s="26">
        <f t="shared" si="238"/>
        <v>0</v>
      </c>
      <c r="V345" s="26">
        <f t="shared" si="238"/>
        <v>0</v>
      </c>
      <c r="W345" s="26">
        <f t="shared" si="238"/>
        <v>0</v>
      </c>
      <c r="X345" s="26">
        <f t="shared" si="238"/>
        <v>0</v>
      </c>
      <c r="Y345" s="26">
        <f t="shared" si="238"/>
        <v>0</v>
      </c>
      <c r="Z345" s="25" t="s">
        <v>295</v>
      </c>
      <c r="AA345" s="27" t="s">
        <v>35</v>
      </c>
      <c r="AB345" s="28" t="s">
        <v>104</v>
      </c>
      <c r="AC345" s="28" t="s">
        <v>104</v>
      </c>
      <c r="AD345" s="29"/>
    </row>
    <row r="346" spans="1:30" ht="112.5" x14ac:dyDescent="0.25">
      <c r="A346" s="30" t="s">
        <v>987</v>
      </c>
      <c r="B346" s="31" t="s">
        <v>988</v>
      </c>
      <c r="C346" s="32" t="s">
        <v>780</v>
      </c>
      <c r="D346" s="32" t="s">
        <v>781</v>
      </c>
      <c r="E346" s="32" t="s">
        <v>283</v>
      </c>
      <c r="F346" s="33">
        <f t="shared" ref="F346:Y346" si="239">F347+F349</f>
        <v>10270</v>
      </c>
      <c r="G346" s="33">
        <f t="shared" si="239"/>
        <v>10270</v>
      </c>
      <c r="H346" s="33">
        <f t="shared" si="239"/>
        <v>0</v>
      </c>
      <c r="I346" s="33">
        <f t="shared" si="239"/>
        <v>0</v>
      </c>
      <c r="J346" s="33">
        <f t="shared" si="239"/>
        <v>0</v>
      </c>
      <c r="K346" s="33">
        <f t="shared" si="239"/>
        <v>0</v>
      </c>
      <c r="L346" s="33">
        <f t="shared" si="239"/>
        <v>0</v>
      </c>
      <c r="M346" s="33">
        <f t="shared" si="239"/>
        <v>0</v>
      </c>
      <c r="N346" s="33">
        <f t="shared" si="239"/>
        <v>0</v>
      </c>
      <c r="O346" s="33">
        <f t="shared" si="239"/>
        <v>0</v>
      </c>
      <c r="P346" s="33">
        <f t="shared" si="239"/>
        <v>10270</v>
      </c>
      <c r="Q346" s="33">
        <f t="shared" si="239"/>
        <v>10270</v>
      </c>
      <c r="R346" s="33">
        <f t="shared" si="239"/>
        <v>0</v>
      </c>
      <c r="S346" s="33">
        <f t="shared" si="239"/>
        <v>0</v>
      </c>
      <c r="T346" s="33">
        <f t="shared" si="239"/>
        <v>0</v>
      </c>
      <c r="U346" s="33">
        <f t="shared" si="239"/>
        <v>0</v>
      </c>
      <c r="V346" s="33">
        <f t="shared" si="239"/>
        <v>0</v>
      </c>
      <c r="W346" s="33">
        <f t="shared" si="239"/>
        <v>0</v>
      </c>
      <c r="X346" s="33">
        <f t="shared" si="239"/>
        <v>0</v>
      </c>
      <c r="Y346" s="33">
        <f t="shared" si="239"/>
        <v>0</v>
      </c>
      <c r="Z346" s="32" t="s">
        <v>989</v>
      </c>
      <c r="AA346" s="34" t="s">
        <v>35</v>
      </c>
      <c r="AB346" s="35" t="s">
        <v>990</v>
      </c>
      <c r="AC346" s="35" t="s">
        <v>990</v>
      </c>
      <c r="AD346" s="36"/>
    </row>
    <row r="347" spans="1:30" ht="46.5" x14ac:dyDescent="0.25">
      <c r="A347" s="37" t="s">
        <v>991</v>
      </c>
      <c r="B347" s="38" t="s">
        <v>992</v>
      </c>
      <c r="C347" s="39" t="s">
        <v>780</v>
      </c>
      <c r="D347" s="39" t="s">
        <v>781</v>
      </c>
      <c r="E347" s="39" t="s">
        <v>288</v>
      </c>
      <c r="F347" s="40">
        <f>SUM(F348:F348)+10000</f>
        <v>10000</v>
      </c>
      <c r="G347" s="40">
        <f>SUM(G348:G348)+10000</f>
        <v>10000</v>
      </c>
      <c r="H347" s="40">
        <f t="shared" ref="H347:O347" si="240">SUM(H348:H348)</f>
        <v>0</v>
      </c>
      <c r="I347" s="40">
        <f t="shared" si="240"/>
        <v>0</v>
      </c>
      <c r="J347" s="40">
        <f t="shared" si="240"/>
        <v>0</v>
      </c>
      <c r="K347" s="40">
        <f t="shared" si="240"/>
        <v>0</v>
      </c>
      <c r="L347" s="40">
        <f t="shared" si="240"/>
        <v>0</v>
      </c>
      <c r="M347" s="40">
        <f t="shared" si="240"/>
        <v>0</v>
      </c>
      <c r="N347" s="40">
        <f t="shared" si="240"/>
        <v>0</v>
      </c>
      <c r="O347" s="40">
        <f t="shared" si="240"/>
        <v>0</v>
      </c>
      <c r="P347" s="40">
        <f>SUM(P348:P348)+10000</f>
        <v>10000</v>
      </c>
      <c r="Q347" s="40">
        <f>SUM(Q348:Q348)+10000</f>
        <v>10000</v>
      </c>
      <c r="R347" s="40">
        <f t="shared" ref="R347:Y347" si="241">SUM(R348:R348)</f>
        <v>0</v>
      </c>
      <c r="S347" s="40">
        <f t="shared" si="241"/>
        <v>0</v>
      </c>
      <c r="T347" s="40">
        <f t="shared" si="241"/>
        <v>0</v>
      </c>
      <c r="U347" s="40">
        <f t="shared" si="241"/>
        <v>0</v>
      </c>
      <c r="V347" s="40">
        <f t="shared" si="241"/>
        <v>0</v>
      </c>
      <c r="W347" s="40">
        <f t="shared" si="241"/>
        <v>0</v>
      </c>
      <c r="X347" s="40">
        <f t="shared" si="241"/>
        <v>0</v>
      </c>
      <c r="Y347" s="40">
        <f t="shared" si="241"/>
        <v>0</v>
      </c>
      <c r="Z347" s="39" t="s">
        <v>993</v>
      </c>
      <c r="AA347" s="41" t="s">
        <v>41</v>
      </c>
      <c r="AB347" s="42" t="s">
        <v>225</v>
      </c>
      <c r="AC347" s="42" t="s">
        <v>42</v>
      </c>
      <c r="AD347" s="43"/>
    </row>
    <row r="348" spans="1:30" x14ac:dyDescent="0.25">
      <c r="A348" s="37" t="s">
        <v>994</v>
      </c>
      <c r="B348" s="38" t="s">
        <v>995</v>
      </c>
      <c r="C348" s="39"/>
      <c r="D348" s="39"/>
      <c r="E348" s="39"/>
      <c r="F348" s="44">
        <v>0</v>
      </c>
      <c r="G348" s="44">
        <v>0</v>
      </c>
      <c r="H348" s="44">
        <v>0</v>
      </c>
      <c r="I348" s="44">
        <v>0</v>
      </c>
      <c r="J348" s="44">
        <v>0</v>
      </c>
      <c r="K348" s="44">
        <v>0</v>
      </c>
      <c r="L348" s="44">
        <v>0</v>
      </c>
      <c r="M348" s="44">
        <v>0</v>
      </c>
      <c r="N348" s="44">
        <v>0</v>
      </c>
      <c r="O348" s="44">
        <v>0</v>
      </c>
      <c r="P348" s="44">
        <v>0</v>
      </c>
      <c r="Q348" s="44">
        <v>0</v>
      </c>
      <c r="R348" s="44">
        <v>0</v>
      </c>
      <c r="S348" s="44">
        <v>0</v>
      </c>
      <c r="T348" s="44">
        <v>0</v>
      </c>
      <c r="U348" s="44">
        <v>0</v>
      </c>
      <c r="V348" s="44">
        <v>0</v>
      </c>
      <c r="W348" s="44">
        <v>0</v>
      </c>
      <c r="X348" s="44">
        <v>0</v>
      </c>
      <c r="Y348" s="44">
        <v>0</v>
      </c>
      <c r="Z348" s="39"/>
      <c r="AA348" s="41"/>
      <c r="AB348" s="42"/>
      <c r="AC348" s="42"/>
      <c r="AD348" s="43"/>
    </row>
    <row r="349" spans="1:30" ht="46.5" x14ac:dyDescent="0.25">
      <c r="A349" s="37" t="s">
        <v>996</v>
      </c>
      <c r="B349" s="38" t="s">
        <v>997</v>
      </c>
      <c r="C349" s="39" t="s">
        <v>780</v>
      </c>
      <c r="D349" s="39" t="s">
        <v>781</v>
      </c>
      <c r="E349" s="39" t="s">
        <v>288</v>
      </c>
      <c r="F349" s="40">
        <f>SUM(F350:F350)+270</f>
        <v>270</v>
      </c>
      <c r="G349" s="40">
        <f>SUM(G350:G350)+270</f>
        <v>270</v>
      </c>
      <c r="H349" s="40">
        <f t="shared" ref="H349:O349" si="242">SUM(H350:H350)</f>
        <v>0</v>
      </c>
      <c r="I349" s="40">
        <f t="shared" si="242"/>
        <v>0</v>
      </c>
      <c r="J349" s="40">
        <f t="shared" si="242"/>
        <v>0</v>
      </c>
      <c r="K349" s="40">
        <f t="shared" si="242"/>
        <v>0</v>
      </c>
      <c r="L349" s="40">
        <f t="shared" si="242"/>
        <v>0</v>
      </c>
      <c r="M349" s="40">
        <f t="shared" si="242"/>
        <v>0</v>
      </c>
      <c r="N349" s="40">
        <f t="shared" si="242"/>
        <v>0</v>
      </c>
      <c r="O349" s="40">
        <f t="shared" si="242"/>
        <v>0</v>
      </c>
      <c r="P349" s="40">
        <f>SUM(P350:P350)+270</f>
        <v>270</v>
      </c>
      <c r="Q349" s="40">
        <f>SUM(Q350:Q350)+270</f>
        <v>270</v>
      </c>
      <c r="R349" s="40">
        <f t="shared" ref="R349:Y349" si="243">SUM(R350:R350)</f>
        <v>0</v>
      </c>
      <c r="S349" s="40">
        <f t="shared" si="243"/>
        <v>0</v>
      </c>
      <c r="T349" s="40">
        <f t="shared" si="243"/>
        <v>0</v>
      </c>
      <c r="U349" s="40">
        <f t="shared" si="243"/>
        <v>0</v>
      </c>
      <c r="V349" s="40">
        <f t="shared" si="243"/>
        <v>0</v>
      </c>
      <c r="W349" s="40">
        <f t="shared" si="243"/>
        <v>0</v>
      </c>
      <c r="X349" s="40">
        <f t="shared" si="243"/>
        <v>0</v>
      </c>
      <c r="Y349" s="40">
        <f t="shared" si="243"/>
        <v>0</v>
      </c>
      <c r="Z349" s="39" t="s">
        <v>998</v>
      </c>
      <c r="AA349" s="41" t="s">
        <v>41</v>
      </c>
      <c r="AB349" s="42" t="s">
        <v>434</v>
      </c>
      <c r="AC349" s="42" t="s">
        <v>434</v>
      </c>
      <c r="AD349" s="43"/>
    </row>
    <row r="350" spans="1:30" ht="46.5" x14ac:dyDescent="0.25">
      <c r="A350" s="37" t="s">
        <v>999</v>
      </c>
      <c r="B350" s="38" t="s">
        <v>1000</v>
      </c>
      <c r="C350" s="39"/>
      <c r="D350" s="39"/>
      <c r="E350" s="39"/>
      <c r="F350" s="44">
        <v>0</v>
      </c>
      <c r="G350" s="44">
        <v>0</v>
      </c>
      <c r="H350" s="44">
        <v>0</v>
      </c>
      <c r="I350" s="44">
        <v>0</v>
      </c>
      <c r="J350" s="44">
        <v>0</v>
      </c>
      <c r="K350" s="44">
        <v>0</v>
      </c>
      <c r="L350" s="44">
        <v>0</v>
      </c>
      <c r="M350" s="44">
        <v>0</v>
      </c>
      <c r="N350" s="44">
        <v>0</v>
      </c>
      <c r="O350" s="44">
        <v>0</v>
      </c>
      <c r="P350" s="44">
        <v>0</v>
      </c>
      <c r="Q350" s="44">
        <v>0</v>
      </c>
      <c r="R350" s="44">
        <v>0</v>
      </c>
      <c r="S350" s="44">
        <v>0</v>
      </c>
      <c r="T350" s="44">
        <v>0</v>
      </c>
      <c r="U350" s="44">
        <v>0</v>
      </c>
      <c r="V350" s="44">
        <v>0</v>
      </c>
      <c r="W350" s="44">
        <v>0</v>
      </c>
      <c r="X350" s="44">
        <v>0</v>
      </c>
      <c r="Y350" s="44">
        <v>0</v>
      </c>
      <c r="Z350" s="39"/>
      <c r="AA350" s="41"/>
      <c r="AB350" s="42"/>
      <c r="AC350" s="42"/>
      <c r="AD350" s="43"/>
    </row>
    <row r="351" spans="1:30" ht="45" x14ac:dyDescent="0.25">
      <c r="A351" s="16" t="s">
        <v>1001</v>
      </c>
      <c r="B351" s="17" t="s">
        <v>1002</v>
      </c>
      <c r="C351" s="18" t="s">
        <v>312</v>
      </c>
      <c r="D351" s="18" t="s">
        <v>1003</v>
      </c>
      <c r="E351" s="18"/>
      <c r="F351" s="19">
        <f t="shared" ref="F351:Y351" si="244">F352+F435+F452+F501+F508+F515+F525+F537</f>
        <v>6228624.2000000002</v>
      </c>
      <c r="G351" s="19">
        <f t="shared" si="244"/>
        <v>3666538.7800000003</v>
      </c>
      <c r="H351" s="19">
        <f t="shared" si="244"/>
        <v>45410.89</v>
      </c>
      <c r="I351" s="19">
        <f t="shared" si="244"/>
        <v>208284</v>
      </c>
      <c r="J351" s="19">
        <f t="shared" si="244"/>
        <v>321000</v>
      </c>
      <c r="K351" s="19">
        <f t="shared" si="244"/>
        <v>0</v>
      </c>
      <c r="L351" s="19">
        <f t="shared" si="244"/>
        <v>0</v>
      </c>
      <c r="M351" s="19">
        <f t="shared" si="244"/>
        <v>1976890.53</v>
      </c>
      <c r="N351" s="19">
        <f t="shared" si="244"/>
        <v>0</v>
      </c>
      <c r="O351" s="19">
        <f t="shared" si="244"/>
        <v>10500</v>
      </c>
      <c r="P351" s="19">
        <f t="shared" si="244"/>
        <v>5925549.9000000004</v>
      </c>
      <c r="Q351" s="19">
        <f t="shared" si="244"/>
        <v>3489427.6399999997</v>
      </c>
      <c r="R351" s="19">
        <f t="shared" si="244"/>
        <v>12999.93</v>
      </c>
      <c r="S351" s="19">
        <f t="shared" si="244"/>
        <v>120058.39</v>
      </c>
      <c r="T351" s="19">
        <f t="shared" si="244"/>
        <v>0</v>
      </c>
      <c r="U351" s="19">
        <f t="shared" si="244"/>
        <v>0</v>
      </c>
      <c r="V351" s="19">
        <f t="shared" si="244"/>
        <v>0</v>
      </c>
      <c r="W351" s="19">
        <f t="shared" si="244"/>
        <v>1763679.97</v>
      </c>
      <c r="X351" s="19">
        <f t="shared" si="244"/>
        <v>0</v>
      </c>
      <c r="Y351" s="19">
        <f t="shared" si="244"/>
        <v>10500</v>
      </c>
      <c r="Z351" s="18"/>
      <c r="AA351" s="20"/>
      <c r="AB351" s="21"/>
      <c r="AC351" s="21"/>
      <c r="AD351" s="22"/>
    </row>
    <row r="352" spans="1:30" ht="45" x14ac:dyDescent="0.25">
      <c r="A352" s="23" t="s">
        <v>1004</v>
      </c>
      <c r="B352" s="24" t="s">
        <v>1005</v>
      </c>
      <c r="C352" s="25" t="s">
        <v>312</v>
      </c>
      <c r="D352" s="25" t="s">
        <v>316</v>
      </c>
      <c r="E352" s="25"/>
      <c r="F352" s="26">
        <f t="shared" ref="F352:Y352" si="245">F353+F384+F418+F425+F428+F432</f>
        <v>2472105.2000000002</v>
      </c>
      <c r="G352" s="26">
        <f t="shared" si="245"/>
        <v>2181746</v>
      </c>
      <c r="H352" s="26">
        <f t="shared" si="245"/>
        <v>26000</v>
      </c>
      <c r="I352" s="26">
        <f t="shared" si="245"/>
        <v>208284</v>
      </c>
      <c r="J352" s="26">
        <f t="shared" si="245"/>
        <v>0</v>
      </c>
      <c r="K352" s="26">
        <f t="shared" si="245"/>
        <v>0</v>
      </c>
      <c r="L352" s="26">
        <f t="shared" si="245"/>
        <v>0</v>
      </c>
      <c r="M352" s="26">
        <f t="shared" si="245"/>
        <v>56075.199999999997</v>
      </c>
      <c r="N352" s="26">
        <f t="shared" si="245"/>
        <v>0</v>
      </c>
      <c r="O352" s="26">
        <f t="shared" si="245"/>
        <v>0</v>
      </c>
      <c r="P352" s="26">
        <f t="shared" si="245"/>
        <v>2370823.11</v>
      </c>
      <c r="Q352" s="26">
        <f t="shared" si="245"/>
        <v>2113673.5299999998</v>
      </c>
      <c r="R352" s="26">
        <f t="shared" si="245"/>
        <v>12999.93</v>
      </c>
      <c r="S352" s="26">
        <f t="shared" si="245"/>
        <v>120058.39</v>
      </c>
      <c r="T352" s="26">
        <f t="shared" si="245"/>
        <v>0</v>
      </c>
      <c r="U352" s="26">
        <f t="shared" si="245"/>
        <v>0</v>
      </c>
      <c r="V352" s="26">
        <f t="shared" si="245"/>
        <v>0</v>
      </c>
      <c r="W352" s="26">
        <f t="shared" si="245"/>
        <v>0</v>
      </c>
      <c r="X352" s="26">
        <f t="shared" si="245"/>
        <v>0</v>
      </c>
      <c r="Y352" s="26">
        <f t="shared" si="245"/>
        <v>0</v>
      </c>
      <c r="Z352" s="25" t="s">
        <v>1006</v>
      </c>
      <c r="AA352" s="27" t="s">
        <v>35</v>
      </c>
      <c r="AB352" s="28" t="s">
        <v>434</v>
      </c>
      <c r="AC352" s="28" t="s">
        <v>225</v>
      </c>
      <c r="AD352" s="29"/>
    </row>
    <row r="353" spans="1:30" ht="67.5" x14ac:dyDescent="0.25">
      <c r="A353" s="30" t="s">
        <v>1007</v>
      </c>
      <c r="B353" s="31" t="s">
        <v>1008</v>
      </c>
      <c r="C353" s="32" t="s">
        <v>312</v>
      </c>
      <c r="D353" s="32" t="s">
        <v>316</v>
      </c>
      <c r="E353" s="32" t="s">
        <v>39</v>
      </c>
      <c r="F353" s="33">
        <f t="shared" ref="F353:Y353" si="246">F354+F356+F358+F360+F362+F364+F366+F368+F370+F372+F374+F376+F378+F380+F382</f>
        <v>258284</v>
      </c>
      <c r="G353" s="33">
        <f t="shared" si="246"/>
        <v>0</v>
      </c>
      <c r="H353" s="33">
        <f t="shared" si="246"/>
        <v>0</v>
      </c>
      <c r="I353" s="33">
        <f t="shared" si="246"/>
        <v>208284</v>
      </c>
      <c r="J353" s="33">
        <f t="shared" si="246"/>
        <v>0</v>
      </c>
      <c r="K353" s="33">
        <f t="shared" si="246"/>
        <v>0</v>
      </c>
      <c r="L353" s="33">
        <f t="shared" si="246"/>
        <v>0</v>
      </c>
      <c r="M353" s="33">
        <f t="shared" si="246"/>
        <v>50000</v>
      </c>
      <c r="N353" s="33">
        <f t="shared" si="246"/>
        <v>0</v>
      </c>
      <c r="O353" s="33">
        <f t="shared" si="246"/>
        <v>0</v>
      </c>
      <c r="P353" s="33">
        <f t="shared" si="246"/>
        <v>228508.44999999998</v>
      </c>
      <c r="Q353" s="33">
        <f t="shared" si="246"/>
        <v>0</v>
      </c>
      <c r="R353" s="33">
        <f t="shared" si="246"/>
        <v>0</v>
      </c>
      <c r="S353" s="33">
        <f t="shared" si="246"/>
        <v>120058.39</v>
      </c>
      <c r="T353" s="33">
        <f t="shared" si="246"/>
        <v>0</v>
      </c>
      <c r="U353" s="33">
        <f t="shared" si="246"/>
        <v>0</v>
      </c>
      <c r="V353" s="33">
        <f t="shared" si="246"/>
        <v>0</v>
      </c>
      <c r="W353" s="33">
        <f t="shared" si="246"/>
        <v>0</v>
      </c>
      <c r="X353" s="33">
        <f t="shared" si="246"/>
        <v>0</v>
      </c>
      <c r="Y353" s="33">
        <f t="shared" si="246"/>
        <v>0</v>
      </c>
      <c r="Z353" s="32" t="s">
        <v>1009</v>
      </c>
      <c r="AA353" s="34" t="s">
        <v>41</v>
      </c>
      <c r="AB353" s="35" t="s">
        <v>253</v>
      </c>
      <c r="AC353" s="35" t="s">
        <v>162</v>
      </c>
      <c r="AD353" s="36" t="s">
        <v>1010</v>
      </c>
    </row>
    <row r="354" spans="1:30" ht="69.75" x14ac:dyDescent="0.25">
      <c r="A354" s="37" t="s">
        <v>1011</v>
      </c>
      <c r="B354" s="38" t="s">
        <v>1012</v>
      </c>
      <c r="C354" s="39" t="s">
        <v>312</v>
      </c>
      <c r="D354" s="39" t="s">
        <v>1013</v>
      </c>
      <c r="E354" s="39" t="s">
        <v>46</v>
      </c>
      <c r="F354" s="40">
        <f>SUM(F355:F355)+48514</f>
        <v>48514</v>
      </c>
      <c r="G354" s="40">
        <f>SUM(G355:G355)</f>
        <v>0</v>
      </c>
      <c r="H354" s="40">
        <f>SUM(H355:H355)</f>
        <v>0</v>
      </c>
      <c r="I354" s="40">
        <f>SUM(I355:I355)+48514</f>
        <v>48514</v>
      </c>
      <c r="J354" s="40">
        <f t="shared" ref="J354:O354" si="247">SUM(J355:J355)</f>
        <v>0</v>
      </c>
      <c r="K354" s="40">
        <f t="shared" si="247"/>
        <v>0</v>
      </c>
      <c r="L354" s="40">
        <f t="shared" si="247"/>
        <v>0</v>
      </c>
      <c r="M354" s="40">
        <f t="shared" si="247"/>
        <v>0</v>
      </c>
      <c r="N354" s="40">
        <f t="shared" si="247"/>
        <v>0</v>
      </c>
      <c r="O354" s="40">
        <f t="shared" si="247"/>
        <v>0</v>
      </c>
      <c r="P354" s="40">
        <f>SUM(P355:P355)+48514</f>
        <v>48514</v>
      </c>
      <c r="Q354" s="40">
        <f>SUM(Q355:Q355)</f>
        <v>0</v>
      </c>
      <c r="R354" s="40">
        <f>SUM(R355:R355)</f>
        <v>0</v>
      </c>
      <c r="S354" s="40">
        <f>SUM(S355:S355)+40226</f>
        <v>40226</v>
      </c>
      <c r="T354" s="40">
        <f t="shared" ref="T354:Y354" si="248">SUM(T355:T355)</f>
        <v>0</v>
      </c>
      <c r="U354" s="40">
        <f t="shared" si="248"/>
        <v>0</v>
      </c>
      <c r="V354" s="40">
        <f t="shared" si="248"/>
        <v>0</v>
      </c>
      <c r="W354" s="40">
        <f t="shared" si="248"/>
        <v>0</v>
      </c>
      <c r="X354" s="40">
        <f t="shared" si="248"/>
        <v>0</v>
      </c>
      <c r="Y354" s="40">
        <f t="shared" si="248"/>
        <v>0</v>
      </c>
      <c r="Z354" s="39" t="s">
        <v>1014</v>
      </c>
      <c r="AA354" s="41" t="s">
        <v>41</v>
      </c>
      <c r="AB354" s="42" t="s">
        <v>139</v>
      </c>
      <c r="AC354" s="42" t="s">
        <v>1015</v>
      </c>
      <c r="AD354" s="43" t="s">
        <v>1016</v>
      </c>
    </row>
    <row r="355" spans="1:30" ht="69.75" x14ac:dyDescent="0.25">
      <c r="A355" s="37" t="s">
        <v>1017</v>
      </c>
      <c r="B355" s="38" t="s">
        <v>1018</v>
      </c>
      <c r="C355" s="39"/>
      <c r="D355" s="39"/>
      <c r="E355" s="39"/>
      <c r="F355" s="44">
        <v>0</v>
      </c>
      <c r="G355" s="44">
        <v>0</v>
      </c>
      <c r="H355" s="44">
        <v>0</v>
      </c>
      <c r="I355" s="44">
        <v>0</v>
      </c>
      <c r="J355" s="44">
        <v>0</v>
      </c>
      <c r="K355" s="44">
        <v>0</v>
      </c>
      <c r="L355" s="44">
        <v>0</v>
      </c>
      <c r="M355" s="44">
        <v>0</v>
      </c>
      <c r="N355" s="44">
        <v>0</v>
      </c>
      <c r="O355" s="44">
        <v>0</v>
      </c>
      <c r="P355" s="44">
        <v>0</v>
      </c>
      <c r="Q355" s="44">
        <v>0</v>
      </c>
      <c r="R355" s="44">
        <v>0</v>
      </c>
      <c r="S355" s="44">
        <v>0</v>
      </c>
      <c r="T355" s="44">
        <v>0</v>
      </c>
      <c r="U355" s="44">
        <v>0</v>
      </c>
      <c r="V355" s="44">
        <v>0</v>
      </c>
      <c r="W355" s="44">
        <v>0</v>
      </c>
      <c r="X355" s="44">
        <v>0</v>
      </c>
      <c r="Y355" s="44">
        <v>0</v>
      </c>
      <c r="Z355" s="39"/>
      <c r="AA355" s="41"/>
      <c r="AB355" s="42"/>
      <c r="AC355" s="42"/>
      <c r="AD355" s="43"/>
    </row>
    <row r="356" spans="1:30" ht="69.75" x14ac:dyDescent="0.25">
      <c r="A356" s="37" t="s">
        <v>1019</v>
      </c>
      <c r="B356" s="38" t="s">
        <v>1020</v>
      </c>
      <c r="C356" s="39" t="s">
        <v>312</v>
      </c>
      <c r="D356" s="39" t="s">
        <v>1013</v>
      </c>
      <c r="E356" s="39" t="s">
        <v>46</v>
      </c>
      <c r="F356" s="40">
        <f>SUM(F357:F357)+3000</f>
        <v>3000</v>
      </c>
      <c r="G356" s="40">
        <f>SUM(G357:G357)</f>
        <v>0</v>
      </c>
      <c r="H356" s="40">
        <f>SUM(H357:H357)</f>
        <v>0</v>
      </c>
      <c r="I356" s="40">
        <f>SUM(I357:I357)+3000</f>
        <v>3000</v>
      </c>
      <c r="J356" s="40">
        <f t="shared" ref="J356:Y356" si="249">SUM(J357:J357)</f>
        <v>0</v>
      </c>
      <c r="K356" s="40">
        <f t="shared" si="249"/>
        <v>0</v>
      </c>
      <c r="L356" s="40">
        <f t="shared" si="249"/>
        <v>0</v>
      </c>
      <c r="M356" s="40">
        <f t="shared" si="249"/>
        <v>0</v>
      </c>
      <c r="N356" s="40">
        <f t="shared" si="249"/>
        <v>0</v>
      </c>
      <c r="O356" s="40">
        <f t="shared" si="249"/>
        <v>0</v>
      </c>
      <c r="P356" s="40">
        <f t="shared" si="249"/>
        <v>0</v>
      </c>
      <c r="Q356" s="40">
        <f t="shared" si="249"/>
        <v>0</v>
      </c>
      <c r="R356" s="40">
        <f t="shared" si="249"/>
        <v>0</v>
      </c>
      <c r="S356" s="40">
        <f t="shared" si="249"/>
        <v>0</v>
      </c>
      <c r="T356" s="40">
        <f t="shared" si="249"/>
        <v>0</v>
      </c>
      <c r="U356" s="40">
        <f t="shared" si="249"/>
        <v>0</v>
      </c>
      <c r="V356" s="40">
        <f t="shared" si="249"/>
        <v>0</v>
      </c>
      <c r="W356" s="40">
        <f t="shared" si="249"/>
        <v>0</v>
      </c>
      <c r="X356" s="40">
        <f t="shared" si="249"/>
        <v>0</v>
      </c>
      <c r="Y356" s="40">
        <f t="shared" si="249"/>
        <v>0</v>
      </c>
      <c r="Z356" s="39" t="s">
        <v>1021</v>
      </c>
      <c r="AA356" s="41" t="s">
        <v>41</v>
      </c>
      <c r="AB356" s="42" t="s">
        <v>83</v>
      </c>
      <c r="AC356" s="42" t="s">
        <v>57</v>
      </c>
      <c r="AD356" s="43" t="s">
        <v>1022</v>
      </c>
    </row>
    <row r="357" spans="1:30" ht="69.75" x14ac:dyDescent="0.25">
      <c r="A357" s="37" t="s">
        <v>1023</v>
      </c>
      <c r="B357" s="38" t="s">
        <v>1024</v>
      </c>
      <c r="C357" s="39"/>
      <c r="D357" s="39"/>
      <c r="E357" s="39"/>
      <c r="F357" s="44">
        <v>0</v>
      </c>
      <c r="G357" s="44">
        <v>0</v>
      </c>
      <c r="H357" s="44">
        <v>0</v>
      </c>
      <c r="I357" s="44">
        <v>0</v>
      </c>
      <c r="J357" s="44">
        <v>0</v>
      </c>
      <c r="K357" s="44">
        <v>0</v>
      </c>
      <c r="L357" s="44">
        <v>0</v>
      </c>
      <c r="M357" s="44">
        <v>0</v>
      </c>
      <c r="N357" s="44">
        <v>0</v>
      </c>
      <c r="O357" s="44">
        <v>0</v>
      </c>
      <c r="P357" s="44">
        <v>0</v>
      </c>
      <c r="Q357" s="44">
        <v>0</v>
      </c>
      <c r="R357" s="44">
        <v>0</v>
      </c>
      <c r="S357" s="44">
        <v>0</v>
      </c>
      <c r="T357" s="44">
        <v>0</v>
      </c>
      <c r="U357" s="44">
        <v>0</v>
      </c>
      <c r="V357" s="44">
        <v>0</v>
      </c>
      <c r="W357" s="44">
        <v>0</v>
      </c>
      <c r="X357" s="44">
        <v>0</v>
      </c>
      <c r="Y357" s="44">
        <v>0</v>
      </c>
      <c r="Z357" s="39"/>
      <c r="AA357" s="41"/>
      <c r="AB357" s="42"/>
      <c r="AC357" s="42"/>
      <c r="AD357" s="43"/>
    </row>
    <row r="358" spans="1:30" ht="69.75" x14ac:dyDescent="0.25">
      <c r="A358" s="37" t="s">
        <v>1025</v>
      </c>
      <c r="B358" s="38" t="s">
        <v>1026</v>
      </c>
      <c r="C358" s="39" t="s">
        <v>1027</v>
      </c>
      <c r="D358" s="39" t="s">
        <v>1028</v>
      </c>
      <c r="E358" s="39" t="s">
        <v>46</v>
      </c>
      <c r="F358" s="40">
        <f>SUM(F359:F359)+36086</f>
        <v>36086</v>
      </c>
      <c r="G358" s="40">
        <f>SUM(G359:G359)</f>
        <v>0</v>
      </c>
      <c r="H358" s="40">
        <f>SUM(H359:H359)</f>
        <v>0</v>
      </c>
      <c r="I358" s="40">
        <f>SUM(I359:I359)+36086</f>
        <v>36086</v>
      </c>
      <c r="J358" s="40">
        <f t="shared" ref="J358:O358" si="250">SUM(J359:J359)</f>
        <v>0</v>
      </c>
      <c r="K358" s="40">
        <f t="shared" si="250"/>
        <v>0</v>
      </c>
      <c r="L358" s="40">
        <f t="shared" si="250"/>
        <v>0</v>
      </c>
      <c r="M358" s="40">
        <f t="shared" si="250"/>
        <v>0</v>
      </c>
      <c r="N358" s="40">
        <f t="shared" si="250"/>
        <v>0</v>
      </c>
      <c r="O358" s="40">
        <f t="shared" si="250"/>
        <v>0</v>
      </c>
      <c r="P358" s="40">
        <f>SUM(P359:P359)+22498</f>
        <v>22498</v>
      </c>
      <c r="Q358" s="40">
        <f>SUM(Q359:Q359)</f>
        <v>0</v>
      </c>
      <c r="R358" s="40">
        <f>SUM(R359:R359)</f>
        <v>0</v>
      </c>
      <c r="S358" s="40">
        <f>SUM(S359:S359)+6830</f>
        <v>6830</v>
      </c>
      <c r="T358" s="40">
        <f t="shared" ref="T358:Y358" si="251">SUM(T359:T359)</f>
        <v>0</v>
      </c>
      <c r="U358" s="40">
        <f t="shared" si="251"/>
        <v>0</v>
      </c>
      <c r="V358" s="40">
        <f t="shared" si="251"/>
        <v>0</v>
      </c>
      <c r="W358" s="40">
        <f t="shared" si="251"/>
        <v>0</v>
      </c>
      <c r="X358" s="40">
        <f t="shared" si="251"/>
        <v>0</v>
      </c>
      <c r="Y358" s="40">
        <f t="shared" si="251"/>
        <v>0</v>
      </c>
      <c r="Z358" s="39" t="s">
        <v>1029</v>
      </c>
      <c r="AA358" s="41" t="s">
        <v>41</v>
      </c>
      <c r="AB358" s="42" t="s">
        <v>83</v>
      </c>
      <c r="AC358" s="42" t="s">
        <v>64</v>
      </c>
      <c r="AD358" s="43" t="s">
        <v>1030</v>
      </c>
    </row>
    <row r="359" spans="1:30" ht="46.5" x14ac:dyDescent="0.25">
      <c r="A359" s="37" t="s">
        <v>1031</v>
      </c>
      <c r="B359" s="38" t="s">
        <v>1032</v>
      </c>
      <c r="C359" s="39"/>
      <c r="D359" s="39"/>
      <c r="E359" s="39"/>
      <c r="F359" s="44">
        <v>0</v>
      </c>
      <c r="G359" s="44">
        <v>0</v>
      </c>
      <c r="H359" s="44">
        <v>0</v>
      </c>
      <c r="I359" s="44">
        <v>0</v>
      </c>
      <c r="J359" s="44">
        <v>0</v>
      </c>
      <c r="K359" s="44">
        <v>0</v>
      </c>
      <c r="L359" s="44">
        <v>0</v>
      </c>
      <c r="M359" s="44">
        <v>0</v>
      </c>
      <c r="N359" s="44">
        <v>0</v>
      </c>
      <c r="O359" s="44">
        <v>0</v>
      </c>
      <c r="P359" s="44">
        <v>0</v>
      </c>
      <c r="Q359" s="44">
        <v>0</v>
      </c>
      <c r="R359" s="44">
        <v>0</v>
      </c>
      <c r="S359" s="44">
        <v>0</v>
      </c>
      <c r="T359" s="44">
        <v>0</v>
      </c>
      <c r="U359" s="44">
        <v>0</v>
      </c>
      <c r="V359" s="44">
        <v>0</v>
      </c>
      <c r="W359" s="44">
        <v>0</v>
      </c>
      <c r="X359" s="44">
        <v>0</v>
      </c>
      <c r="Y359" s="44">
        <v>0</v>
      </c>
      <c r="Z359" s="39"/>
      <c r="AA359" s="41"/>
      <c r="AB359" s="42"/>
      <c r="AC359" s="42"/>
      <c r="AD359" s="43"/>
    </row>
    <row r="360" spans="1:30" ht="116.25" x14ac:dyDescent="0.25">
      <c r="A360" s="37" t="s">
        <v>1033</v>
      </c>
      <c r="B360" s="38" t="s">
        <v>1034</v>
      </c>
      <c r="C360" s="39" t="s">
        <v>312</v>
      </c>
      <c r="D360" s="39" t="s">
        <v>1013</v>
      </c>
      <c r="E360" s="39" t="s">
        <v>46</v>
      </c>
      <c r="F360" s="40">
        <f>SUM(F361:F361)+60310</f>
        <v>60310</v>
      </c>
      <c r="G360" s="40">
        <f>SUM(G361:G361)</f>
        <v>0</v>
      </c>
      <c r="H360" s="40">
        <f>SUM(H361:H361)</f>
        <v>0</v>
      </c>
      <c r="I360" s="40">
        <f>SUM(I361:I361)+10310</f>
        <v>10310</v>
      </c>
      <c r="J360" s="40">
        <f>SUM(J361:J361)</f>
        <v>0</v>
      </c>
      <c r="K360" s="40">
        <f>SUM(K361:K361)</f>
        <v>0</v>
      </c>
      <c r="L360" s="40">
        <f>SUM(L361:L361)</f>
        <v>0</v>
      </c>
      <c r="M360" s="40">
        <f>SUM(M361:M361)+50000</f>
        <v>50000</v>
      </c>
      <c r="N360" s="40">
        <f>SUM(N361:N361)</f>
        <v>0</v>
      </c>
      <c r="O360" s="40">
        <f>SUM(O361:O361)</f>
        <v>0</v>
      </c>
      <c r="P360" s="40">
        <f>SUM(P361:P361)+59585.42</f>
        <v>59585.42</v>
      </c>
      <c r="Q360" s="40">
        <f>SUM(Q361:Q361)</f>
        <v>0</v>
      </c>
      <c r="R360" s="40">
        <f>SUM(R361:R361)</f>
        <v>0</v>
      </c>
      <c r="S360" s="40">
        <f>SUM(S361:S361)+8775.42</f>
        <v>8775.42</v>
      </c>
      <c r="T360" s="40">
        <f t="shared" ref="T360:Y360" si="252">SUM(T361:T361)</f>
        <v>0</v>
      </c>
      <c r="U360" s="40">
        <f t="shared" si="252"/>
        <v>0</v>
      </c>
      <c r="V360" s="40">
        <f t="shared" si="252"/>
        <v>0</v>
      </c>
      <c r="W360" s="40">
        <f t="shared" si="252"/>
        <v>0</v>
      </c>
      <c r="X360" s="40">
        <f t="shared" si="252"/>
        <v>0</v>
      </c>
      <c r="Y360" s="40">
        <f t="shared" si="252"/>
        <v>0</v>
      </c>
      <c r="Z360" s="39" t="s">
        <v>1035</v>
      </c>
      <c r="AA360" s="41" t="s">
        <v>1036</v>
      </c>
      <c r="AB360" s="42" t="s">
        <v>107</v>
      </c>
      <c r="AC360" s="42" t="s">
        <v>1037</v>
      </c>
      <c r="AD360" s="43" t="s">
        <v>1038</v>
      </c>
    </row>
    <row r="361" spans="1:30" ht="46.5" x14ac:dyDescent="0.25">
      <c r="A361" s="37" t="s">
        <v>1039</v>
      </c>
      <c r="B361" s="38" t="s">
        <v>1040</v>
      </c>
      <c r="C361" s="39"/>
      <c r="D361" s="39"/>
      <c r="E361" s="39"/>
      <c r="F361" s="44">
        <v>0</v>
      </c>
      <c r="G361" s="44">
        <v>0</v>
      </c>
      <c r="H361" s="44">
        <v>0</v>
      </c>
      <c r="I361" s="44">
        <v>0</v>
      </c>
      <c r="J361" s="44">
        <v>0</v>
      </c>
      <c r="K361" s="44">
        <v>0</v>
      </c>
      <c r="L361" s="44">
        <v>0</v>
      </c>
      <c r="M361" s="44">
        <v>0</v>
      </c>
      <c r="N361" s="44">
        <v>0</v>
      </c>
      <c r="O361" s="44">
        <v>0</v>
      </c>
      <c r="P361" s="44">
        <v>0</v>
      </c>
      <c r="Q361" s="44">
        <v>0</v>
      </c>
      <c r="R361" s="44">
        <v>0</v>
      </c>
      <c r="S361" s="44">
        <v>0</v>
      </c>
      <c r="T361" s="44">
        <v>0</v>
      </c>
      <c r="U361" s="44">
        <v>0</v>
      </c>
      <c r="V361" s="44">
        <v>0</v>
      </c>
      <c r="W361" s="44">
        <v>0</v>
      </c>
      <c r="X361" s="44">
        <v>0</v>
      </c>
      <c r="Y361" s="44">
        <v>0</v>
      </c>
      <c r="Z361" s="39"/>
      <c r="AA361" s="41"/>
      <c r="AB361" s="42"/>
      <c r="AC361" s="42"/>
      <c r="AD361" s="43"/>
    </row>
    <row r="362" spans="1:30" ht="46.5" x14ac:dyDescent="0.25">
      <c r="A362" s="37" t="s">
        <v>1041</v>
      </c>
      <c r="B362" s="38" t="s">
        <v>1042</v>
      </c>
      <c r="C362" s="39" t="s">
        <v>312</v>
      </c>
      <c r="D362" s="39" t="s">
        <v>1013</v>
      </c>
      <c r="E362" s="39" t="s">
        <v>46</v>
      </c>
      <c r="F362" s="40">
        <f t="shared" ref="F362:Y362" si="253">SUM(F363:F363)</f>
        <v>0</v>
      </c>
      <c r="G362" s="40">
        <f t="shared" si="253"/>
        <v>0</v>
      </c>
      <c r="H362" s="40">
        <f t="shared" si="253"/>
        <v>0</v>
      </c>
      <c r="I362" s="40">
        <f t="shared" si="253"/>
        <v>0</v>
      </c>
      <c r="J362" s="40">
        <f t="shared" si="253"/>
        <v>0</v>
      </c>
      <c r="K362" s="40">
        <f t="shared" si="253"/>
        <v>0</v>
      </c>
      <c r="L362" s="40">
        <f t="shared" si="253"/>
        <v>0</v>
      </c>
      <c r="M362" s="40">
        <f t="shared" si="253"/>
        <v>0</v>
      </c>
      <c r="N362" s="40">
        <f t="shared" si="253"/>
        <v>0</v>
      </c>
      <c r="O362" s="40">
        <f t="shared" si="253"/>
        <v>0</v>
      </c>
      <c r="P362" s="40">
        <f t="shared" si="253"/>
        <v>0</v>
      </c>
      <c r="Q362" s="40">
        <f t="shared" si="253"/>
        <v>0</v>
      </c>
      <c r="R362" s="40">
        <f t="shared" si="253"/>
        <v>0</v>
      </c>
      <c r="S362" s="40">
        <f t="shared" si="253"/>
        <v>0</v>
      </c>
      <c r="T362" s="40">
        <f t="shared" si="253"/>
        <v>0</v>
      </c>
      <c r="U362" s="40">
        <f t="shared" si="253"/>
        <v>0</v>
      </c>
      <c r="V362" s="40">
        <f t="shared" si="253"/>
        <v>0</v>
      </c>
      <c r="W362" s="40">
        <f t="shared" si="253"/>
        <v>0</v>
      </c>
      <c r="X362" s="40">
        <f t="shared" si="253"/>
        <v>0</v>
      </c>
      <c r="Y362" s="40">
        <f t="shared" si="253"/>
        <v>0</v>
      </c>
      <c r="Z362" s="39" t="s">
        <v>1043</v>
      </c>
      <c r="AA362" s="41" t="s">
        <v>41</v>
      </c>
      <c r="AB362" s="42" t="s">
        <v>83</v>
      </c>
      <c r="AC362" s="42" t="s">
        <v>57</v>
      </c>
      <c r="AD362" s="43" t="s">
        <v>1044</v>
      </c>
    </row>
    <row r="363" spans="1:30" ht="46.5" x14ac:dyDescent="0.25">
      <c r="A363" s="37" t="s">
        <v>1045</v>
      </c>
      <c r="B363" s="38" t="s">
        <v>1046</v>
      </c>
      <c r="C363" s="39"/>
      <c r="D363" s="39"/>
      <c r="E363" s="39"/>
      <c r="F363" s="44">
        <v>0</v>
      </c>
      <c r="G363" s="44">
        <v>0</v>
      </c>
      <c r="H363" s="44">
        <v>0</v>
      </c>
      <c r="I363" s="44">
        <v>0</v>
      </c>
      <c r="J363" s="44">
        <v>0</v>
      </c>
      <c r="K363" s="44">
        <v>0</v>
      </c>
      <c r="L363" s="44">
        <v>0</v>
      </c>
      <c r="M363" s="44">
        <v>0</v>
      </c>
      <c r="N363" s="44">
        <v>0</v>
      </c>
      <c r="O363" s="44">
        <v>0</v>
      </c>
      <c r="P363" s="44">
        <v>0</v>
      </c>
      <c r="Q363" s="44">
        <v>0</v>
      </c>
      <c r="R363" s="44">
        <v>0</v>
      </c>
      <c r="S363" s="44">
        <v>0</v>
      </c>
      <c r="T363" s="44">
        <v>0</v>
      </c>
      <c r="U363" s="44">
        <v>0</v>
      </c>
      <c r="V363" s="44">
        <v>0</v>
      </c>
      <c r="W363" s="44">
        <v>0</v>
      </c>
      <c r="X363" s="44">
        <v>0</v>
      </c>
      <c r="Y363" s="44">
        <v>0</v>
      </c>
      <c r="Z363" s="39"/>
      <c r="AA363" s="41"/>
      <c r="AB363" s="42"/>
      <c r="AC363" s="42"/>
      <c r="AD363" s="43"/>
    </row>
    <row r="364" spans="1:30" ht="46.5" x14ac:dyDescent="0.25">
      <c r="A364" s="37" t="s">
        <v>1047</v>
      </c>
      <c r="B364" s="38" t="s">
        <v>1048</v>
      </c>
      <c r="C364" s="39" t="s">
        <v>312</v>
      </c>
      <c r="D364" s="39" t="s">
        <v>1013</v>
      </c>
      <c r="E364" s="39" t="s">
        <v>46</v>
      </c>
      <c r="F364" s="40">
        <f>SUM(F365:F365)+1000</f>
        <v>1000</v>
      </c>
      <c r="G364" s="40">
        <f>SUM(G365:G365)</f>
        <v>0</v>
      </c>
      <c r="H364" s="40">
        <f>SUM(H365:H365)</f>
        <v>0</v>
      </c>
      <c r="I364" s="40">
        <f>SUM(I365:I365)+1000</f>
        <v>1000</v>
      </c>
      <c r="J364" s="40">
        <f t="shared" ref="J364:O364" si="254">SUM(J365:J365)</f>
        <v>0</v>
      </c>
      <c r="K364" s="40">
        <f t="shared" si="254"/>
        <v>0</v>
      </c>
      <c r="L364" s="40">
        <f t="shared" si="254"/>
        <v>0</v>
      </c>
      <c r="M364" s="40">
        <f t="shared" si="254"/>
        <v>0</v>
      </c>
      <c r="N364" s="40">
        <f t="shared" si="254"/>
        <v>0</v>
      </c>
      <c r="O364" s="40">
        <f t="shared" si="254"/>
        <v>0</v>
      </c>
      <c r="P364" s="40">
        <f>SUM(P365:P365)+1000</f>
        <v>1000</v>
      </c>
      <c r="Q364" s="40">
        <f>SUM(Q365:Q365)</f>
        <v>0</v>
      </c>
      <c r="R364" s="40">
        <f>SUM(R365:R365)</f>
        <v>0</v>
      </c>
      <c r="S364" s="40">
        <f>SUM(S365:S365)+1000</f>
        <v>1000</v>
      </c>
      <c r="T364" s="40">
        <f t="shared" ref="T364:Y364" si="255">SUM(T365:T365)</f>
        <v>0</v>
      </c>
      <c r="U364" s="40">
        <f t="shared" si="255"/>
        <v>0</v>
      </c>
      <c r="V364" s="40">
        <f t="shared" si="255"/>
        <v>0</v>
      </c>
      <c r="W364" s="40">
        <f t="shared" si="255"/>
        <v>0</v>
      </c>
      <c r="X364" s="40">
        <f t="shared" si="255"/>
        <v>0</v>
      </c>
      <c r="Y364" s="40">
        <f t="shared" si="255"/>
        <v>0</v>
      </c>
      <c r="Z364" s="39" t="s">
        <v>1049</v>
      </c>
      <c r="AA364" s="41" t="s">
        <v>41</v>
      </c>
      <c r="AB364" s="42" t="s">
        <v>42</v>
      </c>
      <c r="AC364" s="42" t="s">
        <v>42</v>
      </c>
      <c r="AD364" s="43"/>
    </row>
    <row r="365" spans="1:30" ht="46.5" x14ac:dyDescent="0.25">
      <c r="A365" s="37" t="s">
        <v>1050</v>
      </c>
      <c r="B365" s="38" t="s">
        <v>1051</v>
      </c>
      <c r="C365" s="39"/>
      <c r="D365" s="39"/>
      <c r="E365" s="39"/>
      <c r="F365" s="44">
        <v>0</v>
      </c>
      <c r="G365" s="44">
        <v>0</v>
      </c>
      <c r="H365" s="44">
        <v>0</v>
      </c>
      <c r="I365" s="44">
        <v>0</v>
      </c>
      <c r="J365" s="44">
        <v>0</v>
      </c>
      <c r="K365" s="44">
        <v>0</v>
      </c>
      <c r="L365" s="44">
        <v>0</v>
      </c>
      <c r="M365" s="44">
        <v>0</v>
      </c>
      <c r="N365" s="44">
        <v>0</v>
      </c>
      <c r="O365" s="44">
        <v>0</v>
      </c>
      <c r="P365" s="44">
        <v>0</v>
      </c>
      <c r="Q365" s="44">
        <v>0</v>
      </c>
      <c r="R365" s="44">
        <v>0</v>
      </c>
      <c r="S365" s="44">
        <v>0</v>
      </c>
      <c r="T365" s="44">
        <v>0</v>
      </c>
      <c r="U365" s="44">
        <v>0</v>
      </c>
      <c r="V365" s="44">
        <v>0</v>
      </c>
      <c r="W365" s="44">
        <v>0</v>
      </c>
      <c r="X365" s="44">
        <v>0</v>
      </c>
      <c r="Y365" s="44">
        <v>0</v>
      </c>
      <c r="Z365" s="39"/>
      <c r="AA365" s="41"/>
      <c r="AB365" s="42"/>
      <c r="AC365" s="42"/>
      <c r="AD365" s="43"/>
    </row>
    <row r="366" spans="1:30" ht="93" x14ac:dyDescent="0.25">
      <c r="A366" s="37" t="s">
        <v>1052</v>
      </c>
      <c r="B366" s="38" t="s">
        <v>1053</v>
      </c>
      <c r="C366" s="39" t="s">
        <v>312</v>
      </c>
      <c r="D366" s="39" t="s">
        <v>1013</v>
      </c>
      <c r="E366" s="39" t="s">
        <v>46</v>
      </c>
      <c r="F366" s="40">
        <f>SUM(F367:F367)+58253</f>
        <v>58253</v>
      </c>
      <c r="G366" s="40">
        <f>SUM(G367:G367)</f>
        <v>0</v>
      </c>
      <c r="H366" s="40">
        <f>SUM(H367:H367)</f>
        <v>0</v>
      </c>
      <c r="I366" s="40">
        <f>SUM(I367:I367)+58253</f>
        <v>58253</v>
      </c>
      <c r="J366" s="40">
        <f t="shared" ref="J366:O366" si="256">SUM(J367:J367)</f>
        <v>0</v>
      </c>
      <c r="K366" s="40">
        <f t="shared" si="256"/>
        <v>0</v>
      </c>
      <c r="L366" s="40">
        <f t="shared" si="256"/>
        <v>0</v>
      </c>
      <c r="M366" s="40">
        <f t="shared" si="256"/>
        <v>0</v>
      </c>
      <c r="N366" s="40">
        <f t="shared" si="256"/>
        <v>0</v>
      </c>
      <c r="O366" s="40">
        <f t="shared" si="256"/>
        <v>0</v>
      </c>
      <c r="P366" s="40">
        <f>SUM(P367:P367)+58231.41</f>
        <v>58231.41</v>
      </c>
      <c r="Q366" s="40">
        <f>SUM(Q367:Q367)</f>
        <v>0</v>
      </c>
      <c r="R366" s="40">
        <f>SUM(R367:R367)</f>
        <v>0</v>
      </c>
      <c r="S366" s="40">
        <f>SUM(S367:S367)+58231.41</f>
        <v>58231.41</v>
      </c>
      <c r="T366" s="40">
        <f t="shared" ref="T366:Y366" si="257">SUM(T367:T367)</f>
        <v>0</v>
      </c>
      <c r="U366" s="40">
        <f t="shared" si="257"/>
        <v>0</v>
      </c>
      <c r="V366" s="40">
        <f t="shared" si="257"/>
        <v>0</v>
      </c>
      <c r="W366" s="40">
        <f t="shared" si="257"/>
        <v>0</v>
      </c>
      <c r="X366" s="40">
        <f t="shared" si="257"/>
        <v>0</v>
      </c>
      <c r="Y366" s="40">
        <f t="shared" si="257"/>
        <v>0</v>
      </c>
      <c r="Z366" s="39" t="s">
        <v>1054</v>
      </c>
      <c r="AA366" s="41" t="s">
        <v>41</v>
      </c>
      <c r="AB366" s="42" t="s">
        <v>49</v>
      </c>
      <c r="AC366" s="42" t="s">
        <v>1055</v>
      </c>
      <c r="AD366" s="43" t="s">
        <v>1056</v>
      </c>
    </row>
    <row r="367" spans="1:30" ht="69.75" x14ac:dyDescent="0.25">
      <c r="A367" s="37" t="s">
        <v>1057</v>
      </c>
      <c r="B367" s="38" t="s">
        <v>1058</v>
      </c>
      <c r="C367" s="39"/>
      <c r="D367" s="39"/>
      <c r="E367" s="39"/>
      <c r="F367" s="44">
        <v>0</v>
      </c>
      <c r="G367" s="44">
        <v>0</v>
      </c>
      <c r="H367" s="44">
        <v>0</v>
      </c>
      <c r="I367" s="44">
        <v>0</v>
      </c>
      <c r="J367" s="44">
        <v>0</v>
      </c>
      <c r="K367" s="44">
        <v>0</v>
      </c>
      <c r="L367" s="44">
        <v>0</v>
      </c>
      <c r="M367" s="44">
        <v>0</v>
      </c>
      <c r="N367" s="44">
        <v>0</v>
      </c>
      <c r="O367" s="44">
        <v>0</v>
      </c>
      <c r="P367" s="44">
        <v>0</v>
      </c>
      <c r="Q367" s="44">
        <v>0</v>
      </c>
      <c r="R367" s="44">
        <v>0</v>
      </c>
      <c r="S367" s="44">
        <v>0</v>
      </c>
      <c r="T367" s="44">
        <v>0</v>
      </c>
      <c r="U367" s="44">
        <v>0</v>
      </c>
      <c r="V367" s="44">
        <v>0</v>
      </c>
      <c r="W367" s="44">
        <v>0</v>
      </c>
      <c r="X367" s="44">
        <v>0</v>
      </c>
      <c r="Y367" s="44">
        <v>0</v>
      </c>
      <c r="Z367" s="39"/>
      <c r="AA367" s="41"/>
      <c r="AB367" s="42"/>
      <c r="AC367" s="42"/>
      <c r="AD367" s="43"/>
    </row>
    <row r="368" spans="1:30" ht="69.75" x14ac:dyDescent="0.25">
      <c r="A368" s="37" t="s">
        <v>1059</v>
      </c>
      <c r="B368" s="38" t="s">
        <v>1060</v>
      </c>
      <c r="C368" s="39" t="s">
        <v>312</v>
      </c>
      <c r="D368" s="39" t="s">
        <v>1013</v>
      </c>
      <c r="E368" s="39" t="s">
        <v>46</v>
      </c>
      <c r="F368" s="40">
        <f>SUM(F369:F369)+7000</f>
        <v>7000</v>
      </c>
      <c r="G368" s="40">
        <f>SUM(G369:G369)</f>
        <v>0</v>
      </c>
      <c r="H368" s="40">
        <f>SUM(H369:H369)</f>
        <v>0</v>
      </c>
      <c r="I368" s="40">
        <f>SUM(I369:I369)+7000</f>
        <v>7000</v>
      </c>
      <c r="J368" s="40">
        <f t="shared" ref="J368:O368" si="258">SUM(J369:J369)</f>
        <v>0</v>
      </c>
      <c r="K368" s="40">
        <f t="shared" si="258"/>
        <v>0</v>
      </c>
      <c r="L368" s="40">
        <f t="shared" si="258"/>
        <v>0</v>
      </c>
      <c r="M368" s="40">
        <f t="shared" si="258"/>
        <v>0</v>
      </c>
      <c r="N368" s="40">
        <f t="shared" si="258"/>
        <v>0</v>
      </c>
      <c r="O368" s="40">
        <f t="shared" si="258"/>
        <v>0</v>
      </c>
      <c r="P368" s="40">
        <f>SUM(P369:P369)+6995.01</f>
        <v>6995.01</v>
      </c>
      <c r="Q368" s="40">
        <f t="shared" ref="Q368:Y368" si="259">SUM(Q369:Q369)</f>
        <v>0</v>
      </c>
      <c r="R368" s="40">
        <f t="shared" si="259"/>
        <v>0</v>
      </c>
      <c r="S368" s="40">
        <f t="shared" si="259"/>
        <v>0</v>
      </c>
      <c r="T368" s="40">
        <f t="shared" si="259"/>
        <v>0</v>
      </c>
      <c r="U368" s="40">
        <f t="shared" si="259"/>
        <v>0</v>
      </c>
      <c r="V368" s="40">
        <f t="shared" si="259"/>
        <v>0</v>
      </c>
      <c r="W368" s="40">
        <f t="shared" si="259"/>
        <v>0</v>
      </c>
      <c r="X368" s="40">
        <f t="shared" si="259"/>
        <v>0</v>
      </c>
      <c r="Y368" s="40">
        <f t="shared" si="259"/>
        <v>0</v>
      </c>
      <c r="Z368" s="39" t="s">
        <v>1061</v>
      </c>
      <c r="AA368" s="41" t="s">
        <v>41</v>
      </c>
      <c r="AB368" s="42" t="s">
        <v>434</v>
      </c>
      <c r="AC368" s="42" t="s">
        <v>65</v>
      </c>
      <c r="AD368" s="43" t="s">
        <v>1062</v>
      </c>
    </row>
    <row r="369" spans="1:30" ht="69.75" x14ac:dyDescent="0.25">
      <c r="A369" s="37" t="s">
        <v>1063</v>
      </c>
      <c r="B369" s="38" t="s">
        <v>1064</v>
      </c>
      <c r="C369" s="39"/>
      <c r="D369" s="39"/>
      <c r="E369" s="39"/>
      <c r="F369" s="44">
        <v>0</v>
      </c>
      <c r="G369" s="44">
        <v>0</v>
      </c>
      <c r="H369" s="44">
        <v>0</v>
      </c>
      <c r="I369" s="44">
        <v>0</v>
      </c>
      <c r="J369" s="44">
        <v>0</v>
      </c>
      <c r="K369" s="44">
        <v>0</v>
      </c>
      <c r="L369" s="44">
        <v>0</v>
      </c>
      <c r="M369" s="44">
        <v>0</v>
      </c>
      <c r="N369" s="44">
        <v>0</v>
      </c>
      <c r="O369" s="44">
        <v>0</v>
      </c>
      <c r="P369" s="44">
        <v>0</v>
      </c>
      <c r="Q369" s="44">
        <v>0</v>
      </c>
      <c r="R369" s="44">
        <v>0</v>
      </c>
      <c r="S369" s="44">
        <v>0</v>
      </c>
      <c r="T369" s="44">
        <v>0</v>
      </c>
      <c r="U369" s="44">
        <v>0</v>
      </c>
      <c r="V369" s="44">
        <v>0</v>
      </c>
      <c r="W369" s="44">
        <v>0</v>
      </c>
      <c r="X369" s="44">
        <v>0</v>
      </c>
      <c r="Y369" s="44">
        <v>0</v>
      </c>
      <c r="Z369" s="39"/>
      <c r="AA369" s="41"/>
      <c r="AB369" s="42"/>
      <c r="AC369" s="42"/>
      <c r="AD369" s="43"/>
    </row>
    <row r="370" spans="1:30" ht="69.75" x14ac:dyDescent="0.25">
      <c r="A370" s="37" t="s">
        <v>1065</v>
      </c>
      <c r="B370" s="38" t="s">
        <v>1066</v>
      </c>
      <c r="C370" s="39" t="s">
        <v>312</v>
      </c>
      <c r="D370" s="39" t="s">
        <v>1013</v>
      </c>
      <c r="E370" s="39" t="s">
        <v>46</v>
      </c>
      <c r="F370" s="40">
        <f>SUM(F371:F371)+500</f>
        <v>500</v>
      </c>
      <c r="G370" s="40">
        <f>SUM(G371:G371)</f>
        <v>0</v>
      </c>
      <c r="H370" s="40">
        <f>SUM(H371:H371)</f>
        <v>0</v>
      </c>
      <c r="I370" s="40">
        <f>SUM(I371:I371)+500</f>
        <v>500</v>
      </c>
      <c r="J370" s="40">
        <f t="shared" ref="J370:Y370" si="260">SUM(J371:J371)</f>
        <v>0</v>
      </c>
      <c r="K370" s="40">
        <f t="shared" si="260"/>
        <v>0</v>
      </c>
      <c r="L370" s="40">
        <f t="shared" si="260"/>
        <v>0</v>
      </c>
      <c r="M370" s="40">
        <f t="shared" si="260"/>
        <v>0</v>
      </c>
      <c r="N370" s="40">
        <f t="shared" si="260"/>
        <v>0</v>
      </c>
      <c r="O370" s="40">
        <f t="shared" si="260"/>
        <v>0</v>
      </c>
      <c r="P370" s="40">
        <f t="shared" si="260"/>
        <v>0</v>
      </c>
      <c r="Q370" s="40">
        <f t="shared" si="260"/>
        <v>0</v>
      </c>
      <c r="R370" s="40">
        <f t="shared" si="260"/>
        <v>0</v>
      </c>
      <c r="S370" s="40">
        <f t="shared" si="260"/>
        <v>0</v>
      </c>
      <c r="T370" s="40">
        <f t="shared" si="260"/>
        <v>0</v>
      </c>
      <c r="U370" s="40">
        <f t="shared" si="260"/>
        <v>0</v>
      </c>
      <c r="V370" s="40">
        <f t="shared" si="260"/>
        <v>0</v>
      </c>
      <c r="W370" s="40">
        <f t="shared" si="260"/>
        <v>0</v>
      </c>
      <c r="X370" s="40">
        <f t="shared" si="260"/>
        <v>0</v>
      </c>
      <c r="Y370" s="40">
        <f t="shared" si="260"/>
        <v>0</v>
      </c>
      <c r="Z370" s="39" t="s">
        <v>1067</v>
      </c>
      <c r="AA370" s="41" t="s">
        <v>41</v>
      </c>
      <c r="AB370" s="42" t="s">
        <v>56</v>
      </c>
      <c r="AC370" s="42" t="s">
        <v>57</v>
      </c>
      <c r="AD370" s="43" t="s">
        <v>1068</v>
      </c>
    </row>
    <row r="371" spans="1:30" ht="46.5" x14ac:dyDescent="0.25">
      <c r="A371" s="37" t="s">
        <v>1069</v>
      </c>
      <c r="B371" s="38" t="s">
        <v>1070</v>
      </c>
      <c r="C371" s="39"/>
      <c r="D371" s="39"/>
      <c r="E371" s="39"/>
      <c r="F371" s="44">
        <v>0</v>
      </c>
      <c r="G371" s="44">
        <v>0</v>
      </c>
      <c r="H371" s="44">
        <v>0</v>
      </c>
      <c r="I371" s="44">
        <v>0</v>
      </c>
      <c r="J371" s="44">
        <v>0</v>
      </c>
      <c r="K371" s="44">
        <v>0</v>
      </c>
      <c r="L371" s="44">
        <v>0</v>
      </c>
      <c r="M371" s="44">
        <v>0</v>
      </c>
      <c r="N371" s="44">
        <v>0</v>
      </c>
      <c r="O371" s="44">
        <v>0</v>
      </c>
      <c r="P371" s="44">
        <v>0</v>
      </c>
      <c r="Q371" s="44">
        <v>0</v>
      </c>
      <c r="R371" s="44">
        <v>0</v>
      </c>
      <c r="S371" s="44">
        <v>0</v>
      </c>
      <c r="T371" s="44">
        <v>0</v>
      </c>
      <c r="U371" s="44">
        <v>0</v>
      </c>
      <c r="V371" s="44">
        <v>0</v>
      </c>
      <c r="W371" s="44">
        <v>0</v>
      </c>
      <c r="X371" s="44">
        <v>0</v>
      </c>
      <c r="Y371" s="44">
        <v>0</v>
      </c>
      <c r="Z371" s="39"/>
      <c r="AA371" s="41"/>
      <c r="AB371" s="42"/>
      <c r="AC371" s="42"/>
      <c r="AD371" s="43"/>
    </row>
    <row r="372" spans="1:30" ht="46.5" x14ac:dyDescent="0.25">
      <c r="A372" s="37" t="s">
        <v>1071</v>
      </c>
      <c r="B372" s="38" t="s">
        <v>1072</v>
      </c>
      <c r="C372" s="39" t="s">
        <v>312</v>
      </c>
      <c r="D372" s="39" t="s">
        <v>1013</v>
      </c>
      <c r="E372" s="39" t="s">
        <v>46</v>
      </c>
      <c r="F372" s="40">
        <f>SUM(F373:F373)+4000</f>
        <v>4000</v>
      </c>
      <c r="G372" s="40">
        <f>SUM(G373:G373)</f>
        <v>0</v>
      </c>
      <c r="H372" s="40">
        <f>SUM(H373:H373)</f>
        <v>0</v>
      </c>
      <c r="I372" s="40">
        <f>SUM(I373:I373)+4000</f>
        <v>4000</v>
      </c>
      <c r="J372" s="40">
        <f t="shared" ref="J372:O372" si="261">SUM(J373:J373)</f>
        <v>0</v>
      </c>
      <c r="K372" s="40">
        <f t="shared" si="261"/>
        <v>0</v>
      </c>
      <c r="L372" s="40">
        <f t="shared" si="261"/>
        <v>0</v>
      </c>
      <c r="M372" s="40">
        <f t="shared" si="261"/>
        <v>0</v>
      </c>
      <c r="N372" s="40">
        <f t="shared" si="261"/>
        <v>0</v>
      </c>
      <c r="O372" s="40">
        <f t="shared" si="261"/>
        <v>0</v>
      </c>
      <c r="P372" s="40">
        <f>SUM(P373:P373)+4000</f>
        <v>4000</v>
      </c>
      <c r="Q372" s="40">
        <f>SUM(Q373:Q373)</f>
        <v>0</v>
      </c>
      <c r="R372" s="40">
        <f>SUM(R373:R373)</f>
        <v>0</v>
      </c>
      <c r="S372" s="40">
        <f>SUM(S373:S373)+4000</f>
        <v>4000</v>
      </c>
      <c r="T372" s="40">
        <f t="shared" ref="T372:Y372" si="262">SUM(T373:T373)</f>
        <v>0</v>
      </c>
      <c r="U372" s="40">
        <f t="shared" si="262"/>
        <v>0</v>
      </c>
      <c r="V372" s="40">
        <f t="shared" si="262"/>
        <v>0</v>
      </c>
      <c r="W372" s="40">
        <f t="shared" si="262"/>
        <v>0</v>
      </c>
      <c r="X372" s="40">
        <f t="shared" si="262"/>
        <v>0</v>
      </c>
      <c r="Y372" s="40">
        <f t="shared" si="262"/>
        <v>0</v>
      </c>
      <c r="Z372" s="39" t="s">
        <v>1073</v>
      </c>
      <c r="AA372" s="41" t="s">
        <v>41</v>
      </c>
      <c r="AB372" s="42" t="s">
        <v>83</v>
      </c>
      <c r="AC372" s="42" t="s">
        <v>83</v>
      </c>
      <c r="AD372" s="43"/>
    </row>
    <row r="373" spans="1:30" ht="69.75" x14ac:dyDescent="0.25">
      <c r="A373" s="37" t="s">
        <v>1074</v>
      </c>
      <c r="B373" s="38" t="s">
        <v>1075</v>
      </c>
      <c r="C373" s="39"/>
      <c r="D373" s="39"/>
      <c r="E373" s="39"/>
      <c r="F373" s="44">
        <v>0</v>
      </c>
      <c r="G373" s="44">
        <v>0</v>
      </c>
      <c r="H373" s="44">
        <v>0</v>
      </c>
      <c r="I373" s="44">
        <v>0</v>
      </c>
      <c r="J373" s="44">
        <v>0</v>
      </c>
      <c r="K373" s="44">
        <v>0</v>
      </c>
      <c r="L373" s="44">
        <v>0</v>
      </c>
      <c r="M373" s="44">
        <v>0</v>
      </c>
      <c r="N373" s="44">
        <v>0</v>
      </c>
      <c r="O373" s="44">
        <v>0</v>
      </c>
      <c r="P373" s="44">
        <v>0</v>
      </c>
      <c r="Q373" s="44">
        <v>0</v>
      </c>
      <c r="R373" s="44">
        <v>0</v>
      </c>
      <c r="S373" s="44">
        <v>0</v>
      </c>
      <c r="T373" s="44">
        <v>0</v>
      </c>
      <c r="U373" s="44">
        <v>0</v>
      </c>
      <c r="V373" s="44">
        <v>0</v>
      </c>
      <c r="W373" s="44">
        <v>0</v>
      </c>
      <c r="X373" s="44">
        <v>0</v>
      </c>
      <c r="Y373" s="44">
        <v>0</v>
      </c>
      <c r="Z373" s="39"/>
      <c r="AA373" s="41"/>
      <c r="AB373" s="42"/>
      <c r="AC373" s="42"/>
      <c r="AD373" s="43"/>
    </row>
    <row r="374" spans="1:30" ht="93" x14ac:dyDescent="0.25">
      <c r="A374" s="37" t="s">
        <v>1076</v>
      </c>
      <c r="B374" s="38" t="s">
        <v>1077</v>
      </c>
      <c r="C374" s="39" t="s">
        <v>312</v>
      </c>
      <c r="D374" s="39" t="s">
        <v>1013</v>
      </c>
      <c r="E374" s="39" t="s">
        <v>46</v>
      </c>
      <c r="F374" s="40">
        <f>SUM(F375:F375)+1000</f>
        <v>1000</v>
      </c>
      <c r="G374" s="40">
        <f>SUM(G375:G375)</f>
        <v>0</v>
      </c>
      <c r="H374" s="40">
        <f>SUM(H375:H375)</f>
        <v>0</v>
      </c>
      <c r="I374" s="40">
        <f>SUM(I375:I375)+1000</f>
        <v>1000</v>
      </c>
      <c r="J374" s="40">
        <f t="shared" ref="J374:O374" si="263">SUM(J375:J375)</f>
        <v>0</v>
      </c>
      <c r="K374" s="40">
        <f t="shared" si="263"/>
        <v>0</v>
      </c>
      <c r="L374" s="40">
        <f t="shared" si="263"/>
        <v>0</v>
      </c>
      <c r="M374" s="40">
        <f t="shared" si="263"/>
        <v>0</v>
      </c>
      <c r="N374" s="40">
        <f t="shared" si="263"/>
        <v>0</v>
      </c>
      <c r="O374" s="40">
        <f t="shared" si="263"/>
        <v>0</v>
      </c>
      <c r="P374" s="40">
        <f>SUM(P375:P375)+995.56</f>
        <v>995.56</v>
      </c>
      <c r="Q374" s="40">
        <f>SUM(Q375:Q375)</f>
        <v>0</v>
      </c>
      <c r="R374" s="40">
        <f>SUM(R375:R375)</f>
        <v>0</v>
      </c>
      <c r="S374" s="40">
        <f>SUM(S375:S375)+995.56</f>
        <v>995.56</v>
      </c>
      <c r="T374" s="40">
        <f t="shared" ref="T374:Y374" si="264">SUM(T375:T375)</f>
        <v>0</v>
      </c>
      <c r="U374" s="40">
        <f t="shared" si="264"/>
        <v>0</v>
      </c>
      <c r="V374" s="40">
        <f t="shared" si="264"/>
        <v>0</v>
      </c>
      <c r="W374" s="40">
        <f t="shared" si="264"/>
        <v>0</v>
      </c>
      <c r="X374" s="40">
        <f t="shared" si="264"/>
        <v>0</v>
      </c>
      <c r="Y374" s="40">
        <f t="shared" si="264"/>
        <v>0</v>
      </c>
      <c r="Z374" s="39" t="s">
        <v>653</v>
      </c>
      <c r="AA374" s="41" t="s">
        <v>41</v>
      </c>
      <c r="AB374" s="42" t="s">
        <v>56</v>
      </c>
      <c r="AC374" s="42" t="s">
        <v>56</v>
      </c>
      <c r="AD374" s="43"/>
    </row>
    <row r="375" spans="1:30" ht="46.5" x14ac:dyDescent="0.25">
      <c r="A375" s="37" t="s">
        <v>1078</v>
      </c>
      <c r="B375" s="38" t="s">
        <v>1079</v>
      </c>
      <c r="C375" s="39"/>
      <c r="D375" s="39"/>
      <c r="E375" s="39"/>
      <c r="F375" s="44">
        <v>0</v>
      </c>
      <c r="G375" s="44">
        <v>0</v>
      </c>
      <c r="H375" s="44">
        <v>0</v>
      </c>
      <c r="I375" s="44">
        <v>0</v>
      </c>
      <c r="J375" s="44">
        <v>0</v>
      </c>
      <c r="K375" s="44">
        <v>0</v>
      </c>
      <c r="L375" s="44">
        <v>0</v>
      </c>
      <c r="M375" s="44">
        <v>0</v>
      </c>
      <c r="N375" s="44">
        <v>0</v>
      </c>
      <c r="O375" s="44">
        <v>0</v>
      </c>
      <c r="P375" s="44">
        <v>0</v>
      </c>
      <c r="Q375" s="44">
        <v>0</v>
      </c>
      <c r="R375" s="44">
        <v>0</v>
      </c>
      <c r="S375" s="44">
        <v>0</v>
      </c>
      <c r="T375" s="44">
        <v>0</v>
      </c>
      <c r="U375" s="44">
        <v>0</v>
      </c>
      <c r="V375" s="44">
        <v>0</v>
      </c>
      <c r="W375" s="44">
        <v>0</v>
      </c>
      <c r="X375" s="44">
        <v>0</v>
      </c>
      <c r="Y375" s="44">
        <v>0</v>
      </c>
      <c r="Z375" s="39"/>
      <c r="AA375" s="41"/>
      <c r="AB375" s="42"/>
      <c r="AC375" s="42"/>
      <c r="AD375" s="43"/>
    </row>
    <row r="376" spans="1:30" ht="46.5" x14ac:dyDescent="0.25">
      <c r="A376" s="37" t="s">
        <v>1080</v>
      </c>
      <c r="B376" s="38" t="s">
        <v>1081</v>
      </c>
      <c r="C376" s="39" t="s">
        <v>312</v>
      </c>
      <c r="D376" s="39" t="s">
        <v>1013</v>
      </c>
      <c r="E376" s="39" t="s">
        <v>46</v>
      </c>
      <c r="F376" s="40">
        <f>SUM(F377:F377)+26690</f>
        <v>26690</v>
      </c>
      <c r="G376" s="40">
        <f>SUM(G377:G377)</f>
        <v>0</v>
      </c>
      <c r="H376" s="40">
        <f>SUM(H377:H377)</f>
        <v>0</v>
      </c>
      <c r="I376" s="40">
        <f>SUM(I377:I377)+26690</f>
        <v>26690</v>
      </c>
      <c r="J376" s="40">
        <f t="shared" ref="J376:O376" si="265">SUM(J377:J377)</f>
        <v>0</v>
      </c>
      <c r="K376" s="40">
        <f t="shared" si="265"/>
        <v>0</v>
      </c>
      <c r="L376" s="40">
        <f t="shared" si="265"/>
        <v>0</v>
      </c>
      <c r="M376" s="40">
        <f t="shared" si="265"/>
        <v>0</v>
      </c>
      <c r="N376" s="40">
        <f t="shared" si="265"/>
        <v>0</v>
      </c>
      <c r="O376" s="40">
        <f t="shared" si="265"/>
        <v>0</v>
      </c>
      <c r="P376" s="40">
        <f>SUM(P377:P377)+26689.05</f>
        <v>26689.05</v>
      </c>
      <c r="Q376" s="40">
        <f t="shared" ref="Q376:Y376" si="266">SUM(Q377:Q377)</f>
        <v>0</v>
      </c>
      <c r="R376" s="40">
        <f t="shared" si="266"/>
        <v>0</v>
      </c>
      <c r="S376" s="40">
        <f t="shared" si="266"/>
        <v>0</v>
      </c>
      <c r="T376" s="40">
        <f t="shared" si="266"/>
        <v>0</v>
      </c>
      <c r="U376" s="40">
        <f t="shared" si="266"/>
        <v>0</v>
      </c>
      <c r="V376" s="40">
        <f t="shared" si="266"/>
        <v>0</v>
      </c>
      <c r="W376" s="40">
        <f t="shared" si="266"/>
        <v>0</v>
      </c>
      <c r="X376" s="40">
        <f t="shared" si="266"/>
        <v>0</v>
      </c>
      <c r="Y376" s="40">
        <f t="shared" si="266"/>
        <v>0</v>
      </c>
      <c r="Z376" s="39" t="s">
        <v>1082</v>
      </c>
      <c r="AA376" s="41" t="s">
        <v>41</v>
      </c>
      <c r="AB376" s="42" t="s">
        <v>65</v>
      </c>
      <c r="AC376" s="42" t="s">
        <v>65</v>
      </c>
      <c r="AD376" s="43"/>
    </row>
    <row r="377" spans="1:30" ht="69.75" x14ac:dyDescent="0.25">
      <c r="A377" s="37" t="s">
        <v>1083</v>
      </c>
      <c r="B377" s="38" t="s">
        <v>1084</v>
      </c>
      <c r="C377" s="39"/>
      <c r="D377" s="39"/>
      <c r="E377" s="39"/>
      <c r="F377" s="44">
        <v>0</v>
      </c>
      <c r="G377" s="44">
        <v>0</v>
      </c>
      <c r="H377" s="44">
        <v>0</v>
      </c>
      <c r="I377" s="44">
        <v>0</v>
      </c>
      <c r="J377" s="44">
        <v>0</v>
      </c>
      <c r="K377" s="44">
        <v>0</v>
      </c>
      <c r="L377" s="44">
        <v>0</v>
      </c>
      <c r="M377" s="44">
        <v>0</v>
      </c>
      <c r="N377" s="44">
        <v>0</v>
      </c>
      <c r="O377" s="44">
        <v>0</v>
      </c>
      <c r="P377" s="44">
        <v>0</v>
      </c>
      <c r="Q377" s="44">
        <v>0</v>
      </c>
      <c r="R377" s="44">
        <v>0</v>
      </c>
      <c r="S377" s="44">
        <v>0</v>
      </c>
      <c r="T377" s="44">
        <v>0</v>
      </c>
      <c r="U377" s="44">
        <v>0</v>
      </c>
      <c r="V377" s="44">
        <v>0</v>
      </c>
      <c r="W377" s="44">
        <v>0</v>
      </c>
      <c r="X377" s="44">
        <v>0</v>
      </c>
      <c r="Y377" s="44">
        <v>0</v>
      </c>
      <c r="Z377" s="39"/>
      <c r="AA377" s="41"/>
      <c r="AB377" s="42"/>
      <c r="AC377" s="42"/>
      <c r="AD377" s="43"/>
    </row>
    <row r="378" spans="1:30" ht="46.5" x14ac:dyDescent="0.25">
      <c r="A378" s="37" t="s">
        <v>1085</v>
      </c>
      <c r="B378" s="38" t="s">
        <v>1086</v>
      </c>
      <c r="C378" s="39" t="s">
        <v>312</v>
      </c>
      <c r="D378" s="39" t="s">
        <v>1013</v>
      </c>
      <c r="E378" s="39" t="s">
        <v>46</v>
      </c>
      <c r="F378" s="40">
        <f>SUM(F379:F379)+11931</f>
        <v>11931</v>
      </c>
      <c r="G378" s="40">
        <f>SUM(G379:G379)</f>
        <v>0</v>
      </c>
      <c r="H378" s="40">
        <f>SUM(H379:H379)</f>
        <v>0</v>
      </c>
      <c r="I378" s="40">
        <f>SUM(I379:I379)+11931</f>
        <v>11931</v>
      </c>
      <c r="J378" s="40">
        <f t="shared" ref="J378:Y378" si="267">SUM(J379:J379)</f>
        <v>0</v>
      </c>
      <c r="K378" s="40">
        <f t="shared" si="267"/>
        <v>0</v>
      </c>
      <c r="L378" s="40">
        <f t="shared" si="267"/>
        <v>0</v>
      </c>
      <c r="M378" s="40">
        <f t="shared" si="267"/>
        <v>0</v>
      </c>
      <c r="N378" s="40">
        <f t="shared" si="267"/>
        <v>0</v>
      </c>
      <c r="O378" s="40">
        <f t="shared" si="267"/>
        <v>0</v>
      </c>
      <c r="P378" s="40">
        <f t="shared" si="267"/>
        <v>0</v>
      </c>
      <c r="Q378" s="40">
        <f t="shared" si="267"/>
        <v>0</v>
      </c>
      <c r="R378" s="40">
        <f t="shared" si="267"/>
        <v>0</v>
      </c>
      <c r="S378" s="40">
        <f t="shared" si="267"/>
        <v>0</v>
      </c>
      <c r="T378" s="40">
        <f t="shared" si="267"/>
        <v>0</v>
      </c>
      <c r="U378" s="40">
        <f t="shared" si="267"/>
        <v>0</v>
      </c>
      <c r="V378" s="40">
        <f t="shared" si="267"/>
        <v>0</v>
      </c>
      <c r="W378" s="40">
        <f t="shared" si="267"/>
        <v>0</v>
      </c>
      <c r="X378" s="40">
        <f t="shared" si="267"/>
        <v>0</v>
      </c>
      <c r="Y378" s="40">
        <f t="shared" si="267"/>
        <v>0</v>
      </c>
      <c r="Z378" s="39" t="s">
        <v>1087</v>
      </c>
      <c r="AA378" s="41" t="s">
        <v>41</v>
      </c>
      <c r="AB378" s="42" t="s">
        <v>65</v>
      </c>
      <c r="AC378" s="42" t="s">
        <v>65</v>
      </c>
      <c r="AD378" s="43" t="s">
        <v>1088</v>
      </c>
    </row>
    <row r="379" spans="1:30" ht="69.75" x14ac:dyDescent="0.25">
      <c r="A379" s="37" t="s">
        <v>1089</v>
      </c>
      <c r="B379" s="38" t="s">
        <v>1090</v>
      </c>
      <c r="C379" s="39"/>
      <c r="D379" s="39"/>
      <c r="E379" s="39"/>
      <c r="F379" s="44">
        <v>0</v>
      </c>
      <c r="G379" s="44">
        <v>0</v>
      </c>
      <c r="H379" s="44">
        <v>0</v>
      </c>
      <c r="I379" s="44">
        <v>0</v>
      </c>
      <c r="J379" s="44">
        <v>0</v>
      </c>
      <c r="K379" s="44">
        <v>0</v>
      </c>
      <c r="L379" s="44">
        <v>0</v>
      </c>
      <c r="M379" s="44">
        <v>0</v>
      </c>
      <c r="N379" s="44">
        <v>0</v>
      </c>
      <c r="O379" s="44">
        <v>0</v>
      </c>
      <c r="P379" s="44">
        <v>0</v>
      </c>
      <c r="Q379" s="44">
        <v>0</v>
      </c>
      <c r="R379" s="44">
        <v>0</v>
      </c>
      <c r="S379" s="44">
        <v>0</v>
      </c>
      <c r="T379" s="44">
        <v>0</v>
      </c>
      <c r="U379" s="44">
        <v>0</v>
      </c>
      <c r="V379" s="44">
        <v>0</v>
      </c>
      <c r="W379" s="44">
        <v>0</v>
      </c>
      <c r="X379" s="44">
        <v>0</v>
      </c>
      <c r="Y379" s="44">
        <v>0</v>
      </c>
      <c r="Z379" s="39"/>
      <c r="AA379" s="41"/>
      <c r="AB379" s="42"/>
      <c r="AC379" s="42"/>
      <c r="AD379" s="43"/>
    </row>
    <row r="380" spans="1:30" ht="46.5" x14ac:dyDescent="0.25">
      <c r="A380" s="37" t="s">
        <v>1091</v>
      </c>
      <c r="B380" s="38" t="s">
        <v>1092</v>
      </c>
      <c r="C380" s="39" t="s">
        <v>312</v>
      </c>
      <c r="D380" s="39" t="s">
        <v>1013</v>
      </c>
      <c r="E380" s="39" t="s">
        <v>46</v>
      </c>
      <c r="F380" s="40">
        <f t="shared" ref="F380:Y380" si="268">SUM(F381:F381)</f>
        <v>0</v>
      </c>
      <c r="G380" s="40">
        <f t="shared" si="268"/>
        <v>0</v>
      </c>
      <c r="H380" s="40">
        <f t="shared" si="268"/>
        <v>0</v>
      </c>
      <c r="I380" s="40">
        <f t="shared" si="268"/>
        <v>0</v>
      </c>
      <c r="J380" s="40">
        <f t="shared" si="268"/>
        <v>0</v>
      </c>
      <c r="K380" s="40">
        <f t="shared" si="268"/>
        <v>0</v>
      </c>
      <c r="L380" s="40">
        <f t="shared" si="268"/>
        <v>0</v>
      </c>
      <c r="M380" s="40">
        <f t="shared" si="268"/>
        <v>0</v>
      </c>
      <c r="N380" s="40">
        <f t="shared" si="268"/>
        <v>0</v>
      </c>
      <c r="O380" s="40">
        <f t="shared" si="268"/>
        <v>0</v>
      </c>
      <c r="P380" s="40">
        <f t="shared" si="268"/>
        <v>0</v>
      </c>
      <c r="Q380" s="40">
        <f t="shared" si="268"/>
        <v>0</v>
      </c>
      <c r="R380" s="40">
        <f t="shared" si="268"/>
        <v>0</v>
      </c>
      <c r="S380" s="40">
        <f t="shared" si="268"/>
        <v>0</v>
      </c>
      <c r="T380" s="40">
        <f t="shared" si="268"/>
        <v>0</v>
      </c>
      <c r="U380" s="40">
        <f t="shared" si="268"/>
        <v>0</v>
      </c>
      <c r="V380" s="40">
        <f t="shared" si="268"/>
        <v>0</v>
      </c>
      <c r="W380" s="40">
        <f t="shared" si="268"/>
        <v>0</v>
      </c>
      <c r="X380" s="40">
        <f t="shared" si="268"/>
        <v>0</v>
      </c>
      <c r="Y380" s="40">
        <f t="shared" si="268"/>
        <v>0</v>
      </c>
      <c r="Z380" s="39" t="s">
        <v>1093</v>
      </c>
      <c r="AA380" s="41" t="s">
        <v>41</v>
      </c>
      <c r="AB380" s="42" t="s">
        <v>56</v>
      </c>
      <c r="AC380" s="42" t="s">
        <v>57</v>
      </c>
      <c r="AD380" s="43" t="s">
        <v>1044</v>
      </c>
    </row>
    <row r="381" spans="1:30" ht="46.5" x14ac:dyDescent="0.25">
      <c r="A381" s="37" t="s">
        <v>1094</v>
      </c>
      <c r="B381" s="38" t="s">
        <v>1095</v>
      </c>
      <c r="C381" s="39"/>
      <c r="D381" s="39"/>
      <c r="E381" s="39"/>
      <c r="F381" s="44">
        <v>0</v>
      </c>
      <c r="G381" s="44">
        <v>0</v>
      </c>
      <c r="H381" s="44">
        <v>0</v>
      </c>
      <c r="I381" s="44">
        <v>0</v>
      </c>
      <c r="J381" s="44">
        <v>0</v>
      </c>
      <c r="K381" s="44">
        <v>0</v>
      </c>
      <c r="L381" s="44">
        <v>0</v>
      </c>
      <c r="M381" s="44">
        <v>0</v>
      </c>
      <c r="N381" s="44">
        <v>0</v>
      </c>
      <c r="O381" s="44">
        <v>0</v>
      </c>
      <c r="P381" s="44">
        <v>0</v>
      </c>
      <c r="Q381" s="44">
        <v>0</v>
      </c>
      <c r="R381" s="44">
        <v>0</v>
      </c>
      <c r="S381" s="44">
        <v>0</v>
      </c>
      <c r="T381" s="44">
        <v>0</v>
      </c>
      <c r="U381" s="44">
        <v>0</v>
      </c>
      <c r="V381" s="44">
        <v>0</v>
      </c>
      <c r="W381" s="44">
        <v>0</v>
      </c>
      <c r="X381" s="44">
        <v>0</v>
      </c>
      <c r="Y381" s="44">
        <v>0</v>
      </c>
      <c r="Z381" s="39"/>
      <c r="AA381" s="41"/>
      <c r="AB381" s="42"/>
      <c r="AC381" s="42"/>
      <c r="AD381" s="43"/>
    </row>
    <row r="382" spans="1:30" ht="69.75" x14ac:dyDescent="0.25">
      <c r="A382" s="37" t="s">
        <v>1096</v>
      </c>
      <c r="B382" s="38" t="s">
        <v>1097</v>
      </c>
      <c r="C382" s="39" t="s">
        <v>312</v>
      </c>
      <c r="D382" s="39" t="s">
        <v>1013</v>
      </c>
      <c r="E382" s="39" t="s">
        <v>46</v>
      </c>
      <c r="F382" s="40">
        <f t="shared" ref="F382:Y382" si="269">SUM(F383:F383)</f>
        <v>0</v>
      </c>
      <c r="G382" s="40">
        <f t="shared" si="269"/>
        <v>0</v>
      </c>
      <c r="H382" s="40">
        <f t="shared" si="269"/>
        <v>0</v>
      </c>
      <c r="I382" s="40">
        <f t="shared" si="269"/>
        <v>0</v>
      </c>
      <c r="J382" s="40">
        <f t="shared" si="269"/>
        <v>0</v>
      </c>
      <c r="K382" s="40">
        <f t="shared" si="269"/>
        <v>0</v>
      </c>
      <c r="L382" s="40">
        <f t="shared" si="269"/>
        <v>0</v>
      </c>
      <c r="M382" s="40">
        <f t="shared" si="269"/>
        <v>0</v>
      </c>
      <c r="N382" s="40">
        <f t="shared" si="269"/>
        <v>0</v>
      </c>
      <c r="O382" s="40">
        <f t="shared" si="269"/>
        <v>0</v>
      </c>
      <c r="P382" s="40">
        <f t="shared" si="269"/>
        <v>0</v>
      </c>
      <c r="Q382" s="40">
        <f t="shared" si="269"/>
        <v>0</v>
      </c>
      <c r="R382" s="40">
        <f t="shared" si="269"/>
        <v>0</v>
      </c>
      <c r="S382" s="40">
        <f t="shared" si="269"/>
        <v>0</v>
      </c>
      <c r="T382" s="40">
        <f t="shared" si="269"/>
        <v>0</v>
      </c>
      <c r="U382" s="40">
        <f t="shared" si="269"/>
        <v>0</v>
      </c>
      <c r="V382" s="40">
        <f t="shared" si="269"/>
        <v>0</v>
      </c>
      <c r="W382" s="40">
        <f t="shared" si="269"/>
        <v>0</v>
      </c>
      <c r="X382" s="40">
        <f t="shared" si="269"/>
        <v>0</v>
      </c>
      <c r="Y382" s="40">
        <f t="shared" si="269"/>
        <v>0</v>
      </c>
      <c r="Z382" s="39" t="s">
        <v>1098</v>
      </c>
      <c r="AA382" s="41" t="s">
        <v>41</v>
      </c>
      <c r="AB382" s="42" t="s">
        <v>56</v>
      </c>
      <c r="AC382" s="42" t="s">
        <v>57</v>
      </c>
      <c r="AD382" s="43" t="s">
        <v>1044</v>
      </c>
    </row>
    <row r="383" spans="1:30" ht="69.75" x14ac:dyDescent="0.25">
      <c r="A383" s="37" t="s">
        <v>1099</v>
      </c>
      <c r="B383" s="38" t="s">
        <v>1100</v>
      </c>
      <c r="C383" s="39"/>
      <c r="D383" s="39"/>
      <c r="E383" s="39"/>
      <c r="F383" s="44">
        <v>0</v>
      </c>
      <c r="G383" s="44">
        <v>0</v>
      </c>
      <c r="H383" s="44">
        <v>0</v>
      </c>
      <c r="I383" s="44">
        <v>0</v>
      </c>
      <c r="J383" s="44">
        <v>0</v>
      </c>
      <c r="K383" s="44">
        <v>0</v>
      </c>
      <c r="L383" s="44">
        <v>0</v>
      </c>
      <c r="M383" s="44">
        <v>0</v>
      </c>
      <c r="N383" s="44">
        <v>0</v>
      </c>
      <c r="O383" s="44">
        <v>0</v>
      </c>
      <c r="P383" s="44">
        <v>0</v>
      </c>
      <c r="Q383" s="44">
        <v>0</v>
      </c>
      <c r="R383" s="44">
        <v>0</v>
      </c>
      <c r="S383" s="44">
        <v>0</v>
      </c>
      <c r="T383" s="44">
        <v>0</v>
      </c>
      <c r="U383" s="44">
        <v>0</v>
      </c>
      <c r="V383" s="44">
        <v>0</v>
      </c>
      <c r="W383" s="44">
        <v>0</v>
      </c>
      <c r="X383" s="44">
        <v>0</v>
      </c>
      <c r="Y383" s="44">
        <v>0</v>
      </c>
      <c r="Z383" s="39"/>
      <c r="AA383" s="41"/>
      <c r="AB383" s="42"/>
      <c r="AC383" s="42"/>
      <c r="AD383" s="43"/>
    </row>
    <row r="384" spans="1:30" ht="112.5" x14ac:dyDescent="0.25">
      <c r="A384" s="30" t="s">
        <v>1101</v>
      </c>
      <c r="B384" s="31" t="s">
        <v>1102</v>
      </c>
      <c r="C384" s="32" t="s">
        <v>312</v>
      </c>
      <c r="D384" s="32" t="s">
        <v>1003</v>
      </c>
      <c r="E384" s="32" t="s">
        <v>39</v>
      </c>
      <c r="F384" s="33">
        <f t="shared" ref="F384:Y384" si="270">F385+F387+F389+F391+F393+F395+F397+F399+F401+F403+F405+F407+F409+F411+F413+F415+F417</f>
        <v>2110434</v>
      </c>
      <c r="G384" s="33">
        <f t="shared" si="270"/>
        <v>2110434</v>
      </c>
      <c r="H384" s="33">
        <f t="shared" si="270"/>
        <v>0</v>
      </c>
      <c r="I384" s="33">
        <f t="shared" si="270"/>
        <v>0</v>
      </c>
      <c r="J384" s="33">
        <f t="shared" si="270"/>
        <v>0</v>
      </c>
      <c r="K384" s="33">
        <f t="shared" si="270"/>
        <v>0</v>
      </c>
      <c r="L384" s="33">
        <f t="shared" si="270"/>
        <v>0</v>
      </c>
      <c r="M384" s="33">
        <f t="shared" si="270"/>
        <v>0</v>
      </c>
      <c r="N384" s="33">
        <f t="shared" si="270"/>
        <v>0</v>
      </c>
      <c r="O384" s="33">
        <f t="shared" si="270"/>
        <v>0</v>
      </c>
      <c r="P384" s="33">
        <f t="shared" si="270"/>
        <v>2098382.23</v>
      </c>
      <c r="Q384" s="33">
        <f t="shared" si="270"/>
        <v>2098382.23</v>
      </c>
      <c r="R384" s="33">
        <f t="shared" si="270"/>
        <v>0</v>
      </c>
      <c r="S384" s="33">
        <f t="shared" si="270"/>
        <v>0</v>
      </c>
      <c r="T384" s="33">
        <f t="shared" si="270"/>
        <v>0</v>
      </c>
      <c r="U384" s="33">
        <f t="shared" si="270"/>
        <v>0</v>
      </c>
      <c r="V384" s="33">
        <f t="shared" si="270"/>
        <v>0</v>
      </c>
      <c r="W384" s="33">
        <f t="shared" si="270"/>
        <v>0</v>
      </c>
      <c r="X384" s="33">
        <f t="shared" si="270"/>
        <v>0</v>
      </c>
      <c r="Y384" s="33">
        <f t="shared" si="270"/>
        <v>0</v>
      </c>
      <c r="Z384" s="32" t="s">
        <v>320</v>
      </c>
      <c r="AA384" s="34" t="s">
        <v>41</v>
      </c>
      <c r="AB384" s="35" t="s">
        <v>65</v>
      </c>
      <c r="AC384" s="35" t="s">
        <v>65</v>
      </c>
      <c r="AD384" s="36"/>
    </row>
    <row r="385" spans="1:30" ht="116.25" x14ac:dyDescent="0.25">
      <c r="A385" s="37" t="s">
        <v>1103</v>
      </c>
      <c r="B385" s="38" t="s">
        <v>1104</v>
      </c>
      <c r="C385" s="39" t="s">
        <v>312</v>
      </c>
      <c r="D385" s="39" t="s">
        <v>1013</v>
      </c>
      <c r="E385" s="39" t="s">
        <v>46</v>
      </c>
      <c r="F385" s="40">
        <f>SUM(F386:F386)+7000</f>
        <v>7000</v>
      </c>
      <c r="G385" s="40">
        <f>SUM(G386:G386)+7000</f>
        <v>7000</v>
      </c>
      <c r="H385" s="40">
        <f t="shared" ref="H385:O385" si="271">SUM(H386:H386)</f>
        <v>0</v>
      </c>
      <c r="I385" s="40">
        <f t="shared" si="271"/>
        <v>0</v>
      </c>
      <c r="J385" s="40">
        <f t="shared" si="271"/>
        <v>0</v>
      </c>
      <c r="K385" s="40">
        <f t="shared" si="271"/>
        <v>0</v>
      </c>
      <c r="L385" s="40">
        <f t="shared" si="271"/>
        <v>0</v>
      </c>
      <c r="M385" s="40">
        <f t="shared" si="271"/>
        <v>0</v>
      </c>
      <c r="N385" s="40">
        <f t="shared" si="271"/>
        <v>0</v>
      </c>
      <c r="O385" s="40">
        <f t="shared" si="271"/>
        <v>0</v>
      </c>
      <c r="P385" s="40">
        <f>SUM(P386:P386)+1871.87</f>
        <v>1871.87</v>
      </c>
      <c r="Q385" s="40">
        <f>SUM(Q386:Q386)+1871.87</f>
        <v>1871.87</v>
      </c>
      <c r="R385" s="40">
        <f t="shared" ref="R385:Y385" si="272">SUM(R386:R386)</f>
        <v>0</v>
      </c>
      <c r="S385" s="40">
        <f t="shared" si="272"/>
        <v>0</v>
      </c>
      <c r="T385" s="40">
        <f t="shared" si="272"/>
        <v>0</v>
      </c>
      <c r="U385" s="40">
        <f t="shared" si="272"/>
        <v>0</v>
      </c>
      <c r="V385" s="40">
        <f t="shared" si="272"/>
        <v>0</v>
      </c>
      <c r="W385" s="40">
        <f t="shared" si="272"/>
        <v>0</v>
      </c>
      <c r="X385" s="40">
        <f t="shared" si="272"/>
        <v>0</v>
      </c>
      <c r="Y385" s="40">
        <f t="shared" si="272"/>
        <v>0</v>
      </c>
      <c r="Z385" s="39" t="s">
        <v>1105</v>
      </c>
      <c r="AA385" s="41" t="s">
        <v>41</v>
      </c>
      <c r="AB385" s="42" t="s">
        <v>139</v>
      </c>
      <c r="AC385" s="42" t="s">
        <v>751</v>
      </c>
      <c r="AD385" s="43" t="s">
        <v>1106</v>
      </c>
    </row>
    <row r="386" spans="1:30" ht="116.25" x14ac:dyDescent="0.25">
      <c r="A386" s="37" t="s">
        <v>1107</v>
      </c>
      <c r="B386" s="38" t="s">
        <v>1108</v>
      </c>
      <c r="C386" s="39"/>
      <c r="D386" s="39"/>
      <c r="E386" s="39"/>
      <c r="F386" s="44">
        <v>0</v>
      </c>
      <c r="G386" s="44">
        <v>0</v>
      </c>
      <c r="H386" s="44">
        <v>0</v>
      </c>
      <c r="I386" s="44">
        <v>0</v>
      </c>
      <c r="J386" s="44">
        <v>0</v>
      </c>
      <c r="K386" s="44">
        <v>0</v>
      </c>
      <c r="L386" s="44">
        <v>0</v>
      </c>
      <c r="M386" s="44">
        <v>0</v>
      </c>
      <c r="N386" s="44">
        <v>0</v>
      </c>
      <c r="O386" s="44">
        <v>0</v>
      </c>
      <c r="P386" s="44">
        <v>0</v>
      </c>
      <c r="Q386" s="44">
        <v>0</v>
      </c>
      <c r="R386" s="44">
        <v>0</v>
      </c>
      <c r="S386" s="44">
        <v>0</v>
      </c>
      <c r="T386" s="44">
        <v>0</v>
      </c>
      <c r="U386" s="44">
        <v>0</v>
      </c>
      <c r="V386" s="44">
        <v>0</v>
      </c>
      <c r="W386" s="44">
        <v>0</v>
      </c>
      <c r="X386" s="44">
        <v>0</v>
      </c>
      <c r="Y386" s="44">
        <v>0</v>
      </c>
      <c r="Z386" s="39"/>
      <c r="AA386" s="41"/>
      <c r="AB386" s="42"/>
      <c r="AC386" s="42"/>
      <c r="AD386" s="43"/>
    </row>
    <row r="387" spans="1:30" ht="69.75" x14ac:dyDescent="0.25">
      <c r="A387" s="37" t="s">
        <v>1109</v>
      </c>
      <c r="B387" s="38" t="s">
        <v>1110</v>
      </c>
      <c r="C387" s="39" t="s">
        <v>312</v>
      </c>
      <c r="D387" s="39" t="s">
        <v>1013</v>
      </c>
      <c r="E387" s="39" t="s">
        <v>46</v>
      </c>
      <c r="F387" s="40">
        <f>SUM(F388:F388)+4000</f>
        <v>4000</v>
      </c>
      <c r="G387" s="40">
        <f>SUM(G388:G388)+4000</f>
        <v>4000</v>
      </c>
      <c r="H387" s="40">
        <f t="shared" ref="H387:O387" si="273">SUM(H388:H388)</f>
        <v>0</v>
      </c>
      <c r="I387" s="40">
        <f t="shared" si="273"/>
        <v>0</v>
      </c>
      <c r="J387" s="40">
        <f t="shared" si="273"/>
        <v>0</v>
      </c>
      <c r="K387" s="40">
        <f t="shared" si="273"/>
        <v>0</v>
      </c>
      <c r="L387" s="40">
        <f t="shared" si="273"/>
        <v>0</v>
      </c>
      <c r="M387" s="40">
        <f t="shared" si="273"/>
        <v>0</v>
      </c>
      <c r="N387" s="40">
        <f t="shared" si="273"/>
        <v>0</v>
      </c>
      <c r="O387" s="40">
        <f t="shared" si="273"/>
        <v>0</v>
      </c>
      <c r="P387" s="40">
        <f>SUM(P388:P388)+4000</f>
        <v>4000</v>
      </c>
      <c r="Q387" s="40">
        <f>SUM(Q388:Q388)+4000</f>
        <v>4000</v>
      </c>
      <c r="R387" s="40">
        <f t="shared" ref="R387:Y387" si="274">SUM(R388:R388)</f>
        <v>0</v>
      </c>
      <c r="S387" s="40">
        <f t="shared" si="274"/>
        <v>0</v>
      </c>
      <c r="T387" s="40">
        <f t="shared" si="274"/>
        <v>0</v>
      </c>
      <c r="U387" s="40">
        <f t="shared" si="274"/>
        <v>0</v>
      </c>
      <c r="V387" s="40">
        <f t="shared" si="274"/>
        <v>0</v>
      </c>
      <c r="W387" s="40">
        <f t="shared" si="274"/>
        <v>0</v>
      </c>
      <c r="X387" s="40">
        <f t="shared" si="274"/>
        <v>0</v>
      </c>
      <c r="Y387" s="40">
        <f t="shared" si="274"/>
        <v>0</v>
      </c>
      <c r="Z387" s="39" t="s">
        <v>1098</v>
      </c>
      <c r="AA387" s="41" t="s">
        <v>41</v>
      </c>
      <c r="AB387" s="42" t="s">
        <v>56</v>
      </c>
      <c r="AC387" s="42" t="s">
        <v>56</v>
      </c>
      <c r="AD387" s="43"/>
    </row>
    <row r="388" spans="1:30" ht="69.75" x14ac:dyDescent="0.25">
      <c r="A388" s="37" t="s">
        <v>1111</v>
      </c>
      <c r="B388" s="38" t="s">
        <v>1112</v>
      </c>
      <c r="C388" s="39"/>
      <c r="D388" s="39"/>
      <c r="E388" s="39"/>
      <c r="F388" s="44">
        <v>0</v>
      </c>
      <c r="G388" s="44">
        <v>0</v>
      </c>
      <c r="H388" s="44">
        <v>0</v>
      </c>
      <c r="I388" s="44">
        <v>0</v>
      </c>
      <c r="J388" s="44">
        <v>0</v>
      </c>
      <c r="K388" s="44">
        <v>0</v>
      </c>
      <c r="L388" s="44">
        <v>0</v>
      </c>
      <c r="M388" s="44">
        <v>0</v>
      </c>
      <c r="N388" s="44">
        <v>0</v>
      </c>
      <c r="O388" s="44">
        <v>0</v>
      </c>
      <c r="P388" s="44">
        <v>0</v>
      </c>
      <c r="Q388" s="44">
        <v>0</v>
      </c>
      <c r="R388" s="44">
        <v>0</v>
      </c>
      <c r="S388" s="44">
        <v>0</v>
      </c>
      <c r="T388" s="44">
        <v>0</v>
      </c>
      <c r="U388" s="44">
        <v>0</v>
      </c>
      <c r="V388" s="44">
        <v>0</v>
      </c>
      <c r="W388" s="44">
        <v>0</v>
      </c>
      <c r="X388" s="44">
        <v>0</v>
      </c>
      <c r="Y388" s="44">
        <v>0</v>
      </c>
      <c r="Z388" s="39"/>
      <c r="AA388" s="41"/>
      <c r="AB388" s="42"/>
      <c r="AC388" s="42"/>
      <c r="AD388" s="43"/>
    </row>
    <row r="389" spans="1:30" ht="46.5" x14ac:dyDescent="0.25">
      <c r="A389" s="37" t="s">
        <v>1113</v>
      </c>
      <c r="B389" s="38" t="s">
        <v>1114</v>
      </c>
      <c r="C389" s="39" t="s">
        <v>790</v>
      </c>
      <c r="D389" s="39" t="s">
        <v>791</v>
      </c>
      <c r="E389" s="39" t="s">
        <v>46</v>
      </c>
      <c r="F389" s="40">
        <f>SUM(F390:F390)+64378</f>
        <v>64378</v>
      </c>
      <c r="G389" s="40">
        <f>SUM(G390:G390)+64378</f>
        <v>64378</v>
      </c>
      <c r="H389" s="40">
        <f t="shared" ref="H389:O389" si="275">SUM(H390:H390)</f>
        <v>0</v>
      </c>
      <c r="I389" s="40">
        <f t="shared" si="275"/>
        <v>0</v>
      </c>
      <c r="J389" s="40">
        <f t="shared" si="275"/>
        <v>0</v>
      </c>
      <c r="K389" s="40">
        <f t="shared" si="275"/>
        <v>0</v>
      </c>
      <c r="L389" s="40">
        <f t="shared" si="275"/>
        <v>0</v>
      </c>
      <c r="M389" s="40">
        <f t="shared" si="275"/>
        <v>0</v>
      </c>
      <c r="N389" s="40">
        <f t="shared" si="275"/>
        <v>0</v>
      </c>
      <c r="O389" s="40">
        <f t="shared" si="275"/>
        <v>0</v>
      </c>
      <c r="P389" s="40">
        <f>SUM(P390:P390)+64225.43</f>
        <v>64225.43</v>
      </c>
      <c r="Q389" s="40">
        <f>SUM(Q390:Q390)+64225.43</f>
        <v>64225.43</v>
      </c>
      <c r="R389" s="40">
        <f t="shared" ref="R389:Y389" si="276">SUM(R390:R390)</f>
        <v>0</v>
      </c>
      <c r="S389" s="40">
        <f t="shared" si="276"/>
        <v>0</v>
      </c>
      <c r="T389" s="40">
        <f t="shared" si="276"/>
        <v>0</v>
      </c>
      <c r="U389" s="40">
        <f t="shared" si="276"/>
        <v>0</v>
      </c>
      <c r="V389" s="40">
        <f t="shared" si="276"/>
        <v>0</v>
      </c>
      <c r="W389" s="40">
        <f t="shared" si="276"/>
        <v>0</v>
      </c>
      <c r="X389" s="40">
        <f t="shared" si="276"/>
        <v>0</v>
      </c>
      <c r="Y389" s="40">
        <f t="shared" si="276"/>
        <v>0</v>
      </c>
      <c r="Z389" s="39" t="s">
        <v>1115</v>
      </c>
      <c r="AA389" s="41" t="s">
        <v>1116</v>
      </c>
      <c r="AB389" s="42" t="s">
        <v>85</v>
      </c>
      <c r="AC389" s="42" t="s">
        <v>85</v>
      </c>
      <c r="AD389" s="43"/>
    </row>
    <row r="390" spans="1:30" ht="46.5" x14ac:dyDescent="0.25">
      <c r="A390" s="37" t="s">
        <v>1117</v>
      </c>
      <c r="B390" s="38" t="s">
        <v>1118</v>
      </c>
      <c r="C390" s="39"/>
      <c r="D390" s="39"/>
      <c r="E390" s="39"/>
      <c r="F390" s="44">
        <v>0</v>
      </c>
      <c r="G390" s="44">
        <v>0</v>
      </c>
      <c r="H390" s="44">
        <v>0</v>
      </c>
      <c r="I390" s="44">
        <v>0</v>
      </c>
      <c r="J390" s="44">
        <v>0</v>
      </c>
      <c r="K390" s="44">
        <v>0</v>
      </c>
      <c r="L390" s="44">
        <v>0</v>
      </c>
      <c r="M390" s="44">
        <v>0</v>
      </c>
      <c r="N390" s="44">
        <v>0</v>
      </c>
      <c r="O390" s="44">
        <v>0</v>
      </c>
      <c r="P390" s="44">
        <v>0</v>
      </c>
      <c r="Q390" s="44">
        <v>0</v>
      </c>
      <c r="R390" s="44">
        <v>0</v>
      </c>
      <c r="S390" s="44">
        <v>0</v>
      </c>
      <c r="T390" s="44">
        <v>0</v>
      </c>
      <c r="U390" s="44">
        <v>0</v>
      </c>
      <c r="V390" s="44">
        <v>0</v>
      </c>
      <c r="W390" s="44">
        <v>0</v>
      </c>
      <c r="X390" s="44">
        <v>0</v>
      </c>
      <c r="Y390" s="44">
        <v>0</v>
      </c>
      <c r="Z390" s="39"/>
      <c r="AA390" s="41"/>
      <c r="AB390" s="42"/>
      <c r="AC390" s="42"/>
      <c r="AD390" s="43"/>
    </row>
    <row r="391" spans="1:30" ht="46.5" x14ac:dyDescent="0.25">
      <c r="A391" s="37" t="s">
        <v>1119</v>
      </c>
      <c r="B391" s="38" t="s">
        <v>1120</v>
      </c>
      <c r="C391" s="39" t="s">
        <v>799</v>
      </c>
      <c r="D391" s="39" t="s">
        <v>800</v>
      </c>
      <c r="E391" s="39" t="s">
        <v>46</v>
      </c>
      <c r="F391" s="40">
        <f>SUM(F392:F392)+175912</f>
        <v>175912</v>
      </c>
      <c r="G391" s="40">
        <f>SUM(G392:G392)+175912</f>
        <v>175912</v>
      </c>
      <c r="H391" s="40">
        <f t="shared" ref="H391:O391" si="277">SUM(H392:H392)</f>
        <v>0</v>
      </c>
      <c r="I391" s="40">
        <f t="shared" si="277"/>
        <v>0</v>
      </c>
      <c r="J391" s="40">
        <f t="shared" si="277"/>
        <v>0</v>
      </c>
      <c r="K391" s="40">
        <f t="shared" si="277"/>
        <v>0</v>
      </c>
      <c r="L391" s="40">
        <f t="shared" si="277"/>
        <v>0</v>
      </c>
      <c r="M391" s="40">
        <f t="shared" si="277"/>
        <v>0</v>
      </c>
      <c r="N391" s="40">
        <f t="shared" si="277"/>
        <v>0</v>
      </c>
      <c r="O391" s="40">
        <f t="shared" si="277"/>
        <v>0</v>
      </c>
      <c r="P391" s="40">
        <f>SUM(P392:P392)+175356.02</f>
        <v>175356.02</v>
      </c>
      <c r="Q391" s="40">
        <f>SUM(Q392:Q392)+175356.02</f>
        <v>175356.02</v>
      </c>
      <c r="R391" s="40">
        <f t="shared" ref="R391:Y391" si="278">SUM(R392:R392)</f>
        <v>0</v>
      </c>
      <c r="S391" s="40">
        <f t="shared" si="278"/>
        <v>0</v>
      </c>
      <c r="T391" s="40">
        <f t="shared" si="278"/>
        <v>0</v>
      </c>
      <c r="U391" s="40">
        <f t="shared" si="278"/>
        <v>0</v>
      </c>
      <c r="V391" s="40">
        <f t="shared" si="278"/>
        <v>0</v>
      </c>
      <c r="W391" s="40">
        <f t="shared" si="278"/>
        <v>0</v>
      </c>
      <c r="X391" s="40">
        <f t="shared" si="278"/>
        <v>0</v>
      </c>
      <c r="Y391" s="40">
        <f t="shared" si="278"/>
        <v>0</v>
      </c>
      <c r="Z391" s="39" t="s">
        <v>1115</v>
      </c>
      <c r="AA391" s="41" t="s">
        <v>1116</v>
      </c>
      <c r="AB391" s="42" t="s">
        <v>138</v>
      </c>
      <c r="AC391" s="42" t="s">
        <v>138</v>
      </c>
      <c r="AD391" s="43"/>
    </row>
    <row r="392" spans="1:30" ht="46.5" x14ac:dyDescent="0.25">
      <c r="A392" s="37" t="s">
        <v>1121</v>
      </c>
      <c r="B392" s="38" t="s">
        <v>1122</v>
      </c>
      <c r="C392" s="39"/>
      <c r="D392" s="39"/>
      <c r="E392" s="39"/>
      <c r="F392" s="44">
        <v>0</v>
      </c>
      <c r="G392" s="44">
        <v>0</v>
      </c>
      <c r="H392" s="44">
        <v>0</v>
      </c>
      <c r="I392" s="44">
        <v>0</v>
      </c>
      <c r="J392" s="44">
        <v>0</v>
      </c>
      <c r="K392" s="44">
        <v>0</v>
      </c>
      <c r="L392" s="44">
        <v>0</v>
      </c>
      <c r="M392" s="44">
        <v>0</v>
      </c>
      <c r="N392" s="44">
        <v>0</v>
      </c>
      <c r="O392" s="44">
        <v>0</v>
      </c>
      <c r="P392" s="44">
        <v>0</v>
      </c>
      <c r="Q392" s="44">
        <v>0</v>
      </c>
      <c r="R392" s="44">
        <v>0</v>
      </c>
      <c r="S392" s="44">
        <v>0</v>
      </c>
      <c r="T392" s="44">
        <v>0</v>
      </c>
      <c r="U392" s="44">
        <v>0</v>
      </c>
      <c r="V392" s="44">
        <v>0</v>
      </c>
      <c r="W392" s="44">
        <v>0</v>
      </c>
      <c r="X392" s="44">
        <v>0</v>
      </c>
      <c r="Y392" s="44">
        <v>0</v>
      </c>
      <c r="Z392" s="39"/>
      <c r="AA392" s="41"/>
      <c r="AB392" s="42"/>
      <c r="AC392" s="42"/>
      <c r="AD392" s="43"/>
    </row>
    <row r="393" spans="1:30" ht="46.5" x14ac:dyDescent="0.25">
      <c r="A393" s="37" t="s">
        <v>1123</v>
      </c>
      <c r="B393" s="38" t="s">
        <v>1124</v>
      </c>
      <c r="C393" s="39" t="s">
        <v>136</v>
      </c>
      <c r="D393" s="39" t="s">
        <v>805</v>
      </c>
      <c r="E393" s="39" t="s">
        <v>46</v>
      </c>
      <c r="F393" s="40">
        <f>SUM(F394:F394)+129644</f>
        <v>129644</v>
      </c>
      <c r="G393" s="40">
        <f>SUM(G394:G394)+129644</f>
        <v>129644</v>
      </c>
      <c r="H393" s="40">
        <f t="shared" ref="H393:O393" si="279">SUM(H394:H394)</f>
        <v>0</v>
      </c>
      <c r="I393" s="40">
        <f t="shared" si="279"/>
        <v>0</v>
      </c>
      <c r="J393" s="40">
        <f t="shared" si="279"/>
        <v>0</v>
      </c>
      <c r="K393" s="40">
        <f t="shared" si="279"/>
        <v>0</v>
      </c>
      <c r="L393" s="40">
        <f t="shared" si="279"/>
        <v>0</v>
      </c>
      <c r="M393" s="40">
        <f t="shared" si="279"/>
        <v>0</v>
      </c>
      <c r="N393" s="40">
        <f t="shared" si="279"/>
        <v>0</v>
      </c>
      <c r="O393" s="40">
        <f t="shared" si="279"/>
        <v>0</v>
      </c>
      <c r="P393" s="40">
        <f>SUM(P394:P394)+128737.17</f>
        <v>128737.17</v>
      </c>
      <c r="Q393" s="40">
        <f>SUM(Q394:Q394)+128737.17</f>
        <v>128737.17</v>
      </c>
      <c r="R393" s="40">
        <f t="shared" ref="R393:Y393" si="280">SUM(R394:R394)</f>
        <v>0</v>
      </c>
      <c r="S393" s="40">
        <f t="shared" si="280"/>
        <v>0</v>
      </c>
      <c r="T393" s="40">
        <f t="shared" si="280"/>
        <v>0</v>
      </c>
      <c r="U393" s="40">
        <f t="shared" si="280"/>
        <v>0</v>
      </c>
      <c r="V393" s="40">
        <f t="shared" si="280"/>
        <v>0</v>
      </c>
      <c r="W393" s="40">
        <f t="shared" si="280"/>
        <v>0</v>
      </c>
      <c r="X393" s="40">
        <f t="shared" si="280"/>
        <v>0</v>
      </c>
      <c r="Y393" s="40">
        <f t="shared" si="280"/>
        <v>0</v>
      </c>
      <c r="Z393" s="39" t="s">
        <v>1115</v>
      </c>
      <c r="AA393" s="41" t="s">
        <v>1116</v>
      </c>
      <c r="AB393" s="42" t="s">
        <v>225</v>
      </c>
      <c r="AC393" s="42" t="s">
        <v>225</v>
      </c>
      <c r="AD393" s="43"/>
    </row>
    <row r="394" spans="1:30" ht="46.5" x14ac:dyDescent="0.25">
      <c r="A394" s="37" t="s">
        <v>1125</v>
      </c>
      <c r="B394" s="38" t="s">
        <v>1126</v>
      </c>
      <c r="C394" s="39"/>
      <c r="D394" s="39"/>
      <c r="E394" s="39"/>
      <c r="F394" s="44">
        <v>0</v>
      </c>
      <c r="G394" s="44">
        <v>0</v>
      </c>
      <c r="H394" s="44">
        <v>0</v>
      </c>
      <c r="I394" s="44">
        <v>0</v>
      </c>
      <c r="J394" s="44">
        <v>0</v>
      </c>
      <c r="K394" s="44">
        <v>0</v>
      </c>
      <c r="L394" s="44">
        <v>0</v>
      </c>
      <c r="M394" s="44">
        <v>0</v>
      </c>
      <c r="N394" s="44">
        <v>0</v>
      </c>
      <c r="O394" s="44">
        <v>0</v>
      </c>
      <c r="P394" s="44">
        <v>0</v>
      </c>
      <c r="Q394" s="44">
        <v>0</v>
      </c>
      <c r="R394" s="44">
        <v>0</v>
      </c>
      <c r="S394" s="44">
        <v>0</v>
      </c>
      <c r="T394" s="44">
        <v>0</v>
      </c>
      <c r="U394" s="44">
        <v>0</v>
      </c>
      <c r="V394" s="44">
        <v>0</v>
      </c>
      <c r="W394" s="44">
        <v>0</v>
      </c>
      <c r="X394" s="44">
        <v>0</v>
      </c>
      <c r="Y394" s="44">
        <v>0</v>
      </c>
      <c r="Z394" s="39"/>
      <c r="AA394" s="41"/>
      <c r="AB394" s="42"/>
      <c r="AC394" s="42"/>
      <c r="AD394" s="43"/>
    </row>
    <row r="395" spans="1:30" ht="46.5" x14ac:dyDescent="0.25">
      <c r="A395" s="37" t="s">
        <v>1127</v>
      </c>
      <c r="B395" s="38" t="s">
        <v>1128</v>
      </c>
      <c r="C395" s="39" t="s">
        <v>810</v>
      </c>
      <c r="D395" s="39" t="s">
        <v>811</v>
      </c>
      <c r="E395" s="39" t="s">
        <v>46</v>
      </c>
      <c r="F395" s="40">
        <f>SUM(F396:F396)+107312</f>
        <v>107312</v>
      </c>
      <c r="G395" s="40">
        <f>SUM(G396:G396)+107312</f>
        <v>107312</v>
      </c>
      <c r="H395" s="40">
        <f t="shared" ref="H395:O395" si="281">SUM(H396:H396)</f>
        <v>0</v>
      </c>
      <c r="I395" s="40">
        <f t="shared" si="281"/>
        <v>0</v>
      </c>
      <c r="J395" s="40">
        <f t="shared" si="281"/>
        <v>0</v>
      </c>
      <c r="K395" s="40">
        <f t="shared" si="281"/>
        <v>0</v>
      </c>
      <c r="L395" s="40">
        <f t="shared" si="281"/>
        <v>0</v>
      </c>
      <c r="M395" s="40">
        <f t="shared" si="281"/>
        <v>0</v>
      </c>
      <c r="N395" s="40">
        <f t="shared" si="281"/>
        <v>0</v>
      </c>
      <c r="O395" s="40">
        <f t="shared" si="281"/>
        <v>0</v>
      </c>
      <c r="P395" s="40">
        <f>SUM(P396:P396)+107143.64</f>
        <v>107143.64</v>
      </c>
      <c r="Q395" s="40">
        <f>SUM(Q396:Q396)+107143.64</f>
        <v>107143.64</v>
      </c>
      <c r="R395" s="40">
        <f t="shared" ref="R395:Y395" si="282">SUM(R396:R396)</f>
        <v>0</v>
      </c>
      <c r="S395" s="40">
        <f t="shared" si="282"/>
        <v>0</v>
      </c>
      <c r="T395" s="40">
        <f t="shared" si="282"/>
        <v>0</v>
      </c>
      <c r="U395" s="40">
        <f t="shared" si="282"/>
        <v>0</v>
      </c>
      <c r="V395" s="40">
        <f t="shared" si="282"/>
        <v>0</v>
      </c>
      <c r="W395" s="40">
        <f t="shared" si="282"/>
        <v>0</v>
      </c>
      <c r="X395" s="40">
        <f t="shared" si="282"/>
        <v>0</v>
      </c>
      <c r="Y395" s="40">
        <f t="shared" si="282"/>
        <v>0</v>
      </c>
      <c r="Z395" s="39" t="s">
        <v>1115</v>
      </c>
      <c r="AA395" s="41" t="s">
        <v>1116</v>
      </c>
      <c r="AB395" s="42" t="s">
        <v>1129</v>
      </c>
      <c r="AC395" s="42" t="s">
        <v>1129</v>
      </c>
      <c r="AD395" s="43"/>
    </row>
    <row r="396" spans="1:30" ht="46.5" x14ac:dyDescent="0.25">
      <c r="A396" s="37" t="s">
        <v>1130</v>
      </c>
      <c r="B396" s="38" t="s">
        <v>1131</v>
      </c>
      <c r="C396" s="39"/>
      <c r="D396" s="39"/>
      <c r="E396" s="39"/>
      <c r="F396" s="44">
        <v>0</v>
      </c>
      <c r="G396" s="44">
        <v>0</v>
      </c>
      <c r="H396" s="44">
        <v>0</v>
      </c>
      <c r="I396" s="44">
        <v>0</v>
      </c>
      <c r="J396" s="44">
        <v>0</v>
      </c>
      <c r="K396" s="44">
        <v>0</v>
      </c>
      <c r="L396" s="44">
        <v>0</v>
      </c>
      <c r="M396" s="44">
        <v>0</v>
      </c>
      <c r="N396" s="44">
        <v>0</v>
      </c>
      <c r="O396" s="44">
        <v>0</v>
      </c>
      <c r="P396" s="44">
        <v>0</v>
      </c>
      <c r="Q396" s="44">
        <v>0</v>
      </c>
      <c r="R396" s="44">
        <v>0</v>
      </c>
      <c r="S396" s="44">
        <v>0</v>
      </c>
      <c r="T396" s="44">
        <v>0</v>
      </c>
      <c r="U396" s="44">
        <v>0</v>
      </c>
      <c r="V396" s="44">
        <v>0</v>
      </c>
      <c r="W396" s="44">
        <v>0</v>
      </c>
      <c r="X396" s="44">
        <v>0</v>
      </c>
      <c r="Y396" s="44">
        <v>0</v>
      </c>
      <c r="Z396" s="39"/>
      <c r="AA396" s="41"/>
      <c r="AB396" s="42"/>
      <c r="AC396" s="42"/>
      <c r="AD396" s="43"/>
    </row>
    <row r="397" spans="1:30" ht="46.5" x14ac:dyDescent="0.25">
      <c r="A397" s="37" t="s">
        <v>1132</v>
      </c>
      <c r="B397" s="38" t="s">
        <v>1133</v>
      </c>
      <c r="C397" s="39" t="s">
        <v>810</v>
      </c>
      <c r="D397" s="39" t="s">
        <v>816</v>
      </c>
      <c r="E397" s="39" t="s">
        <v>46</v>
      </c>
      <c r="F397" s="40">
        <f>SUM(F398:F398)+140610</f>
        <v>140610</v>
      </c>
      <c r="G397" s="40">
        <f>SUM(G398:G398)+140610</f>
        <v>140610</v>
      </c>
      <c r="H397" s="40">
        <f t="shared" ref="H397:O397" si="283">SUM(H398:H398)</f>
        <v>0</v>
      </c>
      <c r="I397" s="40">
        <f t="shared" si="283"/>
        <v>0</v>
      </c>
      <c r="J397" s="40">
        <f t="shared" si="283"/>
        <v>0</v>
      </c>
      <c r="K397" s="40">
        <f t="shared" si="283"/>
        <v>0</v>
      </c>
      <c r="L397" s="40">
        <f t="shared" si="283"/>
        <v>0</v>
      </c>
      <c r="M397" s="40">
        <f t="shared" si="283"/>
        <v>0</v>
      </c>
      <c r="N397" s="40">
        <f t="shared" si="283"/>
        <v>0</v>
      </c>
      <c r="O397" s="40">
        <f t="shared" si="283"/>
        <v>0</v>
      </c>
      <c r="P397" s="40">
        <f>SUM(P398:P398)+139876.55</f>
        <v>139876.54999999999</v>
      </c>
      <c r="Q397" s="40">
        <f>SUM(Q398:Q398)+139876.55</f>
        <v>139876.54999999999</v>
      </c>
      <c r="R397" s="40">
        <f t="shared" ref="R397:Y397" si="284">SUM(R398:R398)</f>
        <v>0</v>
      </c>
      <c r="S397" s="40">
        <f t="shared" si="284"/>
        <v>0</v>
      </c>
      <c r="T397" s="40">
        <f t="shared" si="284"/>
        <v>0</v>
      </c>
      <c r="U397" s="40">
        <f t="shared" si="284"/>
        <v>0</v>
      </c>
      <c r="V397" s="40">
        <f t="shared" si="284"/>
        <v>0</v>
      </c>
      <c r="W397" s="40">
        <f t="shared" si="284"/>
        <v>0</v>
      </c>
      <c r="X397" s="40">
        <f t="shared" si="284"/>
        <v>0</v>
      </c>
      <c r="Y397" s="40">
        <f t="shared" si="284"/>
        <v>0</v>
      </c>
      <c r="Z397" s="39" t="s">
        <v>1115</v>
      </c>
      <c r="AA397" s="41" t="s">
        <v>1116</v>
      </c>
      <c r="AB397" s="42" t="s">
        <v>1134</v>
      </c>
      <c r="AC397" s="42" t="s">
        <v>1134</v>
      </c>
      <c r="AD397" s="43"/>
    </row>
    <row r="398" spans="1:30" ht="46.5" x14ac:dyDescent="0.25">
      <c r="A398" s="37" t="s">
        <v>1135</v>
      </c>
      <c r="B398" s="38" t="s">
        <v>1136</v>
      </c>
      <c r="C398" s="39"/>
      <c r="D398" s="39"/>
      <c r="E398" s="39"/>
      <c r="F398" s="44">
        <v>0</v>
      </c>
      <c r="G398" s="44">
        <v>0</v>
      </c>
      <c r="H398" s="44">
        <v>0</v>
      </c>
      <c r="I398" s="44">
        <v>0</v>
      </c>
      <c r="J398" s="44">
        <v>0</v>
      </c>
      <c r="K398" s="44">
        <v>0</v>
      </c>
      <c r="L398" s="44">
        <v>0</v>
      </c>
      <c r="M398" s="44">
        <v>0</v>
      </c>
      <c r="N398" s="44">
        <v>0</v>
      </c>
      <c r="O398" s="44">
        <v>0</v>
      </c>
      <c r="P398" s="44">
        <v>0</v>
      </c>
      <c r="Q398" s="44">
        <v>0</v>
      </c>
      <c r="R398" s="44">
        <v>0</v>
      </c>
      <c r="S398" s="44">
        <v>0</v>
      </c>
      <c r="T398" s="44">
        <v>0</v>
      </c>
      <c r="U398" s="44">
        <v>0</v>
      </c>
      <c r="V398" s="44">
        <v>0</v>
      </c>
      <c r="W398" s="44">
        <v>0</v>
      </c>
      <c r="X398" s="44">
        <v>0</v>
      </c>
      <c r="Y398" s="44">
        <v>0</v>
      </c>
      <c r="Z398" s="39"/>
      <c r="AA398" s="41"/>
      <c r="AB398" s="42"/>
      <c r="AC398" s="42"/>
      <c r="AD398" s="43"/>
    </row>
    <row r="399" spans="1:30" ht="46.5" x14ac:dyDescent="0.25">
      <c r="A399" s="37" t="s">
        <v>1137</v>
      </c>
      <c r="B399" s="38" t="s">
        <v>1138</v>
      </c>
      <c r="C399" s="39" t="s">
        <v>149</v>
      </c>
      <c r="D399" s="39" t="s">
        <v>821</v>
      </c>
      <c r="E399" s="39" t="s">
        <v>46</v>
      </c>
      <c r="F399" s="40">
        <f>SUM(F400:F400)+227455</f>
        <v>227455</v>
      </c>
      <c r="G399" s="40">
        <f>SUM(G400:G400)+227455</f>
        <v>227455</v>
      </c>
      <c r="H399" s="40">
        <f t="shared" ref="H399:O399" si="285">SUM(H400:H400)</f>
        <v>0</v>
      </c>
      <c r="I399" s="40">
        <f t="shared" si="285"/>
        <v>0</v>
      </c>
      <c r="J399" s="40">
        <f t="shared" si="285"/>
        <v>0</v>
      </c>
      <c r="K399" s="40">
        <f t="shared" si="285"/>
        <v>0</v>
      </c>
      <c r="L399" s="40">
        <f t="shared" si="285"/>
        <v>0</v>
      </c>
      <c r="M399" s="40">
        <f t="shared" si="285"/>
        <v>0</v>
      </c>
      <c r="N399" s="40">
        <f t="shared" si="285"/>
        <v>0</v>
      </c>
      <c r="O399" s="40">
        <f t="shared" si="285"/>
        <v>0</v>
      </c>
      <c r="P399" s="40">
        <f>SUM(P400:P400)+227045.73</f>
        <v>227045.73</v>
      </c>
      <c r="Q399" s="40">
        <f>SUM(Q400:Q400)+227045.73</f>
        <v>227045.73</v>
      </c>
      <c r="R399" s="40">
        <f t="shared" ref="R399:Y399" si="286">SUM(R400:R400)</f>
        <v>0</v>
      </c>
      <c r="S399" s="40">
        <f t="shared" si="286"/>
        <v>0</v>
      </c>
      <c r="T399" s="40">
        <f t="shared" si="286"/>
        <v>0</v>
      </c>
      <c r="U399" s="40">
        <f t="shared" si="286"/>
        <v>0</v>
      </c>
      <c r="V399" s="40">
        <f t="shared" si="286"/>
        <v>0</v>
      </c>
      <c r="W399" s="40">
        <f t="shared" si="286"/>
        <v>0</v>
      </c>
      <c r="X399" s="40">
        <f t="shared" si="286"/>
        <v>0</v>
      </c>
      <c r="Y399" s="40">
        <f t="shared" si="286"/>
        <v>0</v>
      </c>
      <c r="Z399" s="39" t="s">
        <v>1115</v>
      </c>
      <c r="AA399" s="41" t="s">
        <v>1116</v>
      </c>
      <c r="AB399" s="42" t="s">
        <v>197</v>
      </c>
      <c r="AC399" s="42" t="s">
        <v>197</v>
      </c>
      <c r="AD399" s="43"/>
    </row>
    <row r="400" spans="1:30" ht="46.5" x14ac:dyDescent="0.25">
      <c r="A400" s="37" t="s">
        <v>1139</v>
      </c>
      <c r="B400" s="38" t="s">
        <v>1140</v>
      </c>
      <c r="C400" s="39"/>
      <c r="D400" s="39"/>
      <c r="E400" s="39"/>
      <c r="F400" s="44">
        <v>0</v>
      </c>
      <c r="G400" s="44">
        <v>0</v>
      </c>
      <c r="H400" s="44">
        <v>0</v>
      </c>
      <c r="I400" s="44">
        <v>0</v>
      </c>
      <c r="J400" s="44">
        <v>0</v>
      </c>
      <c r="K400" s="44">
        <v>0</v>
      </c>
      <c r="L400" s="44">
        <v>0</v>
      </c>
      <c r="M400" s="44">
        <v>0</v>
      </c>
      <c r="N400" s="44">
        <v>0</v>
      </c>
      <c r="O400" s="44">
        <v>0</v>
      </c>
      <c r="P400" s="44">
        <v>0</v>
      </c>
      <c r="Q400" s="44">
        <v>0</v>
      </c>
      <c r="R400" s="44">
        <v>0</v>
      </c>
      <c r="S400" s="44">
        <v>0</v>
      </c>
      <c r="T400" s="44">
        <v>0</v>
      </c>
      <c r="U400" s="44">
        <v>0</v>
      </c>
      <c r="V400" s="44">
        <v>0</v>
      </c>
      <c r="W400" s="44">
        <v>0</v>
      </c>
      <c r="X400" s="44">
        <v>0</v>
      </c>
      <c r="Y400" s="44">
        <v>0</v>
      </c>
      <c r="Z400" s="39"/>
      <c r="AA400" s="41"/>
      <c r="AB400" s="42"/>
      <c r="AC400" s="42"/>
      <c r="AD400" s="43"/>
    </row>
    <row r="401" spans="1:30" ht="46.5" x14ac:dyDescent="0.25">
      <c r="A401" s="37" t="s">
        <v>1141</v>
      </c>
      <c r="B401" s="38" t="s">
        <v>1142</v>
      </c>
      <c r="C401" s="39" t="s">
        <v>156</v>
      </c>
      <c r="D401" s="39" t="s">
        <v>826</v>
      </c>
      <c r="E401" s="39" t="s">
        <v>46</v>
      </c>
      <c r="F401" s="40">
        <f>SUM(F402:F402)+139968</f>
        <v>139968</v>
      </c>
      <c r="G401" s="40">
        <f>SUM(G402:G402)+139968</f>
        <v>139968</v>
      </c>
      <c r="H401" s="40">
        <f t="shared" ref="H401:O401" si="287">SUM(H402:H402)</f>
        <v>0</v>
      </c>
      <c r="I401" s="40">
        <f t="shared" si="287"/>
        <v>0</v>
      </c>
      <c r="J401" s="40">
        <f t="shared" si="287"/>
        <v>0</v>
      </c>
      <c r="K401" s="40">
        <f t="shared" si="287"/>
        <v>0</v>
      </c>
      <c r="L401" s="40">
        <f t="shared" si="287"/>
        <v>0</v>
      </c>
      <c r="M401" s="40">
        <f t="shared" si="287"/>
        <v>0</v>
      </c>
      <c r="N401" s="40">
        <f t="shared" si="287"/>
        <v>0</v>
      </c>
      <c r="O401" s="40">
        <f t="shared" si="287"/>
        <v>0</v>
      </c>
      <c r="P401" s="40">
        <f>SUM(P402:P402)+139951.8</f>
        <v>139951.79999999999</v>
      </c>
      <c r="Q401" s="40">
        <f>SUM(Q402:Q402)+139951.8</f>
        <v>139951.79999999999</v>
      </c>
      <c r="R401" s="40">
        <f t="shared" ref="R401:Y401" si="288">SUM(R402:R402)</f>
        <v>0</v>
      </c>
      <c r="S401" s="40">
        <f t="shared" si="288"/>
        <v>0</v>
      </c>
      <c r="T401" s="40">
        <f t="shared" si="288"/>
        <v>0</v>
      </c>
      <c r="U401" s="40">
        <f t="shared" si="288"/>
        <v>0</v>
      </c>
      <c r="V401" s="40">
        <f t="shared" si="288"/>
        <v>0</v>
      </c>
      <c r="W401" s="40">
        <f t="shared" si="288"/>
        <v>0</v>
      </c>
      <c r="X401" s="40">
        <f t="shared" si="288"/>
        <v>0</v>
      </c>
      <c r="Y401" s="40">
        <f t="shared" si="288"/>
        <v>0</v>
      </c>
      <c r="Z401" s="39" t="s">
        <v>1115</v>
      </c>
      <c r="AA401" s="41" t="s">
        <v>1116</v>
      </c>
      <c r="AB401" s="42" t="s">
        <v>1143</v>
      </c>
      <c r="AC401" s="42" t="s">
        <v>1143</v>
      </c>
      <c r="AD401" s="43"/>
    </row>
    <row r="402" spans="1:30" ht="46.5" x14ac:dyDescent="0.25">
      <c r="A402" s="37" t="s">
        <v>1144</v>
      </c>
      <c r="B402" s="38" t="s">
        <v>1145</v>
      </c>
      <c r="C402" s="39"/>
      <c r="D402" s="39"/>
      <c r="E402" s="39"/>
      <c r="F402" s="44">
        <v>0</v>
      </c>
      <c r="G402" s="44">
        <v>0</v>
      </c>
      <c r="H402" s="44">
        <v>0</v>
      </c>
      <c r="I402" s="44">
        <v>0</v>
      </c>
      <c r="J402" s="44">
        <v>0</v>
      </c>
      <c r="K402" s="44">
        <v>0</v>
      </c>
      <c r="L402" s="44">
        <v>0</v>
      </c>
      <c r="M402" s="44">
        <v>0</v>
      </c>
      <c r="N402" s="44">
        <v>0</v>
      </c>
      <c r="O402" s="44">
        <v>0</v>
      </c>
      <c r="P402" s="44">
        <v>0</v>
      </c>
      <c r="Q402" s="44">
        <v>0</v>
      </c>
      <c r="R402" s="44">
        <v>0</v>
      </c>
      <c r="S402" s="44">
        <v>0</v>
      </c>
      <c r="T402" s="44">
        <v>0</v>
      </c>
      <c r="U402" s="44">
        <v>0</v>
      </c>
      <c r="V402" s="44">
        <v>0</v>
      </c>
      <c r="W402" s="44">
        <v>0</v>
      </c>
      <c r="X402" s="44">
        <v>0</v>
      </c>
      <c r="Y402" s="44">
        <v>0</v>
      </c>
      <c r="Z402" s="39"/>
      <c r="AA402" s="41"/>
      <c r="AB402" s="42"/>
      <c r="AC402" s="42"/>
      <c r="AD402" s="43"/>
    </row>
    <row r="403" spans="1:30" ht="46.5" x14ac:dyDescent="0.25">
      <c r="A403" s="37" t="s">
        <v>1146</v>
      </c>
      <c r="B403" s="38" t="s">
        <v>1147</v>
      </c>
      <c r="C403" s="39" t="s">
        <v>831</v>
      </c>
      <c r="D403" s="39" t="s">
        <v>832</v>
      </c>
      <c r="E403" s="39" t="s">
        <v>46</v>
      </c>
      <c r="F403" s="40">
        <f>SUM(F404:F404)+162168</f>
        <v>162168</v>
      </c>
      <c r="G403" s="40">
        <f>SUM(G404:G404)+162168</f>
        <v>162168</v>
      </c>
      <c r="H403" s="40">
        <f t="shared" ref="H403:O403" si="289">SUM(H404:H404)</f>
        <v>0</v>
      </c>
      <c r="I403" s="40">
        <f t="shared" si="289"/>
        <v>0</v>
      </c>
      <c r="J403" s="40">
        <f t="shared" si="289"/>
        <v>0</v>
      </c>
      <c r="K403" s="40">
        <f t="shared" si="289"/>
        <v>0</v>
      </c>
      <c r="L403" s="40">
        <f t="shared" si="289"/>
        <v>0</v>
      </c>
      <c r="M403" s="40">
        <f t="shared" si="289"/>
        <v>0</v>
      </c>
      <c r="N403" s="40">
        <f t="shared" si="289"/>
        <v>0</v>
      </c>
      <c r="O403" s="40">
        <f t="shared" si="289"/>
        <v>0</v>
      </c>
      <c r="P403" s="40">
        <f>SUM(P404:P404)+160723.99</f>
        <v>160723.99</v>
      </c>
      <c r="Q403" s="40">
        <f>SUM(Q404:Q404)+160723.99</f>
        <v>160723.99</v>
      </c>
      <c r="R403" s="40">
        <f t="shared" ref="R403:Y403" si="290">SUM(R404:R404)</f>
        <v>0</v>
      </c>
      <c r="S403" s="40">
        <f t="shared" si="290"/>
        <v>0</v>
      </c>
      <c r="T403" s="40">
        <f t="shared" si="290"/>
        <v>0</v>
      </c>
      <c r="U403" s="40">
        <f t="shared" si="290"/>
        <v>0</v>
      </c>
      <c r="V403" s="40">
        <f t="shared" si="290"/>
        <v>0</v>
      </c>
      <c r="W403" s="40">
        <f t="shared" si="290"/>
        <v>0</v>
      </c>
      <c r="X403" s="40">
        <f t="shared" si="290"/>
        <v>0</v>
      </c>
      <c r="Y403" s="40">
        <f t="shared" si="290"/>
        <v>0</v>
      </c>
      <c r="Z403" s="39" t="s">
        <v>1115</v>
      </c>
      <c r="AA403" s="41" t="s">
        <v>1116</v>
      </c>
      <c r="AB403" s="42" t="s">
        <v>1148</v>
      </c>
      <c r="AC403" s="42" t="s">
        <v>1148</v>
      </c>
      <c r="AD403" s="43"/>
    </row>
    <row r="404" spans="1:30" ht="46.5" x14ac:dyDescent="0.25">
      <c r="A404" s="37" t="s">
        <v>1149</v>
      </c>
      <c r="B404" s="38" t="s">
        <v>1150</v>
      </c>
      <c r="C404" s="39"/>
      <c r="D404" s="39"/>
      <c r="E404" s="39"/>
      <c r="F404" s="44">
        <v>0</v>
      </c>
      <c r="G404" s="44">
        <v>0</v>
      </c>
      <c r="H404" s="44">
        <v>0</v>
      </c>
      <c r="I404" s="44">
        <v>0</v>
      </c>
      <c r="J404" s="44">
        <v>0</v>
      </c>
      <c r="K404" s="44">
        <v>0</v>
      </c>
      <c r="L404" s="44">
        <v>0</v>
      </c>
      <c r="M404" s="44">
        <v>0</v>
      </c>
      <c r="N404" s="44">
        <v>0</v>
      </c>
      <c r="O404" s="44">
        <v>0</v>
      </c>
      <c r="P404" s="44">
        <v>0</v>
      </c>
      <c r="Q404" s="44">
        <v>0</v>
      </c>
      <c r="R404" s="44">
        <v>0</v>
      </c>
      <c r="S404" s="44">
        <v>0</v>
      </c>
      <c r="T404" s="44">
        <v>0</v>
      </c>
      <c r="U404" s="44">
        <v>0</v>
      </c>
      <c r="V404" s="44">
        <v>0</v>
      </c>
      <c r="W404" s="44">
        <v>0</v>
      </c>
      <c r="X404" s="44">
        <v>0</v>
      </c>
      <c r="Y404" s="44">
        <v>0</v>
      </c>
      <c r="Z404" s="39"/>
      <c r="AA404" s="41"/>
      <c r="AB404" s="42"/>
      <c r="AC404" s="42"/>
      <c r="AD404" s="43"/>
    </row>
    <row r="405" spans="1:30" ht="46.5" x14ac:dyDescent="0.25">
      <c r="A405" s="37" t="s">
        <v>1151</v>
      </c>
      <c r="B405" s="38" t="s">
        <v>1152</v>
      </c>
      <c r="C405" s="39" t="s">
        <v>837</v>
      </c>
      <c r="D405" s="39" t="s">
        <v>838</v>
      </c>
      <c r="E405" s="39" t="s">
        <v>46</v>
      </c>
      <c r="F405" s="40">
        <f>SUM(F406:F406)+101969</f>
        <v>101969</v>
      </c>
      <c r="G405" s="40">
        <f>SUM(G406:G406)+101969</f>
        <v>101969</v>
      </c>
      <c r="H405" s="40">
        <f t="shared" ref="H405:O405" si="291">SUM(H406:H406)</f>
        <v>0</v>
      </c>
      <c r="I405" s="40">
        <f t="shared" si="291"/>
        <v>0</v>
      </c>
      <c r="J405" s="40">
        <f t="shared" si="291"/>
        <v>0</v>
      </c>
      <c r="K405" s="40">
        <f t="shared" si="291"/>
        <v>0</v>
      </c>
      <c r="L405" s="40">
        <f t="shared" si="291"/>
        <v>0</v>
      </c>
      <c r="M405" s="40">
        <f t="shared" si="291"/>
        <v>0</v>
      </c>
      <c r="N405" s="40">
        <f t="shared" si="291"/>
        <v>0</v>
      </c>
      <c r="O405" s="40">
        <f t="shared" si="291"/>
        <v>0</v>
      </c>
      <c r="P405" s="40">
        <f>SUM(P406:P406)+100949.22</f>
        <v>100949.22</v>
      </c>
      <c r="Q405" s="40">
        <f>SUM(Q406:Q406)+100949.22</f>
        <v>100949.22</v>
      </c>
      <c r="R405" s="40">
        <f t="shared" ref="R405:Y405" si="292">SUM(R406:R406)</f>
        <v>0</v>
      </c>
      <c r="S405" s="40">
        <f t="shared" si="292"/>
        <v>0</v>
      </c>
      <c r="T405" s="40">
        <f t="shared" si="292"/>
        <v>0</v>
      </c>
      <c r="U405" s="40">
        <f t="shared" si="292"/>
        <v>0</v>
      </c>
      <c r="V405" s="40">
        <f t="shared" si="292"/>
        <v>0</v>
      </c>
      <c r="W405" s="40">
        <f t="shared" si="292"/>
        <v>0</v>
      </c>
      <c r="X405" s="40">
        <f t="shared" si="292"/>
        <v>0</v>
      </c>
      <c r="Y405" s="40">
        <f t="shared" si="292"/>
        <v>0</v>
      </c>
      <c r="Z405" s="39" t="s">
        <v>1115</v>
      </c>
      <c r="AA405" s="41" t="s">
        <v>1116</v>
      </c>
      <c r="AB405" s="42" t="s">
        <v>1153</v>
      </c>
      <c r="AC405" s="42" t="s">
        <v>1153</v>
      </c>
      <c r="AD405" s="43"/>
    </row>
    <row r="406" spans="1:30" ht="46.5" x14ac:dyDescent="0.25">
      <c r="A406" s="37" t="s">
        <v>1154</v>
      </c>
      <c r="B406" s="38" t="s">
        <v>1155</v>
      </c>
      <c r="C406" s="39"/>
      <c r="D406" s="39"/>
      <c r="E406" s="39"/>
      <c r="F406" s="44">
        <v>0</v>
      </c>
      <c r="G406" s="44">
        <v>0</v>
      </c>
      <c r="H406" s="44">
        <v>0</v>
      </c>
      <c r="I406" s="44">
        <v>0</v>
      </c>
      <c r="J406" s="44">
        <v>0</v>
      </c>
      <c r="K406" s="44">
        <v>0</v>
      </c>
      <c r="L406" s="44">
        <v>0</v>
      </c>
      <c r="M406" s="44">
        <v>0</v>
      </c>
      <c r="N406" s="44">
        <v>0</v>
      </c>
      <c r="O406" s="44">
        <v>0</v>
      </c>
      <c r="P406" s="44">
        <v>0</v>
      </c>
      <c r="Q406" s="44">
        <v>0</v>
      </c>
      <c r="R406" s="44">
        <v>0</v>
      </c>
      <c r="S406" s="44">
        <v>0</v>
      </c>
      <c r="T406" s="44">
        <v>0</v>
      </c>
      <c r="U406" s="44">
        <v>0</v>
      </c>
      <c r="V406" s="44">
        <v>0</v>
      </c>
      <c r="W406" s="44">
        <v>0</v>
      </c>
      <c r="X406" s="44">
        <v>0</v>
      </c>
      <c r="Y406" s="44">
        <v>0</v>
      </c>
      <c r="Z406" s="39"/>
      <c r="AA406" s="41"/>
      <c r="AB406" s="42"/>
      <c r="AC406" s="42"/>
      <c r="AD406" s="43"/>
    </row>
    <row r="407" spans="1:30" ht="46.5" x14ac:dyDescent="0.25">
      <c r="A407" s="37" t="s">
        <v>1156</v>
      </c>
      <c r="B407" s="38" t="s">
        <v>1157</v>
      </c>
      <c r="C407" s="39" t="s">
        <v>843</v>
      </c>
      <c r="D407" s="39" t="s">
        <v>844</v>
      </c>
      <c r="E407" s="39" t="s">
        <v>46</v>
      </c>
      <c r="F407" s="40">
        <f>SUM(F408:F408)+102146</f>
        <v>102146</v>
      </c>
      <c r="G407" s="40">
        <f>SUM(G408:G408)+102146</f>
        <v>102146</v>
      </c>
      <c r="H407" s="40">
        <f t="shared" ref="H407:O407" si="293">SUM(H408:H408)</f>
        <v>0</v>
      </c>
      <c r="I407" s="40">
        <f t="shared" si="293"/>
        <v>0</v>
      </c>
      <c r="J407" s="40">
        <f t="shared" si="293"/>
        <v>0</v>
      </c>
      <c r="K407" s="40">
        <f t="shared" si="293"/>
        <v>0</v>
      </c>
      <c r="L407" s="40">
        <f t="shared" si="293"/>
        <v>0</v>
      </c>
      <c r="M407" s="40">
        <f t="shared" si="293"/>
        <v>0</v>
      </c>
      <c r="N407" s="40">
        <f t="shared" si="293"/>
        <v>0</v>
      </c>
      <c r="O407" s="40">
        <f t="shared" si="293"/>
        <v>0</v>
      </c>
      <c r="P407" s="40">
        <f>SUM(P408:P408)+102132.33</f>
        <v>102132.33</v>
      </c>
      <c r="Q407" s="40">
        <f>SUM(Q408:Q408)+102132.33</f>
        <v>102132.33</v>
      </c>
      <c r="R407" s="40">
        <f t="shared" ref="R407:Y407" si="294">SUM(R408:R408)</f>
        <v>0</v>
      </c>
      <c r="S407" s="40">
        <f t="shared" si="294"/>
        <v>0</v>
      </c>
      <c r="T407" s="40">
        <f t="shared" si="294"/>
        <v>0</v>
      </c>
      <c r="U407" s="40">
        <f t="shared" si="294"/>
        <v>0</v>
      </c>
      <c r="V407" s="40">
        <f t="shared" si="294"/>
        <v>0</v>
      </c>
      <c r="W407" s="40">
        <f t="shared" si="294"/>
        <v>0</v>
      </c>
      <c r="X407" s="40">
        <f t="shared" si="294"/>
        <v>0</v>
      </c>
      <c r="Y407" s="40">
        <f t="shared" si="294"/>
        <v>0</v>
      </c>
      <c r="Z407" s="39" t="s">
        <v>1115</v>
      </c>
      <c r="AA407" s="41" t="s">
        <v>1116</v>
      </c>
      <c r="AB407" s="42" t="s">
        <v>299</v>
      </c>
      <c r="AC407" s="42" t="s">
        <v>299</v>
      </c>
      <c r="AD407" s="43"/>
    </row>
    <row r="408" spans="1:30" ht="46.5" x14ac:dyDescent="0.25">
      <c r="A408" s="37" t="s">
        <v>1158</v>
      </c>
      <c r="B408" s="38" t="s">
        <v>1159</v>
      </c>
      <c r="C408" s="39"/>
      <c r="D408" s="39"/>
      <c r="E408" s="39"/>
      <c r="F408" s="44">
        <v>0</v>
      </c>
      <c r="G408" s="44">
        <v>0</v>
      </c>
      <c r="H408" s="44">
        <v>0</v>
      </c>
      <c r="I408" s="44">
        <v>0</v>
      </c>
      <c r="J408" s="44">
        <v>0</v>
      </c>
      <c r="K408" s="44">
        <v>0</v>
      </c>
      <c r="L408" s="44">
        <v>0</v>
      </c>
      <c r="M408" s="44">
        <v>0</v>
      </c>
      <c r="N408" s="44">
        <v>0</v>
      </c>
      <c r="O408" s="44">
        <v>0</v>
      </c>
      <c r="P408" s="44">
        <v>0</v>
      </c>
      <c r="Q408" s="44">
        <v>0</v>
      </c>
      <c r="R408" s="44">
        <v>0</v>
      </c>
      <c r="S408" s="44">
        <v>0</v>
      </c>
      <c r="T408" s="44">
        <v>0</v>
      </c>
      <c r="U408" s="44">
        <v>0</v>
      </c>
      <c r="V408" s="44">
        <v>0</v>
      </c>
      <c r="W408" s="44">
        <v>0</v>
      </c>
      <c r="X408" s="44">
        <v>0</v>
      </c>
      <c r="Y408" s="44">
        <v>0</v>
      </c>
      <c r="Z408" s="39"/>
      <c r="AA408" s="41"/>
      <c r="AB408" s="42"/>
      <c r="AC408" s="42"/>
      <c r="AD408" s="43"/>
    </row>
    <row r="409" spans="1:30" ht="46.5" x14ac:dyDescent="0.25">
      <c r="A409" s="37" t="s">
        <v>1160</v>
      </c>
      <c r="B409" s="38" t="s">
        <v>1161</v>
      </c>
      <c r="C409" s="39" t="s">
        <v>851</v>
      </c>
      <c r="D409" s="39" t="s">
        <v>852</v>
      </c>
      <c r="E409" s="39" t="s">
        <v>46</v>
      </c>
      <c r="F409" s="40">
        <f>SUM(F410:F410)+83754</f>
        <v>83754</v>
      </c>
      <c r="G409" s="40">
        <f>SUM(G410:G410)+83754</f>
        <v>83754</v>
      </c>
      <c r="H409" s="40">
        <f t="shared" ref="H409:O409" si="295">SUM(H410:H410)</f>
        <v>0</v>
      </c>
      <c r="I409" s="40">
        <f t="shared" si="295"/>
        <v>0</v>
      </c>
      <c r="J409" s="40">
        <f t="shared" si="295"/>
        <v>0</v>
      </c>
      <c r="K409" s="40">
        <f t="shared" si="295"/>
        <v>0</v>
      </c>
      <c r="L409" s="40">
        <f t="shared" si="295"/>
        <v>0</v>
      </c>
      <c r="M409" s="40">
        <f t="shared" si="295"/>
        <v>0</v>
      </c>
      <c r="N409" s="40">
        <f t="shared" si="295"/>
        <v>0</v>
      </c>
      <c r="O409" s="40">
        <f t="shared" si="295"/>
        <v>0</v>
      </c>
      <c r="P409" s="40">
        <f>SUM(P410:P410)+83675.73</f>
        <v>83675.73</v>
      </c>
      <c r="Q409" s="40">
        <f>SUM(Q410:Q410)+83675.73</f>
        <v>83675.73</v>
      </c>
      <c r="R409" s="40">
        <f t="shared" ref="R409:Y409" si="296">SUM(R410:R410)</f>
        <v>0</v>
      </c>
      <c r="S409" s="40">
        <f t="shared" si="296"/>
        <v>0</v>
      </c>
      <c r="T409" s="40">
        <f t="shared" si="296"/>
        <v>0</v>
      </c>
      <c r="U409" s="40">
        <f t="shared" si="296"/>
        <v>0</v>
      </c>
      <c r="V409" s="40">
        <f t="shared" si="296"/>
        <v>0</v>
      </c>
      <c r="W409" s="40">
        <f t="shared" si="296"/>
        <v>0</v>
      </c>
      <c r="X409" s="40">
        <f t="shared" si="296"/>
        <v>0</v>
      </c>
      <c r="Y409" s="40">
        <f t="shared" si="296"/>
        <v>0</v>
      </c>
      <c r="Z409" s="39" t="s">
        <v>1115</v>
      </c>
      <c r="AA409" s="41" t="s">
        <v>1116</v>
      </c>
      <c r="AB409" s="42" t="s">
        <v>1162</v>
      </c>
      <c r="AC409" s="42" t="s">
        <v>1162</v>
      </c>
      <c r="AD409" s="43"/>
    </row>
    <row r="410" spans="1:30" ht="46.5" x14ac:dyDescent="0.25">
      <c r="A410" s="37" t="s">
        <v>1163</v>
      </c>
      <c r="B410" s="38" t="s">
        <v>1164</v>
      </c>
      <c r="C410" s="39"/>
      <c r="D410" s="39"/>
      <c r="E410" s="39"/>
      <c r="F410" s="44">
        <v>0</v>
      </c>
      <c r="G410" s="44">
        <v>0</v>
      </c>
      <c r="H410" s="44">
        <v>0</v>
      </c>
      <c r="I410" s="44">
        <v>0</v>
      </c>
      <c r="J410" s="44">
        <v>0</v>
      </c>
      <c r="K410" s="44">
        <v>0</v>
      </c>
      <c r="L410" s="44">
        <v>0</v>
      </c>
      <c r="M410" s="44">
        <v>0</v>
      </c>
      <c r="N410" s="44">
        <v>0</v>
      </c>
      <c r="O410" s="44">
        <v>0</v>
      </c>
      <c r="P410" s="44">
        <v>0</v>
      </c>
      <c r="Q410" s="44">
        <v>0</v>
      </c>
      <c r="R410" s="44">
        <v>0</v>
      </c>
      <c r="S410" s="44">
        <v>0</v>
      </c>
      <c r="T410" s="44">
        <v>0</v>
      </c>
      <c r="U410" s="44">
        <v>0</v>
      </c>
      <c r="V410" s="44">
        <v>0</v>
      </c>
      <c r="W410" s="44">
        <v>0</v>
      </c>
      <c r="X410" s="44">
        <v>0</v>
      </c>
      <c r="Y410" s="44">
        <v>0</v>
      </c>
      <c r="Z410" s="39"/>
      <c r="AA410" s="41"/>
      <c r="AB410" s="42"/>
      <c r="AC410" s="42"/>
      <c r="AD410" s="43"/>
    </row>
    <row r="411" spans="1:30" ht="46.5" x14ac:dyDescent="0.25">
      <c r="A411" s="37" t="s">
        <v>1165</v>
      </c>
      <c r="B411" s="38" t="s">
        <v>1166</v>
      </c>
      <c r="C411" s="39" t="s">
        <v>161</v>
      </c>
      <c r="D411" s="39" t="s">
        <v>857</v>
      </c>
      <c r="E411" s="39" t="s">
        <v>46</v>
      </c>
      <c r="F411" s="40">
        <f>SUM(F412:F412)+113675</f>
        <v>113675</v>
      </c>
      <c r="G411" s="40">
        <f>SUM(G412:G412)+113675</f>
        <v>113675</v>
      </c>
      <c r="H411" s="40">
        <f t="shared" ref="H411:O411" si="297">SUM(H412:H412)</f>
        <v>0</v>
      </c>
      <c r="I411" s="40">
        <f t="shared" si="297"/>
        <v>0</v>
      </c>
      <c r="J411" s="40">
        <f t="shared" si="297"/>
        <v>0</v>
      </c>
      <c r="K411" s="40">
        <f t="shared" si="297"/>
        <v>0</v>
      </c>
      <c r="L411" s="40">
        <f t="shared" si="297"/>
        <v>0</v>
      </c>
      <c r="M411" s="40">
        <f t="shared" si="297"/>
        <v>0</v>
      </c>
      <c r="N411" s="40">
        <f t="shared" si="297"/>
        <v>0</v>
      </c>
      <c r="O411" s="40">
        <f t="shared" si="297"/>
        <v>0</v>
      </c>
      <c r="P411" s="40">
        <f>SUM(P412:P412)+113649.85</f>
        <v>113649.85</v>
      </c>
      <c r="Q411" s="40">
        <f>SUM(Q412:Q412)+113649.85</f>
        <v>113649.85</v>
      </c>
      <c r="R411" s="40">
        <f t="shared" ref="R411:Y411" si="298">SUM(R412:R412)</f>
        <v>0</v>
      </c>
      <c r="S411" s="40">
        <f t="shared" si="298"/>
        <v>0</v>
      </c>
      <c r="T411" s="40">
        <f t="shared" si="298"/>
        <v>0</v>
      </c>
      <c r="U411" s="40">
        <f t="shared" si="298"/>
        <v>0</v>
      </c>
      <c r="V411" s="40">
        <f t="shared" si="298"/>
        <v>0</v>
      </c>
      <c r="W411" s="40">
        <f t="shared" si="298"/>
        <v>0</v>
      </c>
      <c r="X411" s="40">
        <f t="shared" si="298"/>
        <v>0</v>
      </c>
      <c r="Y411" s="40">
        <f t="shared" si="298"/>
        <v>0</v>
      </c>
      <c r="Z411" s="39" t="s">
        <v>1115</v>
      </c>
      <c r="AA411" s="41" t="s">
        <v>1116</v>
      </c>
      <c r="AB411" s="42" t="s">
        <v>150</v>
      </c>
      <c r="AC411" s="42" t="s">
        <v>150</v>
      </c>
      <c r="AD411" s="43"/>
    </row>
    <row r="412" spans="1:30" ht="46.5" x14ac:dyDescent="0.25">
      <c r="A412" s="37" t="s">
        <v>1167</v>
      </c>
      <c r="B412" s="38" t="s">
        <v>1168</v>
      </c>
      <c r="C412" s="39"/>
      <c r="D412" s="39"/>
      <c r="E412" s="39"/>
      <c r="F412" s="44">
        <v>0</v>
      </c>
      <c r="G412" s="44">
        <v>0</v>
      </c>
      <c r="H412" s="44">
        <v>0</v>
      </c>
      <c r="I412" s="44">
        <v>0</v>
      </c>
      <c r="J412" s="44">
        <v>0</v>
      </c>
      <c r="K412" s="44">
        <v>0</v>
      </c>
      <c r="L412" s="44">
        <v>0</v>
      </c>
      <c r="M412" s="44">
        <v>0</v>
      </c>
      <c r="N412" s="44">
        <v>0</v>
      </c>
      <c r="O412" s="44">
        <v>0</v>
      </c>
      <c r="P412" s="44">
        <v>0</v>
      </c>
      <c r="Q412" s="44">
        <v>0</v>
      </c>
      <c r="R412" s="44">
        <v>0</v>
      </c>
      <c r="S412" s="44">
        <v>0</v>
      </c>
      <c r="T412" s="44">
        <v>0</v>
      </c>
      <c r="U412" s="44">
        <v>0</v>
      </c>
      <c r="V412" s="44">
        <v>0</v>
      </c>
      <c r="W412" s="44">
        <v>0</v>
      </c>
      <c r="X412" s="44">
        <v>0</v>
      </c>
      <c r="Y412" s="44">
        <v>0</v>
      </c>
      <c r="Z412" s="39"/>
      <c r="AA412" s="41"/>
      <c r="AB412" s="42"/>
      <c r="AC412" s="42"/>
      <c r="AD412" s="43"/>
    </row>
    <row r="413" spans="1:30" ht="46.5" x14ac:dyDescent="0.25">
      <c r="A413" s="37" t="s">
        <v>1169</v>
      </c>
      <c r="B413" s="38" t="s">
        <v>1170</v>
      </c>
      <c r="C413" s="39" t="s">
        <v>862</v>
      </c>
      <c r="D413" s="39" t="s">
        <v>863</v>
      </c>
      <c r="E413" s="39" t="s">
        <v>46</v>
      </c>
      <c r="F413" s="40">
        <f>SUM(F414:F414)+484539</f>
        <v>484539</v>
      </c>
      <c r="G413" s="40">
        <f>SUM(G414:G414)+484539</f>
        <v>484539</v>
      </c>
      <c r="H413" s="40">
        <f t="shared" ref="H413:O413" si="299">SUM(H414:H414)</f>
        <v>0</v>
      </c>
      <c r="I413" s="40">
        <f t="shared" si="299"/>
        <v>0</v>
      </c>
      <c r="J413" s="40">
        <f t="shared" si="299"/>
        <v>0</v>
      </c>
      <c r="K413" s="40">
        <f t="shared" si="299"/>
        <v>0</v>
      </c>
      <c r="L413" s="40">
        <f t="shared" si="299"/>
        <v>0</v>
      </c>
      <c r="M413" s="40">
        <f t="shared" si="299"/>
        <v>0</v>
      </c>
      <c r="N413" s="40">
        <f t="shared" si="299"/>
        <v>0</v>
      </c>
      <c r="O413" s="40">
        <f t="shared" si="299"/>
        <v>0</v>
      </c>
      <c r="P413" s="40">
        <f>SUM(P414:P414)+483314.83</f>
        <v>483314.83</v>
      </c>
      <c r="Q413" s="40">
        <f>SUM(Q414:Q414)+483314.83</f>
        <v>483314.83</v>
      </c>
      <c r="R413" s="40">
        <f t="shared" ref="R413:Y413" si="300">SUM(R414:R414)</f>
        <v>0</v>
      </c>
      <c r="S413" s="40">
        <f t="shared" si="300"/>
        <v>0</v>
      </c>
      <c r="T413" s="40">
        <f t="shared" si="300"/>
        <v>0</v>
      </c>
      <c r="U413" s="40">
        <f t="shared" si="300"/>
        <v>0</v>
      </c>
      <c r="V413" s="40">
        <f t="shared" si="300"/>
        <v>0</v>
      </c>
      <c r="W413" s="40">
        <f t="shared" si="300"/>
        <v>0</v>
      </c>
      <c r="X413" s="40">
        <f t="shared" si="300"/>
        <v>0</v>
      </c>
      <c r="Y413" s="40">
        <f t="shared" si="300"/>
        <v>0</v>
      </c>
      <c r="Z413" s="39" t="s">
        <v>1115</v>
      </c>
      <c r="AA413" s="41" t="s">
        <v>1116</v>
      </c>
      <c r="AB413" s="42" t="s">
        <v>204</v>
      </c>
      <c r="AC413" s="42" t="s">
        <v>204</v>
      </c>
      <c r="AD413" s="43"/>
    </row>
    <row r="414" spans="1:30" ht="46.5" x14ac:dyDescent="0.25">
      <c r="A414" s="37" t="s">
        <v>1171</v>
      </c>
      <c r="B414" s="38" t="s">
        <v>1172</v>
      </c>
      <c r="C414" s="39"/>
      <c r="D414" s="39"/>
      <c r="E414" s="39"/>
      <c r="F414" s="44">
        <v>0</v>
      </c>
      <c r="G414" s="44">
        <v>0</v>
      </c>
      <c r="H414" s="44">
        <v>0</v>
      </c>
      <c r="I414" s="44">
        <v>0</v>
      </c>
      <c r="J414" s="44">
        <v>0</v>
      </c>
      <c r="K414" s="44">
        <v>0</v>
      </c>
      <c r="L414" s="44">
        <v>0</v>
      </c>
      <c r="M414" s="44">
        <v>0</v>
      </c>
      <c r="N414" s="44">
        <v>0</v>
      </c>
      <c r="O414" s="44">
        <v>0</v>
      </c>
      <c r="P414" s="44">
        <v>0</v>
      </c>
      <c r="Q414" s="44">
        <v>0</v>
      </c>
      <c r="R414" s="44">
        <v>0</v>
      </c>
      <c r="S414" s="44">
        <v>0</v>
      </c>
      <c r="T414" s="44">
        <v>0</v>
      </c>
      <c r="U414" s="44">
        <v>0</v>
      </c>
      <c r="V414" s="44">
        <v>0</v>
      </c>
      <c r="W414" s="44">
        <v>0</v>
      </c>
      <c r="X414" s="44">
        <v>0</v>
      </c>
      <c r="Y414" s="44">
        <v>0</v>
      </c>
      <c r="Z414" s="39"/>
      <c r="AA414" s="41"/>
      <c r="AB414" s="42"/>
      <c r="AC414" s="42"/>
      <c r="AD414" s="43"/>
    </row>
    <row r="415" spans="1:30" ht="46.5" x14ac:dyDescent="0.25">
      <c r="A415" s="37" t="s">
        <v>1173</v>
      </c>
      <c r="B415" s="38" t="s">
        <v>1174</v>
      </c>
      <c r="C415" s="39" t="s">
        <v>868</v>
      </c>
      <c r="D415" s="39" t="s">
        <v>869</v>
      </c>
      <c r="E415" s="39" t="s">
        <v>46</v>
      </c>
      <c r="F415" s="40">
        <f>SUM(F416:F416)+61914</f>
        <v>61914</v>
      </c>
      <c r="G415" s="40">
        <f>SUM(G416:G416)+61914</f>
        <v>61914</v>
      </c>
      <c r="H415" s="40">
        <f t="shared" ref="H415:O415" si="301">SUM(H416:H416)</f>
        <v>0</v>
      </c>
      <c r="I415" s="40">
        <f t="shared" si="301"/>
        <v>0</v>
      </c>
      <c r="J415" s="40">
        <f t="shared" si="301"/>
        <v>0</v>
      </c>
      <c r="K415" s="40">
        <f t="shared" si="301"/>
        <v>0</v>
      </c>
      <c r="L415" s="40">
        <f t="shared" si="301"/>
        <v>0</v>
      </c>
      <c r="M415" s="40">
        <f t="shared" si="301"/>
        <v>0</v>
      </c>
      <c r="N415" s="40">
        <f t="shared" si="301"/>
        <v>0</v>
      </c>
      <c r="O415" s="40">
        <f t="shared" si="301"/>
        <v>0</v>
      </c>
      <c r="P415" s="40">
        <f>SUM(P416:P416)+61876.17</f>
        <v>61876.17</v>
      </c>
      <c r="Q415" s="40">
        <f>SUM(Q416:Q416)+61876.17</f>
        <v>61876.17</v>
      </c>
      <c r="R415" s="40">
        <f t="shared" ref="R415:Y415" si="302">SUM(R416:R416)</f>
        <v>0</v>
      </c>
      <c r="S415" s="40">
        <f t="shared" si="302"/>
        <v>0</v>
      </c>
      <c r="T415" s="40">
        <f t="shared" si="302"/>
        <v>0</v>
      </c>
      <c r="U415" s="40">
        <f t="shared" si="302"/>
        <v>0</v>
      </c>
      <c r="V415" s="40">
        <f t="shared" si="302"/>
        <v>0</v>
      </c>
      <c r="W415" s="40">
        <f t="shared" si="302"/>
        <v>0</v>
      </c>
      <c r="X415" s="40">
        <f t="shared" si="302"/>
        <v>0</v>
      </c>
      <c r="Y415" s="40">
        <f t="shared" si="302"/>
        <v>0</v>
      </c>
      <c r="Z415" s="39" t="s">
        <v>1115</v>
      </c>
      <c r="AA415" s="41" t="s">
        <v>1116</v>
      </c>
      <c r="AB415" s="42" t="s">
        <v>268</v>
      </c>
      <c r="AC415" s="42" t="s">
        <v>268</v>
      </c>
      <c r="AD415" s="43"/>
    </row>
    <row r="416" spans="1:30" ht="46.5" x14ac:dyDescent="0.25">
      <c r="A416" s="37" t="s">
        <v>1175</v>
      </c>
      <c r="B416" s="38" t="s">
        <v>1176</v>
      </c>
      <c r="C416" s="39"/>
      <c r="D416" s="39"/>
      <c r="E416" s="39"/>
      <c r="F416" s="44">
        <v>0</v>
      </c>
      <c r="G416" s="44">
        <v>0</v>
      </c>
      <c r="H416" s="44">
        <v>0</v>
      </c>
      <c r="I416" s="44">
        <v>0</v>
      </c>
      <c r="J416" s="44">
        <v>0</v>
      </c>
      <c r="K416" s="44">
        <v>0</v>
      </c>
      <c r="L416" s="44">
        <v>0</v>
      </c>
      <c r="M416" s="44">
        <v>0</v>
      </c>
      <c r="N416" s="44">
        <v>0</v>
      </c>
      <c r="O416" s="44">
        <v>0</v>
      </c>
      <c r="P416" s="44">
        <v>0</v>
      </c>
      <c r="Q416" s="44">
        <v>0</v>
      </c>
      <c r="R416" s="44">
        <v>0</v>
      </c>
      <c r="S416" s="44">
        <v>0</v>
      </c>
      <c r="T416" s="44">
        <v>0</v>
      </c>
      <c r="U416" s="44">
        <v>0</v>
      </c>
      <c r="V416" s="44">
        <v>0</v>
      </c>
      <c r="W416" s="44">
        <v>0</v>
      </c>
      <c r="X416" s="44">
        <v>0</v>
      </c>
      <c r="Y416" s="44">
        <v>0</v>
      </c>
      <c r="Z416" s="39"/>
      <c r="AA416" s="41"/>
      <c r="AB416" s="42"/>
      <c r="AC416" s="42"/>
      <c r="AD416" s="43"/>
    </row>
    <row r="417" spans="1:30" ht="46.5" x14ac:dyDescent="0.25">
      <c r="A417" s="37" t="s">
        <v>1177</v>
      </c>
      <c r="B417" s="38" t="s">
        <v>1178</v>
      </c>
      <c r="C417" s="39" t="s">
        <v>312</v>
      </c>
      <c r="D417" s="39" t="s">
        <v>1179</v>
      </c>
      <c r="E417" s="39"/>
      <c r="F417" s="44">
        <v>3990</v>
      </c>
      <c r="G417" s="44">
        <v>3990</v>
      </c>
      <c r="H417" s="44">
        <v>0</v>
      </c>
      <c r="I417" s="44">
        <v>0</v>
      </c>
      <c r="J417" s="44">
        <v>0</v>
      </c>
      <c r="K417" s="44">
        <v>0</v>
      </c>
      <c r="L417" s="44">
        <v>0</v>
      </c>
      <c r="M417" s="44">
        <v>0</v>
      </c>
      <c r="N417" s="44">
        <v>0</v>
      </c>
      <c r="O417" s="44">
        <v>0</v>
      </c>
      <c r="P417" s="44">
        <v>3851.9</v>
      </c>
      <c r="Q417" s="44">
        <v>3851.9</v>
      </c>
      <c r="R417" s="44">
        <v>0</v>
      </c>
      <c r="S417" s="44">
        <v>0</v>
      </c>
      <c r="T417" s="44">
        <v>0</v>
      </c>
      <c r="U417" s="44">
        <v>0</v>
      </c>
      <c r="V417" s="44">
        <v>0</v>
      </c>
      <c r="W417" s="44">
        <v>0</v>
      </c>
      <c r="X417" s="44">
        <v>0</v>
      </c>
      <c r="Y417" s="44">
        <v>0</v>
      </c>
      <c r="Z417" s="39" t="s">
        <v>1180</v>
      </c>
      <c r="AA417" s="41" t="s">
        <v>41</v>
      </c>
      <c r="AB417" s="42" t="s">
        <v>56</v>
      </c>
      <c r="AC417" s="42" t="s">
        <v>56</v>
      </c>
      <c r="AD417" s="43"/>
    </row>
    <row r="418" spans="1:30" ht="90" x14ac:dyDescent="0.25">
      <c r="A418" s="30" t="s">
        <v>1181</v>
      </c>
      <c r="B418" s="31" t="s">
        <v>1182</v>
      </c>
      <c r="C418" s="32" t="s">
        <v>312</v>
      </c>
      <c r="D418" s="32" t="s">
        <v>1003</v>
      </c>
      <c r="E418" s="32" t="s">
        <v>39</v>
      </c>
      <c r="F418" s="33">
        <f t="shared" ref="F418:Y418" si="303">F419+F421+F423</f>
        <v>85287.2</v>
      </c>
      <c r="G418" s="33">
        <f t="shared" si="303"/>
        <v>53212</v>
      </c>
      <c r="H418" s="33">
        <f t="shared" si="303"/>
        <v>26000</v>
      </c>
      <c r="I418" s="33">
        <f t="shared" si="303"/>
        <v>0</v>
      </c>
      <c r="J418" s="33">
        <f t="shared" si="303"/>
        <v>0</v>
      </c>
      <c r="K418" s="33">
        <f t="shared" si="303"/>
        <v>0</v>
      </c>
      <c r="L418" s="33">
        <f t="shared" si="303"/>
        <v>0</v>
      </c>
      <c r="M418" s="33">
        <f t="shared" si="303"/>
        <v>6075.2</v>
      </c>
      <c r="N418" s="33">
        <f t="shared" si="303"/>
        <v>0</v>
      </c>
      <c r="O418" s="33">
        <f t="shared" si="303"/>
        <v>0</v>
      </c>
      <c r="P418" s="33">
        <f t="shared" si="303"/>
        <v>29521.03</v>
      </c>
      <c r="Q418" s="33">
        <f t="shared" si="303"/>
        <v>879.9</v>
      </c>
      <c r="R418" s="33">
        <f t="shared" si="303"/>
        <v>12999.93</v>
      </c>
      <c r="S418" s="33">
        <f t="shared" si="303"/>
        <v>0</v>
      </c>
      <c r="T418" s="33">
        <f t="shared" si="303"/>
        <v>0</v>
      </c>
      <c r="U418" s="33">
        <f t="shared" si="303"/>
        <v>0</v>
      </c>
      <c r="V418" s="33">
        <f t="shared" si="303"/>
        <v>0</v>
      </c>
      <c r="W418" s="33">
        <f t="shared" si="303"/>
        <v>0</v>
      </c>
      <c r="X418" s="33">
        <f t="shared" si="303"/>
        <v>0</v>
      </c>
      <c r="Y418" s="33">
        <f t="shared" si="303"/>
        <v>0</v>
      </c>
      <c r="Z418" s="32" t="s">
        <v>1183</v>
      </c>
      <c r="AA418" s="34" t="s">
        <v>1184</v>
      </c>
      <c r="AB418" s="35" t="s">
        <v>104</v>
      </c>
      <c r="AC418" s="35" t="s">
        <v>104</v>
      </c>
      <c r="AD418" s="36"/>
    </row>
    <row r="419" spans="1:30" ht="46.5" x14ac:dyDescent="0.25">
      <c r="A419" s="37" t="s">
        <v>1185</v>
      </c>
      <c r="B419" s="38" t="s">
        <v>1186</v>
      </c>
      <c r="C419" s="39" t="s">
        <v>862</v>
      </c>
      <c r="D419" s="39" t="s">
        <v>863</v>
      </c>
      <c r="E419" s="39" t="s">
        <v>46</v>
      </c>
      <c r="F419" s="40">
        <f>SUM(F420:F420)+26000</f>
        <v>26000</v>
      </c>
      <c r="G419" s="40">
        <f>SUM(G420:G420)</f>
        <v>0</v>
      </c>
      <c r="H419" s="40">
        <f>SUM(H420:H420)+26000</f>
        <v>26000</v>
      </c>
      <c r="I419" s="40">
        <f t="shared" ref="I419:O419" si="304">SUM(I420:I420)</f>
        <v>0</v>
      </c>
      <c r="J419" s="40">
        <f t="shared" si="304"/>
        <v>0</v>
      </c>
      <c r="K419" s="40">
        <f t="shared" si="304"/>
        <v>0</v>
      </c>
      <c r="L419" s="40">
        <f t="shared" si="304"/>
        <v>0</v>
      </c>
      <c r="M419" s="40">
        <f t="shared" si="304"/>
        <v>0</v>
      </c>
      <c r="N419" s="40">
        <f t="shared" si="304"/>
        <v>0</v>
      </c>
      <c r="O419" s="40">
        <f t="shared" si="304"/>
        <v>0</v>
      </c>
      <c r="P419" s="40">
        <f>SUM(P420:P420)+25999.93</f>
        <v>25999.93</v>
      </c>
      <c r="Q419" s="40">
        <f>SUM(Q420:Q420)</f>
        <v>0</v>
      </c>
      <c r="R419" s="40">
        <f>SUM(R420:R420)+12999.93</f>
        <v>12999.93</v>
      </c>
      <c r="S419" s="40">
        <f t="shared" ref="S419:Y419" si="305">SUM(S420:S420)</f>
        <v>0</v>
      </c>
      <c r="T419" s="40">
        <f t="shared" si="305"/>
        <v>0</v>
      </c>
      <c r="U419" s="40">
        <f t="shared" si="305"/>
        <v>0</v>
      </c>
      <c r="V419" s="40">
        <f t="shared" si="305"/>
        <v>0</v>
      </c>
      <c r="W419" s="40">
        <f t="shared" si="305"/>
        <v>0</v>
      </c>
      <c r="X419" s="40">
        <f t="shared" si="305"/>
        <v>0</v>
      </c>
      <c r="Y419" s="40">
        <f t="shared" si="305"/>
        <v>0</v>
      </c>
      <c r="Z419" s="39" t="s">
        <v>1187</v>
      </c>
      <c r="AA419" s="41" t="s">
        <v>41</v>
      </c>
      <c r="AB419" s="42" t="s">
        <v>56</v>
      </c>
      <c r="AC419" s="42" t="s">
        <v>56</v>
      </c>
      <c r="AD419" s="43"/>
    </row>
    <row r="420" spans="1:30" ht="46.5" x14ac:dyDescent="0.25">
      <c r="A420" s="37" t="s">
        <v>1188</v>
      </c>
      <c r="B420" s="38" t="s">
        <v>1189</v>
      </c>
      <c r="C420" s="39"/>
      <c r="D420" s="39"/>
      <c r="E420" s="39"/>
      <c r="F420" s="44">
        <v>0</v>
      </c>
      <c r="G420" s="44">
        <v>0</v>
      </c>
      <c r="H420" s="44">
        <v>0</v>
      </c>
      <c r="I420" s="44">
        <v>0</v>
      </c>
      <c r="J420" s="44">
        <v>0</v>
      </c>
      <c r="K420" s="44">
        <v>0</v>
      </c>
      <c r="L420" s="44">
        <v>0</v>
      </c>
      <c r="M420" s="44">
        <v>0</v>
      </c>
      <c r="N420" s="44">
        <v>0</v>
      </c>
      <c r="O420" s="44">
        <v>0</v>
      </c>
      <c r="P420" s="44">
        <v>0</v>
      </c>
      <c r="Q420" s="44">
        <v>0</v>
      </c>
      <c r="R420" s="44">
        <v>0</v>
      </c>
      <c r="S420" s="44">
        <v>0</v>
      </c>
      <c r="T420" s="44">
        <v>0</v>
      </c>
      <c r="U420" s="44">
        <v>0</v>
      </c>
      <c r="V420" s="44">
        <v>0</v>
      </c>
      <c r="W420" s="44">
        <v>0</v>
      </c>
      <c r="X420" s="44">
        <v>0</v>
      </c>
      <c r="Y420" s="44">
        <v>0</v>
      </c>
      <c r="Z420" s="39"/>
      <c r="AA420" s="41"/>
      <c r="AB420" s="42"/>
      <c r="AC420" s="42"/>
      <c r="AD420" s="43"/>
    </row>
    <row r="421" spans="1:30" ht="93" x14ac:dyDescent="0.25">
      <c r="A421" s="37" t="s">
        <v>1190</v>
      </c>
      <c r="B421" s="38" t="s">
        <v>1191</v>
      </c>
      <c r="C421" s="39" t="s">
        <v>312</v>
      </c>
      <c r="D421" s="39" t="s">
        <v>1013</v>
      </c>
      <c r="E421" s="39" t="s">
        <v>46</v>
      </c>
      <c r="F421" s="40">
        <f>SUM(F422:F422)+49690</f>
        <v>49690</v>
      </c>
      <c r="G421" s="40">
        <f>SUM(G422:G422)+49690</f>
        <v>49690</v>
      </c>
      <c r="H421" s="40">
        <f t="shared" ref="H421:Y421" si="306">SUM(H422:H422)</f>
        <v>0</v>
      </c>
      <c r="I421" s="40">
        <f t="shared" si="306"/>
        <v>0</v>
      </c>
      <c r="J421" s="40">
        <f t="shared" si="306"/>
        <v>0</v>
      </c>
      <c r="K421" s="40">
        <f t="shared" si="306"/>
        <v>0</v>
      </c>
      <c r="L421" s="40">
        <f t="shared" si="306"/>
        <v>0</v>
      </c>
      <c r="M421" s="40">
        <f t="shared" si="306"/>
        <v>0</v>
      </c>
      <c r="N421" s="40">
        <f t="shared" si="306"/>
        <v>0</v>
      </c>
      <c r="O421" s="40">
        <f t="shared" si="306"/>
        <v>0</v>
      </c>
      <c r="P421" s="40">
        <f t="shared" si="306"/>
        <v>0</v>
      </c>
      <c r="Q421" s="40">
        <f t="shared" si="306"/>
        <v>0</v>
      </c>
      <c r="R421" s="40">
        <f t="shared" si="306"/>
        <v>0</v>
      </c>
      <c r="S421" s="40">
        <f t="shared" si="306"/>
        <v>0</v>
      </c>
      <c r="T421" s="40">
        <f t="shared" si="306"/>
        <v>0</v>
      </c>
      <c r="U421" s="40">
        <f t="shared" si="306"/>
        <v>0</v>
      </c>
      <c r="V421" s="40">
        <f t="shared" si="306"/>
        <v>0</v>
      </c>
      <c r="W421" s="40">
        <f t="shared" si="306"/>
        <v>0</v>
      </c>
      <c r="X421" s="40">
        <f t="shared" si="306"/>
        <v>0</v>
      </c>
      <c r="Y421" s="40">
        <f t="shared" si="306"/>
        <v>0</v>
      </c>
      <c r="Z421" s="39" t="s">
        <v>1192</v>
      </c>
      <c r="AA421" s="41" t="s">
        <v>1036</v>
      </c>
      <c r="AB421" s="42" t="s">
        <v>178</v>
      </c>
      <c r="AC421" s="42" t="s">
        <v>57</v>
      </c>
      <c r="AD421" s="43" t="s">
        <v>1193</v>
      </c>
    </row>
    <row r="422" spans="1:30" ht="69.75" x14ac:dyDescent="0.25">
      <c r="A422" s="37" t="s">
        <v>1194</v>
      </c>
      <c r="B422" s="38" t="s">
        <v>1195</v>
      </c>
      <c r="C422" s="39"/>
      <c r="D422" s="39"/>
      <c r="E422" s="39"/>
      <c r="F422" s="44">
        <v>0</v>
      </c>
      <c r="G422" s="44">
        <v>0</v>
      </c>
      <c r="H422" s="44">
        <v>0</v>
      </c>
      <c r="I422" s="44">
        <v>0</v>
      </c>
      <c r="J422" s="44">
        <v>0</v>
      </c>
      <c r="K422" s="44">
        <v>0</v>
      </c>
      <c r="L422" s="44">
        <v>0</v>
      </c>
      <c r="M422" s="44">
        <v>0</v>
      </c>
      <c r="N422" s="44">
        <v>0</v>
      </c>
      <c r="O422" s="44">
        <v>0</v>
      </c>
      <c r="P422" s="44">
        <v>0</v>
      </c>
      <c r="Q422" s="44">
        <v>0</v>
      </c>
      <c r="R422" s="44">
        <v>0</v>
      </c>
      <c r="S422" s="44">
        <v>0</v>
      </c>
      <c r="T422" s="44">
        <v>0</v>
      </c>
      <c r="U422" s="44">
        <v>0</v>
      </c>
      <c r="V422" s="44">
        <v>0</v>
      </c>
      <c r="W422" s="44">
        <v>0</v>
      </c>
      <c r="X422" s="44">
        <v>0</v>
      </c>
      <c r="Y422" s="44">
        <v>0</v>
      </c>
      <c r="Z422" s="39"/>
      <c r="AA422" s="41"/>
      <c r="AB422" s="42"/>
      <c r="AC422" s="42"/>
      <c r="AD422" s="43"/>
    </row>
    <row r="423" spans="1:30" ht="93" x14ac:dyDescent="0.25">
      <c r="A423" s="37" t="s">
        <v>1196</v>
      </c>
      <c r="B423" s="38" t="s">
        <v>1197</v>
      </c>
      <c r="C423" s="39" t="s">
        <v>312</v>
      </c>
      <c r="D423" s="39" t="s">
        <v>1013</v>
      </c>
      <c r="E423" s="39" t="s">
        <v>46</v>
      </c>
      <c r="F423" s="40">
        <f>SUM(F424:F424)+9597.2</f>
        <v>9597.2000000000007</v>
      </c>
      <c r="G423" s="40">
        <f>SUM(G424:G424)+3522</f>
        <v>3522</v>
      </c>
      <c r="H423" s="40">
        <f>SUM(H424:H424)</f>
        <v>0</v>
      </c>
      <c r="I423" s="40">
        <f>SUM(I424:I424)</f>
        <v>0</v>
      </c>
      <c r="J423" s="40">
        <f>SUM(J424:J424)</f>
        <v>0</v>
      </c>
      <c r="K423" s="40">
        <f>SUM(K424:K424)</f>
        <v>0</v>
      </c>
      <c r="L423" s="40">
        <f>SUM(L424:L424)</f>
        <v>0</v>
      </c>
      <c r="M423" s="40">
        <f>SUM(M424:M424)+6075.2</f>
        <v>6075.2</v>
      </c>
      <c r="N423" s="40">
        <f>SUM(N424:N424)</f>
        <v>0</v>
      </c>
      <c r="O423" s="40">
        <f>SUM(O424:O424)</f>
        <v>0</v>
      </c>
      <c r="P423" s="40">
        <f>SUM(P424:P424)+3521.1</f>
        <v>3521.1</v>
      </c>
      <c r="Q423" s="40">
        <f>SUM(Q424:Q424)+879.9</f>
        <v>879.9</v>
      </c>
      <c r="R423" s="40">
        <f t="shared" ref="R423:Y423" si="307">SUM(R424:R424)</f>
        <v>0</v>
      </c>
      <c r="S423" s="40">
        <f t="shared" si="307"/>
        <v>0</v>
      </c>
      <c r="T423" s="40">
        <f t="shared" si="307"/>
        <v>0</v>
      </c>
      <c r="U423" s="40">
        <f t="shared" si="307"/>
        <v>0</v>
      </c>
      <c r="V423" s="40">
        <f t="shared" si="307"/>
        <v>0</v>
      </c>
      <c r="W423" s="40">
        <f t="shared" si="307"/>
        <v>0</v>
      </c>
      <c r="X423" s="40">
        <f t="shared" si="307"/>
        <v>0</v>
      </c>
      <c r="Y423" s="40">
        <f t="shared" si="307"/>
        <v>0</v>
      </c>
      <c r="Z423" s="39" t="s">
        <v>1198</v>
      </c>
      <c r="AA423" s="41" t="s">
        <v>41</v>
      </c>
      <c r="AB423" s="42" t="s">
        <v>56</v>
      </c>
      <c r="AC423" s="42" t="s">
        <v>56</v>
      </c>
      <c r="AD423" s="43" t="s">
        <v>1199</v>
      </c>
    </row>
    <row r="424" spans="1:30" ht="69.75" x14ac:dyDescent="0.25">
      <c r="A424" s="37" t="s">
        <v>1200</v>
      </c>
      <c r="B424" s="38" t="s">
        <v>1201</v>
      </c>
      <c r="C424" s="39"/>
      <c r="D424" s="39"/>
      <c r="E424" s="39"/>
      <c r="F424" s="44">
        <v>0</v>
      </c>
      <c r="G424" s="44">
        <v>0</v>
      </c>
      <c r="H424" s="44">
        <v>0</v>
      </c>
      <c r="I424" s="44">
        <v>0</v>
      </c>
      <c r="J424" s="44">
        <v>0</v>
      </c>
      <c r="K424" s="44">
        <v>0</v>
      </c>
      <c r="L424" s="44">
        <v>0</v>
      </c>
      <c r="M424" s="44">
        <v>0</v>
      </c>
      <c r="N424" s="44">
        <v>0</v>
      </c>
      <c r="O424" s="44">
        <v>0</v>
      </c>
      <c r="P424" s="44">
        <v>0</v>
      </c>
      <c r="Q424" s="44">
        <v>0</v>
      </c>
      <c r="R424" s="44">
        <v>0</v>
      </c>
      <c r="S424" s="44">
        <v>0</v>
      </c>
      <c r="T424" s="44">
        <v>0</v>
      </c>
      <c r="U424" s="44">
        <v>0</v>
      </c>
      <c r="V424" s="44">
        <v>0</v>
      </c>
      <c r="W424" s="44">
        <v>0</v>
      </c>
      <c r="X424" s="44">
        <v>0</v>
      </c>
      <c r="Y424" s="44">
        <v>0</v>
      </c>
      <c r="Z424" s="39"/>
      <c r="AA424" s="41"/>
      <c r="AB424" s="42"/>
      <c r="AC424" s="42"/>
      <c r="AD424" s="43"/>
    </row>
    <row r="425" spans="1:30" ht="45" x14ac:dyDescent="0.25">
      <c r="A425" s="30" t="s">
        <v>1202</v>
      </c>
      <c r="B425" s="31" t="s">
        <v>1203</v>
      </c>
      <c r="C425" s="32" t="s">
        <v>312</v>
      </c>
      <c r="D425" s="32"/>
      <c r="E425" s="32" t="s">
        <v>39</v>
      </c>
      <c r="F425" s="33">
        <f t="shared" ref="F425:O426" si="308">SUM(F426:F426)</f>
        <v>0</v>
      </c>
      <c r="G425" s="33">
        <f t="shared" si="308"/>
        <v>0</v>
      </c>
      <c r="H425" s="33">
        <f t="shared" si="308"/>
        <v>0</v>
      </c>
      <c r="I425" s="33">
        <f t="shared" si="308"/>
        <v>0</v>
      </c>
      <c r="J425" s="33">
        <f t="shared" si="308"/>
        <v>0</v>
      </c>
      <c r="K425" s="33">
        <f t="shared" si="308"/>
        <v>0</v>
      </c>
      <c r="L425" s="33">
        <f t="shared" si="308"/>
        <v>0</v>
      </c>
      <c r="M425" s="33">
        <f t="shared" si="308"/>
        <v>0</v>
      </c>
      <c r="N425" s="33">
        <f t="shared" si="308"/>
        <v>0</v>
      </c>
      <c r="O425" s="33">
        <f t="shared" si="308"/>
        <v>0</v>
      </c>
      <c r="P425" s="33">
        <f t="shared" ref="P425:Y426" si="309">SUM(P426:P426)</f>
        <v>0</v>
      </c>
      <c r="Q425" s="33">
        <f t="shared" si="309"/>
        <v>0</v>
      </c>
      <c r="R425" s="33">
        <f t="shared" si="309"/>
        <v>0</v>
      </c>
      <c r="S425" s="33">
        <f t="shared" si="309"/>
        <v>0</v>
      </c>
      <c r="T425" s="33">
        <f t="shared" si="309"/>
        <v>0</v>
      </c>
      <c r="U425" s="33">
        <f t="shared" si="309"/>
        <v>0</v>
      </c>
      <c r="V425" s="33">
        <f t="shared" si="309"/>
        <v>0</v>
      </c>
      <c r="W425" s="33">
        <f t="shared" si="309"/>
        <v>0</v>
      </c>
      <c r="X425" s="33">
        <f t="shared" si="309"/>
        <v>0</v>
      </c>
      <c r="Y425" s="33">
        <f t="shared" si="309"/>
        <v>0</v>
      </c>
      <c r="Z425" s="32" t="s">
        <v>1204</v>
      </c>
      <c r="AA425" s="34" t="s">
        <v>41</v>
      </c>
      <c r="AB425" s="35" t="s">
        <v>56</v>
      </c>
      <c r="AC425" s="35" t="s">
        <v>57</v>
      </c>
      <c r="AD425" s="36"/>
    </row>
    <row r="426" spans="1:30" ht="69.75" x14ac:dyDescent="0.25">
      <c r="A426" s="37" t="s">
        <v>1205</v>
      </c>
      <c r="B426" s="38" t="s">
        <v>1206</v>
      </c>
      <c r="C426" s="39" t="s">
        <v>312</v>
      </c>
      <c r="D426" s="39" t="s">
        <v>316</v>
      </c>
      <c r="E426" s="39"/>
      <c r="F426" s="40">
        <f t="shared" si="308"/>
        <v>0</v>
      </c>
      <c r="G426" s="40">
        <f t="shared" si="308"/>
        <v>0</v>
      </c>
      <c r="H426" s="40">
        <f t="shared" si="308"/>
        <v>0</v>
      </c>
      <c r="I426" s="40">
        <f t="shared" si="308"/>
        <v>0</v>
      </c>
      <c r="J426" s="40">
        <f t="shared" si="308"/>
        <v>0</v>
      </c>
      <c r="K426" s="40">
        <f t="shared" si="308"/>
        <v>0</v>
      </c>
      <c r="L426" s="40">
        <f t="shared" si="308"/>
        <v>0</v>
      </c>
      <c r="M426" s="40">
        <f t="shared" si="308"/>
        <v>0</v>
      </c>
      <c r="N426" s="40">
        <f t="shared" si="308"/>
        <v>0</v>
      </c>
      <c r="O426" s="40">
        <f t="shared" si="308"/>
        <v>0</v>
      </c>
      <c r="P426" s="40">
        <f t="shared" si="309"/>
        <v>0</v>
      </c>
      <c r="Q426" s="40">
        <f t="shared" si="309"/>
        <v>0</v>
      </c>
      <c r="R426" s="40">
        <f t="shared" si="309"/>
        <v>0</v>
      </c>
      <c r="S426" s="40">
        <f t="shared" si="309"/>
        <v>0</v>
      </c>
      <c r="T426" s="40">
        <f t="shared" si="309"/>
        <v>0</v>
      </c>
      <c r="U426" s="40">
        <f t="shared" si="309"/>
        <v>0</v>
      </c>
      <c r="V426" s="40">
        <f t="shared" si="309"/>
        <v>0</v>
      </c>
      <c r="W426" s="40">
        <f t="shared" si="309"/>
        <v>0</v>
      </c>
      <c r="X426" s="40">
        <f t="shared" si="309"/>
        <v>0</v>
      </c>
      <c r="Y426" s="40">
        <f t="shared" si="309"/>
        <v>0</v>
      </c>
      <c r="Z426" s="39" t="s">
        <v>1207</v>
      </c>
      <c r="AA426" s="41" t="s">
        <v>41</v>
      </c>
      <c r="AB426" s="42" t="s">
        <v>42</v>
      </c>
      <c r="AC426" s="42" t="s">
        <v>56</v>
      </c>
      <c r="AD426" s="43" t="s">
        <v>1208</v>
      </c>
    </row>
    <row r="427" spans="1:30" ht="46.5" x14ac:dyDescent="0.25">
      <c r="A427" s="37" t="s">
        <v>1209</v>
      </c>
      <c r="B427" s="38" t="s">
        <v>1210</v>
      </c>
      <c r="C427" s="39"/>
      <c r="D427" s="39"/>
      <c r="E427" s="39"/>
      <c r="F427" s="44">
        <v>0</v>
      </c>
      <c r="G427" s="44">
        <v>0</v>
      </c>
      <c r="H427" s="44">
        <v>0</v>
      </c>
      <c r="I427" s="44">
        <v>0</v>
      </c>
      <c r="J427" s="44">
        <v>0</v>
      </c>
      <c r="K427" s="44">
        <v>0</v>
      </c>
      <c r="L427" s="44">
        <v>0</v>
      </c>
      <c r="M427" s="44">
        <v>0</v>
      </c>
      <c r="N427" s="44">
        <v>0</v>
      </c>
      <c r="O427" s="44">
        <v>0</v>
      </c>
      <c r="P427" s="44">
        <v>0</v>
      </c>
      <c r="Q427" s="44">
        <v>0</v>
      </c>
      <c r="R427" s="44">
        <v>0</v>
      </c>
      <c r="S427" s="44">
        <v>0</v>
      </c>
      <c r="T427" s="44">
        <v>0</v>
      </c>
      <c r="U427" s="44">
        <v>0</v>
      </c>
      <c r="V427" s="44">
        <v>0</v>
      </c>
      <c r="W427" s="44">
        <v>0</v>
      </c>
      <c r="X427" s="44">
        <v>0</v>
      </c>
      <c r="Y427" s="44">
        <v>0</v>
      </c>
      <c r="Z427" s="39"/>
      <c r="AA427" s="41"/>
      <c r="AB427" s="42"/>
      <c r="AC427" s="42"/>
      <c r="AD427" s="43"/>
    </row>
    <row r="428" spans="1:30" ht="90" x14ac:dyDescent="0.25">
      <c r="A428" s="30" t="s">
        <v>1211</v>
      </c>
      <c r="B428" s="31" t="s">
        <v>1212</v>
      </c>
      <c r="C428" s="32" t="s">
        <v>312</v>
      </c>
      <c r="D428" s="32" t="s">
        <v>316</v>
      </c>
      <c r="E428" s="32" t="s">
        <v>39</v>
      </c>
      <c r="F428" s="33">
        <f t="shared" ref="F428:Y428" si="310">SUM(F429:F430)</f>
        <v>5000</v>
      </c>
      <c r="G428" s="33">
        <f t="shared" si="310"/>
        <v>5000</v>
      </c>
      <c r="H428" s="33">
        <f t="shared" si="310"/>
        <v>0</v>
      </c>
      <c r="I428" s="33">
        <f t="shared" si="310"/>
        <v>0</v>
      </c>
      <c r="J428" s="33">
        <f t="shared" si="310"/>
        <v>0</v>
      </c>
      <c r="K428" s="33">
        <f t="shared" si="310"/>
        <v>0</v>
      </c>
      <c r="L428" s="33">
        <f t="shared" si="310"/>
        <v>0</v>
      </c>
      <c r="M428" s="33">
        <f t="shared" si="310"/>
        <v>0</v>
      </c>
      <c r="N428" s="33">
        <f t="shared" si="310"/>
        <v>0</v>
      </c>
      <c r="O428" s="33">
        <f t="shared" si="310"/>
        <v>0</v>
      </c>
      <c r="P428" s="33">
        <f t="shared" si="310"/>
        <v>1331</v>
      </c>
      <c r="Q428" s="33">
        <f t="shared" si="310"/>
        <v>1331</v>
      </c>
      <c r="R428" s="33">
        <f t="shared" si="310"/>
        <v>0</v>
      </c>
      <c r="S428" s="33">
        <f t="shared" si="310"/>
        <v>0</v>
      </c>
      <c r="T428" s="33">
        <f t="shared" si="310"/>
        <v>0</v>
      </c>
      <c r="U428" s="33">
        <f t="shared" si="310"/>
        <v>0</v>
      </c>
      <c r="V428" s="33">
        <f t="shared" si="310"/>
        <v>0</v>
      </c>
      <c r="W428" s="33">
        <f t="shared" si="310"/>
        <v>0</v>
      </c>
      <c r="X428" s="33">
        <f t="shared" si="310"/>
        <v>0</v>
      </c>
      <c r="Y428" s="33">
        <f t="shared" si="310"/>
        <v>0</v>
      </c>
      <c r="Z428" s="32" t="s">
        <v>1213</v>
      </c>
      <c r="AA428" s="34" t="s">
        <v>41</v>
      </c>
      <c r="AB428" s="35" t="s">
        <v>1214</v>
      </c>
      <c r="AC428" s="35" t="s">
        <v>1214</v>
      </c>
      <c r="AD428" s="36"/>
    </row>
    <row r="429" spans="1:30" x14ac:dyDescent="0.25">
      <c r="A429" s="45"/>
      <c r="B429" s="46"/>
      <c r="C429" s="47"/>
      <c r="D429" s="47"/>
      <c r="E429" s="47"/>
      <c r="F429" s="48">
        <v>0</v>
      </c>
      <c r="G429" s="48">
        <v>0</v>
      </c>
      <c r="H429" s="48">
        <v>0</v>
      </c>
      <c r="I429" s="48">
        <v>0</v>
      </c>
      <c r="J429" s="48">
        <v>0</v>
      </c>
      <c r="K429" s="48">
        <v>0</v>
      </c>
      <c r="L429" s="48">
        <v>0</v>
      </c>
      <c r="M429" s="48">
        <v>0</v>
      </c>
      <c r="N429" s="48">
        <v>0</v>
      </c>
      <c r="O429" s="48">
        <v>0</v>
      </c>
      <c r="P429" s="48">
        <v>0</v>
      </c>
      <c r="Q429" s="48">
        <v>0</v>
      </c>
      <c r="R429" s="48">
        <v>0</v>
      </c>
      <c r="S429" s="48">
        <v>0</v>
      </c>
      <c r="T429" s="48">
        <v>0</v>
      </c>
      <c r="U429" s="48">
        <v>0</v>
      </c>
      <c r="V429" s="48">
        <v>0</v>
      </c>
      <c r="W429" s="48">
        <v>0</v>
      </c>
      <c r="X429" s="48">
        <v>0</v>
      </c>
      <c r="Y429" s="48">
        <v>0</v>
      </c>
      <c r="Z429" s="47" t="s">
        <v>1215</v>
      </c>
      <c r="AA429" s="49" t="s">
        <v>41</v>
      </c>
      <c r="AB429" s="50" t="s">
        <v>1216</v>
      </c>
      <c r="AC429" s="50" t="s">
        <v>1216</v>
      </c>
      <c r="AD429" s="51"/>
    </row>
    <row r="430" spans="1:30" ht="93" x14ac:dyDescent="0.25">
      <c r="A430" s="37" t="s">
        <v>1217</v>
      </c>
      <c r="B430" s="38" t="s">
        <v>1218</v>
      </c>
      <c r="C430" s="39" t="s">
        <v>312</v>
      </c>
      <c r="D430" s="39" t="s">
        <v>316</v>
      </c>
      <c r="E430" s="39" t="s">
        <v>46</v>
      </c>
      <c r="F430" s="40">
        <f>SUM(F431:F431)+5000</f>
        <v>5000</v>
      </c>
      <c r="G430" s="40">
        <f>SUM(G431:G431)+5000</f>
        <v>5000</v>
      </c>
      <c r="H430" s="40">
        <f t="shared" ref="H430:O430" si="311">SUM(H431:H431)</f>
        <v>0</v>
      </c>
      <c r="I430" s="40">
        <f t="shared" si="311"/>
        <v>0</v>
      </c>
      <c r="J430" s="40">
        <f t="shared" si="311"/>
        <v>0</v>
      </c>
      <c r="K430" s="40">
        <f t="shared" si="311"/>
        <v>0</v>
      </c>
      <c r="L430" s="40">
        <f t="shared" si="311"/>
        <v>0</v>
      </c>
      <c r="M430" s="40">
        <f t="shared" si="311"/>
        <v>0</v>
      </c>
      <c r="N430" s="40">
        <f t="shared" si="311"/>
        <v>0</v>
      </c>
      <c r="O430" s="40">
        <f t="shared" si="311"/>
        <v>0</v>
      </c>
      <c r="P430" s="40">
        <f>SUM(P431:P431)+1331</f>
        <v>1331</v>
      </c>
      <c r="Q430" s="40">
        <f>SUM(Q431:Q431)+1331</f>
        <v>1331</v>
      </c>
      <c r="R430" s="40">
        <f t="shared" ref="R430:Y430" si="312">SUM(R431:R431)</f>
        <v>0</v>
      </c>
      <c r="S430" s="40">
        <f t="shared" si="312"/>
        <v>0</v>
      </c>
      <c r="T430" s="40">
        <f t="shared" si="312"/>
        <v>0</v>
      </c>
      <c r="U430" s="40">
        <f t="shared" si="312"/>
        <v>0</v>
      </c>
      <c r="V430" s="40">
        <f t="shared" si="312"/>
        <v>0</v>
      </c>
      <c r="W430" s="40">
        <f t="shared" si="312"/>
        <v>0</v>
      </c>
      <c r="X430" s="40">
        <f t="shared" si="312"/>
        <v>0</v>
      </c>
      <c r="Y430" s="40">
        <f t="shared" si="312"/>
        <v>0</v>
      </c>
      <c r="Z430" s="39" t="s">
        <v>1219</v>
      </c>
      <c r="AA430" s="41" t="s">
        <v>41</v>
      </c>
      <c r="AB430" s="42" t="s">
        <v>178</v>
      </c>
      <c r="AC430" s="42" t="s">
        <v>56</v>
      </c>
      <c r="AD430" s="43" t="s">
        <v>1220</v>
      </c>
    </row>
    <row r="431" spans="1:30" ht="69.75" x14ac:dyDescent="0.25">
      <c r="A431" s="37" t="s">
        <v>1221</v>
      </c>
      <c r="B431" s="38" t="s">
        <v>1222</v>
      </c>
      <c r="C431" s="39"/>
      <c r="D431" s="39"/>
      <c r="E431" s="39"/>
      <c r="F431" s="44">
        <v>0</v>
      </c>
      <c r="G431" s="44">
        <v>0</v>
      </c>
      <c r="H431" s="44">
        <v>0</v>
      </c>
      <c r="I431" s="44">
        <v>0</v>
      </c>
      <c r="J431" s="44">
        <v>0</v>
      </c>
      <c r="K431" s="44">
        <v>0</v>
      </c>
      <c r="L431" s="44">
        <v>0</v>
      </c>
      <c r="M431" s="44">
        <v>0</v>
      </c>
      <c r="N431" s="44">
        <v>0</v>
      </c>
      <c r="O431" s="44">
        <v>0</v>
      </c>
      <c r="P431" s="44">
        <v>0</v>
      </c>
      <c r="Q431" s="44">
        <v>0</v>
      </c>
      <c r="R431" s="44">
        <v>0</v>
      </c>
      <c r="S431" s="44">
        <v>0</v>
      </c>
      <c r="T431" s="44">
        <v>0</v>
      </c>
      <c r="U431" s="44">
        <v>0</v>
      </c>
      <c r="V431" s="44">
        <v>0</v>
      </c>
      <c r="W431" s="44">
        <v>0</v>
      </c>
      <c r="X431" s="44">
        <v>0</v>
      </c>
      <c r="Y431" s="44">
        <v>0</v>
      </c>
      <c r="Z431" s="39"/>
      <c r="AA431" s="41"/>
      <c r="AB431" s="42"/>
      <c r="AC431" s="42"/>
      <c r="AD431" s="43"/>
    </row>
    <row r="432" spans="1:30" ht="112.5" x14ac:dyDescent="0.25">
      <c r="A432" s="30" t="s">
        <v>1223</v>
      </c>
      <c r="B432" s="31" t="s">
        <v>1224</v>
      </c>
      <c r="C432" s="32" t="s">
        <v>312</v>
      </c>
      <c r="D432" s="32" t="s">
        <v>316</v>
      </c>
      <c r="E432" s="32" t="s">
        <v>283</v>
      </c>
      <c r="F432" s="33">
        <f t="shared" ref="F432:Y432" si="313">SUM(F433:F433)</f>
        <v>13100</v>
      </c>
      <c r="G432" s="33">
        <f t="shared" si="313"/>
        <v>13100</v>
      </c>
      <c r="H432" s="33">
        <f t="shared" si="313"/>
        <v>0</v>
      </c>
      <c r="I432" s="33">
        <f t="shared" si="313"/>
        <v>0</v>
      </c>
      <c r="J432" s="33">
        <f t="shared" si="313"/>
        <v>0</v>
      </c>
      <c r="K432" s="33">
        <f t="shared" si="313"/>
        <v>0</v>
      </c>
      <c r="L432" s="33">
        <f t="shared" si="313"/>
        <v>0</v>
      </c>
      <c r="M432" s="33">
        <f t="shared" si="313"/>
        <v>0</v>
      </c>
      <c r="N432" s="33">
        <f t="shared" si="313"/>
        <v>0</v>
      </c>
      <c r="O432" s="33">
        <f t="shared" si="313"/>
        <v>0</v>
      </c>
      <c r="P432" s="33">
        <f t="shared" si="313"/>
        <v>13080.4</v>
      </c>
      <c r="Q432" s="33">
        <f t="shared" si="313"/>
        <v>13080.4</v>
      </c>
      <c r="R432" s="33">
        <f t="shared" si="313"/>
        <v>0</v>
      </c>
      <c r="S432" s="33">
        <f t="shared" si="313"/>
        <v>0</v>
      </c>
      <c r="T432" s="33">
        <f t="shared" si="313"/>
        <v>0</v>
      </c>
      <c r="U432" s="33">
        <f t="shared" si="313"/>
        <v>0</v>
      </c>
      <c r="V432" s="33">
        <f t="shared" si="313"/>
        <v>0</v>
      </c>
      <c r="W432" s="33">
        <f t="shared" si="313"/>
        <v>0</v>
      </c>
      <c r="X432" s="33">
        <f t="shared" si="313"/>
        <v>0</v>
      </c>
      <c r="Y432" s="33">
        <f t="shared" si="313"/>
        <v>0</v>
      </c>
      <c r="Z432" s="32" t="s">
        <v>1225</v>
      </c>
      <c r="AA432" s="34" t="s">
        <v>330</v>
      </c>
      <c r="AB432" s="35" t="s">
        <v>57</v>
      </c>
      <c r="AC432" s="35" t="s">
        <v>57</v>
      </c>
      <c r="AD432" s="36"/>
    </row>
    <row r="433" spans="1:30" ht="46.5" x14ac:dyDescent="0.25">
      <c r="A433" s="37" t="s">
        <v>1226</v>
      </c>
      <c r="B433" s="38" t="s">
        <v>1227</v>
      </c>
      <c r="C433" s="39" t="s">
        <v>312</v>
      </c>
      <c r="D433" s="39" t="s">
        <v>316</v>
      </c>
      <c r="E433" s="39" t="s">
        <v>288</v>
      </c>
      <c r="F433" s="40">
        <f>SUM(F434:F434)+13100</f>
        <v>13100</v>
      </c>
      <c r="G433" s="40">
        <f>SUM(G434:G434)+13100</f>
        <v>13100</v>
      </c>
      <c r="H433" s="40">
        <f t="shared" ref="H433:O433" si="314">SUM(H434:H434)</f>
        <v>0</v>
      </c>
      <c r="I433" s="40">
        <f t="shared" si="314"/>
        <v>0</v>
      </c>
      <c r="J433" s="40">
        <f t="shared" si="314"/>
        <v>0</v>
      </c>
      <c r="K433" s="40">
        <f t="shared" si="314"/>
        <v>0</v>
      </c>
      <c r="L433" s="40">
        <f t="shared" si="314"/>
        <v>0</v>
      </c>
      <c r="M433" s="40">
        <f t="shared" si="314"/>
        <v>0</v>
      </c>
      <c r="N433" s="40">
        <f t="shared" si="314"/>
        <v>0</v>
      </c>
      <c r="O433" s="40">
        <f t="shared" si="314"/>
        <v>0</v>
      </c>
      <c r="P433" s="40">
        <f>SUM(P434:P434)+13080.4</f>
        <v>13080.4</v>
      </c>
      <c r="Q433" s="40">
        <f>SUM(Q434:Q434)+13080.4</f>
        <v>13080.4</v>
      </c>
      <c r="R433" s="40">
        <f t="shared" ref="R433:Y433" si="315">SUM(R434:R434)</f>
        <v>0</v>
      </c>
      <c r="S433" s="40">
        <f t="shared" si="315"/>
        <v>0</v>
      </c>
      <c r="T433" s="40">
        <f t="shared" si="315"/>
        <v>0</v>
      </c>
      <c r="U433" s="40">
        <f t="shared" si="315"/>
        <v>0</v>
      </c>
      <c r="V433" s="40">
        <f t="shared" si="315"/>
        <v>0</v>
      </c>
      <c r="W433" s="40">
        <f t="shared" si="315"/>
        <v>0</v>
      </c>
      <c r="X433" s="40">
        <f t="shared" si="315"/>
        <v>0</v>
      </c>
      <c r="Y433" s="40">
        <f t="shared" si="315"/>
        <v>0</v>
      </c>
      <c r="Z433" s="39" t="s">
        <v>1228</v>
      </c>
      <c r="AA433" s="41" t="s">
        <v>41</v>
      </c>
      <c r="AB433" s="42" t="s">
        <v>83</v>
      </c>
      <c r="AC433" s="42" t="s">
        <v>56</v>
      </c>
      <c r="AD433" s="43" t="s">
        <v>1229</v>
      </c>
    </row>
    <row r="434" spans="1:30" ht="46.5" x14ac:dyDescent="0.25">
      <c r="A434" s="37" t="s">
        <v>1230</v>
      </c>
      <c r="B434" s="38" t="s">
        <v>1231</v>
      </c>
      <c r="C434" s="39"/>
      <c r="D434" s="39"/>
      <c r="E434" s="39"/>
      <c r="F434" s="44">
        <v>0</v>
      </c>
      <c r="G434" s="44">
        <v>0</v>
      </c>
      <c r="H434" s="44">
        <v>0</v>
      </c>
      <c r="I434" s="44">
        <v>0</v>
      </c>
      <c r="J434" s="44">
        <v>0</v>
      </c>
      <c r="K434" s="44">
        <v>0</v>
      </c>
      <c r="L434" s="44">
        <v>0</v>
      </c>
      <c r="M434" s="44">
        <v>0</v>
      </c>
      <c r="N434" s="44">
        <v>0</v>
      </c>
      <c r="O434" s="44">
        <v>0</v>
      </c>
      <c r="P434" s="44">
        <v>0</v>
      </c>
      <c r="Q434" s="44">
        <v>0</v>
      </c>
      <c r="R434" s="44">
        <v>0</v>
      </c>
      <c r="S434" s="44">
        <v>0</v>
      </c>
      <c r="T434" s="44">
        <v>0</v>
      </c>
      <c r="U434" s="44">
        <v>0</v>
      </c>
      <c r="V434" s="44">
        <v>0</v>
      </c>
      <c r="W434" s="44">
        <v>0</v>
      </c>
      <c r="X434" s="44">
        <v>0</v>
      </c>
      <c r="Y434" s="44">
        <v>0</v>
      </c>
      <c r="Z434" s="39"/>
      <c r="AA434" s="41"/>
      <c r="AB434" s="42"/>
      <c r="AC434" s="42"/>
      <c r="AD434" s="43"/>
    </row>
    <row r="435" spans="1:30" ht="67.5" x14ac:dyDescent="0.25">
      <c r="A435" s="23" t="s">
        <v>1232</v>
      </c>
      <c r="B435" s="24" t="s">
        <v>1233</v>
      </c>
      <c r="C435" s="25" t="s">
        <v>312</v>
      </c>
      <c r="D435" s="25" t="s">
        <v>316</v>
      </c>
      <c r="E435" s="25"/>
      <c r="F435" s="26">
        <f t="shared" ref="F435:Y435" si="316">F436+F437+F446+F449</f>
        <v>620572</v>
      </c>
      <c r="G435" s="26">
        <f t="shared" si="316"/>
        <v>620572</v>
      </c>
      <c r="H435" s="26">
        <f t="shared" si="316"/>
        <v>0</v>
      </c>
      <c r="I435" s="26">
        <f t="shared" si="316"/>
        <v>0</v>
      </c>
      <c r="J435" s="26">
        <f t="shared" si="316"/>
        <v>0</v>
      </c>
      <c r="K435" s="26">
        <f t="shared" si="316"/>
        <v>0</v>
      </c>
      <c r="L435" s="26">
        <f t="shared" si="316"/>
        <v>0</v>
      </c>
      <c r="M435" s="26">
        <f t="shared" si="316"/>
        <v>0</v>
      </c>
      <c r="N435" s="26">
        <f t="shared" si="316"/>
        <v>0</v>
      </c>
      <c r="O435" s="26">
        <f t="shared" si="316"/>
        <v>0</v>
      </c>
      <c r="P435" s="26">
        <f t="shared" si="316"/>
        <v>533209.1100000001</v>
      </c>
      <c r="Q435" s="26">
        <f t="shared" si="316"/>
        <v>533209.1100000001</v>
      </c>
      <c r="R435" s="26">
        <f t="shared" si="316"/>
        <v>0</v>
      </c>
      <c r="S435" s="26">
        <f t="shared" si="316"/>
        <v>0</v>
      </c>
      <c r="T435" s="26">
        <f t="shared" si="316"/>
        <v>0</v>
      </c>
      <c r="U435" s="26">
        <f t="shared" si="316"/>
        <v>0</v>
      </c>
      <c r="V435" s="26">
        <f t="shared" si="316"/>
        <v>0</v>
      </c>
      <c r="W435" s="26">
        <f t="shared" si="316"/>
        <v>0</v>
      </c>
      <c r="X435" s="26">
        <f t="shared" si="316"/>
        <v>0</v>
      </c>
      <c r="Y435" s="26">
        <f t="shared" si="316"/>
        <v>0</v>
      </c>
      <c r="Z435" s="25" t="s">
        <v>1234</v>
      </c>
      <c r="AA435" s="27" t="s">
        <v>35</v>
      </c>
      <c r="AB435" s="28" t="s">
        <v>107</v>
      </c>
      <c r="AC435" s="28" t="s">
        <v>107</v>
      </c>
      <c r="AD435" s="29"/>
    </row>
    <row r="436" spans="1:30" ht="46.5" x14ac:dyDescent="0.25">
      <c r="A436" s="45"/>
      <c r="B436" s="46"/>
      <c r="C436" s="47"/>
      <c r="D436" s="47"/>
      <c r="E436" s="47"/>
      <c r="F436" s="48">
        <v>0</v>
      </c>
      <c r="G436" s="48">
        <v>0</v>
      </c>
      <c r="H436" s="48">
        <v>0</v>
      </c>
      <c r="I436" s="48">
        <v>0</v>
      </c>
      <c r="J436" s="48">
        <v>0</v>
      </c>
      <c r="K436" s="48">
        <v>0</v>
      </c>
      <c r="L436" s="48">
        <v>0</v>
      </c>
      <c r="M436" s="48">
        <v>0</v>
      </c>
      <c r="N436" s="48">
        <v>0</v>
      </c>
      <c r="O436" s="48">
        <v>0</v>
      </c>
      <c r="P436" s="48">
        <v>0</v>
      </c>
      <c r="Q436" s="48">
        <v>0</v>
      </c>
      <c r="R436" s="48">
        <v>0</v>
      </c>
      <c r="S436" s="48">
        <v>0</v>
      </c>
      <c r="T436" s="48">
        <v>0</v>
      </c>
      <c r="U436" s="48">
        <v>0</v>
      </c>
      <c r="V436" s="48">
        <v>0</v>
      </c>
      <c r="W436" s="48">
        <v>0</v>
      </c>
      <c r="X436" s="48">
        <v>0</v>
      </c>
      <c r="Y436" s="48">
        <v>0</v>
      </c>
      <c r="Z436" s="47" t="s">
        <v>1235</v>
      </c>
      <c r="AA436" s="49" t="s">
        <v>35</v>
      </c>
      <c r="AB436" s="50" t="s">
        <v>1236</v>
      </c>
      <c r="AC436" s="50" t="s">
        <v>1236</v>
      </c>
      <c r="AD436" s="51"/>
    </row>
    <row r="437" spans="1:30" ht="67.5" x14ac:dyDescent="0.25">
      <c r="A437" s="30" t="s">
        <v>1237</v>
      </c>
      <c r="B437" s="31" t="s">
        <v>1238</v>
      </c>
      <c r="C437" s="32" t="s">
        <v>312</v>
      </c>
      <c r="D437" s="32" t="s">
        <v>1003</v>
      </c>
      <c r="E437" s="32" t="s">
        <v>39</v>
      </c>
      <c r="F437" s="33">
        <f t="shared" ref="F437:Y437" si="317">F438+F440+F442+F444</f>
        <v>601143</v>
      </c>
      <c r="G437" s="33">
        <f t="shared" si="317"/>
        <v>601143</v>
      </c>
      <c r="H437" s="33">
        <f t="shared" si="317"/>
        <v>0</v>
      </c>
      <c r="I437" s="33">
        <f t="shared" si="317"/>
        <v>0</v>
      </c>
      <c r="J437" s="33">
        <f t="shared" si="317"/>
        <v>0</v>
      </c>
      <c r="K437" s="33">
        <f t="shared" si="317"/>
        <v>0</v>
      </c>
      <c r="L437" s="33">
        <f t="shared" si="317"/>
        <v>0</v>
      </c>
      <c r="M437" s="33">
        <f t="shared" si="317"/>
        <v>0</v>
      </c>
      <c r="N437" s="33">
        <f t="shared" si="317"/>
        <v>0</v>
      </c>
      <c r="O437" s="33">
        <f t="shared" si="317"/>
        <v>0</v>
      </c>
      <c r="P437" s="33">
        <f t="shared" si="317"/>
        <v>520773.18000000005</v>
      </c>
      <c r="Q437" s="33">
        <f t="shared" si="317"/>
        <v>520773.18000000005</v>
      </c>
      <c r="R437" s="33">
        <f t="shared" si="317"/>
        <v>0</v>
      </c>
      <c r="S437" s="33">
        <f t="shared" si="317"/>
        <v>0</v>
      </c>
      <c r="T437" s="33">
        <f t="shared" si="317"/>
        <v>0</v>
      </c>
      <c r="U437" s="33">
        <f t="shared" si="317"/>
        <v>0</v>
      </c>
      <c r="V437" s="33">
        <f t="shared" si="317"/>
        <v>0</v>
      </c>
      <c r="W437" s="33">
        <f t="shared" si="317"/>
        <v>0</v>
      </c>
      <c r="X437" s="33">
        <f t="shared" si="317"/>
        <v>0</v>
      </c>
      <c r="Y437" s="33">
        <f t="shared" si="317"/>
        <v>0</v>
      </c>
      <c r="Z437" s="32" t="s">
        <v>1239</v>
      </c>
      <c r="AA437" s="34" t="s">
        <v>41</v>
      </c>
      <c r="AB437" s="35" t="s">
        <v>56</v>
      </c>
      <c r="AC437" s="35" t="s">
        <v>56</v>
      </c>
      <c r="AD437" s="36"/>
    </row>
    <row r="438" spans="1:30" ht="46.5" x14ac:dyDescent="0.25">
      <c r="A438" s="37" t="s">
        <v>1240</v>
      </c>
      <c r="B438" s="38" t="s">
        <v>1241</v>
      </c>
      <c r="C438" s="39" t="s">
        <v>312</v>
      </c>
      <c r="D438" s="39" t="s">
        <v>1013</v>
      </c>
      <c r="E438" s="39" t="s">
        <v>46</v>
      </c>
      <c r="F438" s="40">
        <f>SUM(F439:F439)+41705</f>
        <v>41705</v>
      </c>
      <c r="G438" s="40">
        <f>SUM(G439:G439)+41705</f>
        <v>41705</v>
      </c>
      <c r="H438" s="40">
        <f t="shared" ref="H438:O438" si="318">SUM(H439:H439)</f>
        <v>0</v>
      </c>
      <c r="I438" s="40">
        <f t="shared" si="318"/>
        <v>0</v>
      </c>
      <c r="J438" s="40">
        <f t="shared" si="318"/>
        <v>0</v>
      </c>
      <c r="K438" s="40">
        <f t="shared" si="318"/>
        <v>0</v>
      </c>
      <c r="L438" s="40">
        <f t="shared" si="318"/>
        <v>0</v>
      </c>
      <c r="M438" s="40">
        <f t="shared" si="318"/>
        <v>0</v>
      </c>
      <c r="N438" s="40">
        <f t="shared" si="318"/>
        <v>0</v>
      </c>
      <c r="O438" s="40">
        <f t="shared" si="318"/>
        <v>0</v>
      </c>
      <c r="P438" s="40">
        <f>SUM(P439:P439)+41704.34</f>
        <v>41704.339999999997</v>
      </c>
      <c r="Q438" s="40">
        <f>SUM(Q439:Q439)+41704.34</f>
        <v>41704.339999999997</v>
      </c>
      <c r="R438" s="40">
        <f t="shared" ref="R438:Y438" si="319">SUM(R439:R439)</f>
        <v>0</v>
      </c>
      <c r="S438" s="40">
        <f t="shared" si="319"/>
        <v>0</v>
      </c>
      <c r="T438" s="40">
        <f t="shared" si="319"/>
        <v>0</v>
      </c>
      <c r="U438" s="40">
        <f t="shared" si="319"/>
        <v>0</v>
      </c>
      <c r="V438" s="40">
        <f t="shared" si="319"/>
        <v>0</v>
      </c>
      <c r="W438" s="40">
        <f t="shared" si="319"/>
        <v>0</v>
      </c>
      <c r="X438" s="40">
        <f t="shared" si="319"/>
        <v>0</v>
      </c>
      <c r="Y438" s="40">
        <f t="shared" si="319"/>
        <v>0</v>
      </c>
      <c r="Z438" s="39" t="s">
        <v>1242</v>
      </c>
      <c r="AA438" s="41" t="s">
        <v>41</v>
      </c>
      <c r="AB438" s="42" t="s">
        <v>42</v>
      </c>
      <c r="AC438" s="42" t="s">
        <v>42</v>
      </c>
      <c r="AD438" s="43"/>
    </row>
    <row r="439" spans="1:30" ht="46.5" x14ac:dyDescent="0.25">
      <c r="A439" s="37" t="s">
        <v>1243</v>
      </c>
      <c r="B439" s="38" t="s">
        <v>1244</v>
      </c>
      <c r="C439" s="39"/>
      <c r="D439" s="39"/>
      <c r="E439" s="39"/>
      <c r="F439" s="44">
        <v>0</v>
      </c>
      <c r="G439" s="44">
        <v>0</v>
      </c>
      <c r="H439" s="44">
        <v>0</v>
      </c>
      <c r="I439" s="44">
        <v>0</v>
      </c>
      <c r="J439" s="44">
        <v>0</v>
      </c>
      <c r="K439" s="44">
        <v>0</v>
      </c>
      <c r="L439" s="44">
        <v>0</v>
      </c>
      <c r="M439" s="44">
        <v>0</v>
      </c>
      <c r="N439" s="44">
        <v>0</v>
      </c>
      <c r="O439" s="44">
        <v>0</v>
      </c>
      <c r="P439" s="44">
        <v>0</v>
      </c>
      <c r="Q439" s="44">
        <v>0</v>
      </c>
      <c r="R439" s="44">
        <v>0</v>
      </c>
      <c r="S439" s="44">
        <v>0</v>
      </c>
      <c r="T439" s="44">
        <v>0</v>
      </c>
      <c r="U439" s="44">
        <v>0</v>
      </c>
      <c r="V439" s="44">
        <v>0</v>
      </c>
      <c r="W439" s="44">
        <v>0</v>
      </c>
      <c r="X439" s="44">
        <v>0</v>
      </c>
      <c r="Y439" s="44">
        <v>0</v>
      </c>
      <c r="Z439" s="39"/>
      <c r="AA439" s="41"/>
      <c r="AB439" s="42"/>
      <c r="AC439" s="42"/>
      <c r="AD439" s="43"/>
    </row>
    <row r="440" spans="1:30" ht="69.75" x14ac:dyDescent="0.25">
      <c r="A440" s="37" t="s">
        <v>1245</v>
      </c>
      <c r="B440" s="38" t="s">
        <v>1246</v>
      </c>
      <c r="C440" s="39" t="s">
        <v>312</v>
      </c>
      <c r="D440" s="39" t="s">
        <v>1013</v>
      </c>
      <c r="E440" s="39" t="s">
        <v>46</v>
      </c>
      <c r="F440" s="40">
        <f>SUM(F441:F441)+171367</f>
        <v>171367</v>
      </c>
      <c r="G440" s="40">
        <f>SUM(G441:G441)+171367</f>
        <v>171367</v>
      </c>
      <c r="H440" s="40">
        <f t="shared" ref="H440:O440" si="320">SUM(H441:H441)</f>
        <v>0</v>
      </c>
      <c r="I440" s="40">
        <f t="shared" si="320"/>
        <v>0</v>
      </c>
      <c r="J440" s="40">
        <f t="shared" si="320"/>
        <v>0</v>
      </c>
      <c r="K440" s="40">
        <f t="shared" si="320"/>
        <v>0</v>
      </c>
      <c r="L440" s="40">
        <f t="shared" si="320"/>
        <v>0</v>
      </c>
      <c r="M440" s="40">
        <f t="shared" si="320"/>
        <v>0</v>
      </c>
      <c r="N440" s="40">
        <f t="shared" si="320"/>
        <v>0</v>
      </c>
      <c r="O440" s="40">
        <f t="shared" si="320"/>
        <v>0</v>
      </c>
      <c r="P440" s="40">
        <f>SUM(P441:P441)+171366.63</f>
        <v>171366.63</v>
      </c>
      <c r="Q440" s="40">
        <f>SUM(Q441:Q441)+171366.63</f>
        <v>171366.63</v>
      </c>
      <c r="R440" s="40">
        <f t="shared" ref="R440:Y440" si="321">SUM(R441:R441)</f>
        <v>0</v>
      </c>
      <c r="S440" s="40">
        <f t="shared" si="321"/>
        <v>0</v>
      </c>
      <c r="T440" s="40">
        <f t="shared" si="321"/>
        <v>0</v>
      </c>
      <c r="U440" s="40">
        <f t="shared" si="321"/>
        <v>0</v>
      </c>
      <c r="V440" s="40">
        <f t="shared" si="321"/>
        <v>0</v>
      </c>
      <c r="W440" s="40">
        <f t="shared" si="321"/>
        <v>0</v>
      </c>
      <c r="X440" s="40">
        <f t="shared" si="321"/>
        <v>0</v>
      </c>
      <c r="Y440" s="40">
        <f t="shared" si="321"/>
        <v>0</v>
      </c>
      <c r="Z440" s="39" t="s">
        <v>1247</v>
      </c>
      <c r="AA440" s="41" t="s">
        <v>41</v>
      </c>
      <c r="AB440" s="42" t="s">
        <v>49</v>
      </c>
      <c r="AC440" s="42" t="s">
        <v>218</v>
      </c>
      <c r="AD440" s="43" t="s">
        <v>1248</v>
      </c>
    </row>
    <row r="441" spans="1:30" ht="46.5" x14ac:dyDescent="0.25">
      <c r="A441" s="37" t="s">
        <v>1249</v>
      </c>
      <c r="B441" s="38" t="s">
        <v>1250</v>
      </c>
      <c r="C441" s="39"/>
      <c r="D441" s="39"/>
      <c r="E441" s="39"/>
      <c r="F441" s="44">
        <v>0</v>
      </c>
      <c r="G441" s="44">
        <v>0</v>
      </c>
      <c r="H441" s="44">
        <v>0</v>
      </c>
      <c r="I441" s="44">
        <v>0</v>
      </c>
      <c r="J441" s="44">
        <v>0</v>
      </c>
      <c r="K441" s="44">
        <v>0</v>
      </c>
      <c r="L441" s="44">
        <v>0</v>
      </c>
      <c r="M441" s="44">
        <v>0</v>
      </c>
      <c r="N441" s="44">
        <v>0</v>
      </c>
      <c r="O441" s="44">
        <v>0</v>
      </c>
      <c r="P441" s="44">
        <v>0</v>
      </c>
      <c r="Q441" s="44">
        <v>0</v>
      </c>
      <c r="R441" s="44">
        <v>0</v>
      </c>
      <c r="S441" s="44">
        <v>0</v>
      </c>
      <c r="T441" s="44">
        <v>0</v>
      </c>
      <c r="U441" s="44">
        <v>0</v>
      </c>
      <c r="V441" s="44">
        <v>0</v>
      </c>
      <c r="W441" s="44">
        <v>0</v>
      </c>
      <c r="X441" s="44">
        <v>0</v>
      </c>
      <c r="Y441" s="44">
        <v>0</v>
      </c>
      <c r="Z441" s="39"/>
      <c r="AA441" s="41"/>
      <c r="AB441" s="42"/>
      <c r="AC441" s="42"/>
      <c r="AD441" s="43"/>
    </row>
    <row r="442" spans="1:30" ht="46.5" x14ac:dyDescent="0.25">
      <c r="A442" s="37" t="s">
        <v>1251</v>
      </c>
      <c r="B442" s="38" t="s">
        <v>1252</v>
      </c>
      <c r="C442" s="39" t="s">
        <v>312</v>
      </c>
      <c r="D442" s="39" t="s">
        <v>1013</v>
      </c>
      <c r="E442" s="39" t="s">
        <v>46</v>
      </c>
      <c r="F442" s="40">
        <f>SUM(F443:F443)+4000</f>
        <v>4000</v>
      </c>
      <c r="G442" s="40">
        <f>SUM(G443:G443)+4000</f>
        <v>4000</v>
      </c>
      <c r="H442" s="40">
        <f t="shared" ref="H442:O442" si="322">SUM(H443:H443)</f>
        <v>0</v>
      </c>
      <c r="I442" s="40">
        <f t="shared" si="322"/>
        <v>0</v>
      </c>
      <c r="J442" s="40">
        <f t="shared" si="322"/>
        <v>0</v>
      </c>
      <c r="K442" s="40">
        <f t="shared" si="322"/>
        <v>0</v>
      </c>
      <c r="L442" s="40">
        <f t="shared" si="322"/>
        <v>0</v>
      </c>
      <c r="M442" s="40">
        <f t="shared" si="322"/>
        <v>0</v>
      </c>
      <c r="N442" s="40">
        <f t="shared" si="322"/>
        <v>0</v>
      </c>
      <c r="O442" s="40">
        <f t="shared" si="322"/>
        <v>0</v>
      </c>
      <c r="P442" s="40">
        <f>SUM(P443:P443)+3991.25</f>
        <v>3991.25</v>
      </c>
      <c r="Q442" s="40">
        <f>SUM(Q443:Q443)+3991.25</f>
        <v>3991.25</v>
      </c>
      <c r="R442" s="40">
        <f t="shared" ref="R442:Y442" si="323">SUM(R443:R443)</f>
        <v>0</v>
      </c>
      <c r="S442" s="40">
        <f t="shared" si="323"/>
        <v>0</v>
      </c>
      <c r="T442" s="40">
        <f t="shared" si="323"/>
        <v>0</v>
      </c>
      <c r="U442" s="40">
        <f t="shared" si="323"/>
        <v>0</v>
      </c>
      <c r="V442" s="40">
        <f t="shared" si="323"/>
        <v>0</v>
      </c>
      <c r="W442" s="40">
        <f t="shared" si="323"/>
        <v>0</v>
      </c>
      <c r="X442" s="40">
        <f t="shared" si="323"/>
        <v>0</v>
      </c>
      <c r="Y442" s="40">
        <f t="shared" si="323"/>
        <v>0</v>
      </c>
      <c r="Z442" s="39" t="s">
        <v>1253</v>
      </c>
      <c r="AA442" s="41" t="s">
        <v>41</v>
      </c>
      <c r="AB442" s="42" t="s">
        <v>42</v>
      </c>
      <c r="AC442" s="42" t="s">
        <v>42</v>
      </c>
      <c r="AD442" s="43"/>
    </row>
    <row r="443" spans="1:30" ht="46.5" x14ac:dyDescent="0.25">
      <c r="A443" s="37" t="s">
        <v>1254</v>
      </c>
      <c r="B443" s="38" t="s">
        <v>1255</v>
      </c>
      <c r="C443" s="39"/>
      <c r="D443" s="39"/>
      <c r="E443" s="39"/>
      <c r="F443" s="44">
        <v>0</v>
      </c>
      <c r="G443" s="44">
        <v>0</v>
      </c>
      <c r="H443" s="44">
        <v>0</v>
      </c>
      <c r="I443" s="44">
        <v>0</v>
      </c>
      <c r="J443" s="44">
        <v>0</v>
      </c>
      <c r="K443" s="44">
        <v>0</v>
      </c>
      <c r="L443" s="44">
        <v>0</v>
      </c>
      <c r="M443" s="44">
        <v>0</v>
      </c>
      <c r="N443" s="44">
        <v>0</v>
      </c>
      <c r="O443" s="44">
        <v>0</v>
      </c>
      <c r="P443" s="44">
        <v>0</v>
      </c>
      <c r="Q443" s="44">
        <v>0</v>
      </c>
      <c r="R443" s="44">
        <v>0</v>
      </c>
      <c r="S443" s="44">
        <v>0</v>
      </c>
      <c r="T443" s="44">
        <v>0</v>
      </c>
      <c r="U443" s="44">
        <v>0</v>
      </c>
      <c r="V443" s="44">
        <v>0</v>
      </c>
      <c r="W443" s="44">
        <v>0</v>
      </c>
      <c r="X443" s="44">
        <v>0</v>
      </c>
      <c r="Y443" s="44">
        <v>0</v>
      </c>
      <c r="Z443" s="39"/>
      <c r="AA443" s="41"/>
      <c r="AB443" s="42"/>
      <c r="AC443" s="42"/>
      <c r="AD443" s="43"/>
    </row>
    <row r="444" spans="1:30" ht="69.75" x14ac:dyDescent="0.25">
      <c r="A444" s="37" t="s">
        <v>1256</v>
      </c>
      <c r="B444" s="38" t="s">
        <v>1257</v>
      </c>
      <c r="C444" s="39" t="s">
        <v>312</v>
      </c>
      <c r="D444" s="39" t="s">
        <v>1003</v>
      </c>
      <c r="E444" s="39" t="s">
        <v>46</v>
      </c>
      <c r="F444" s="40">
        <f>SUM(F445:F445)+384071</f>
        <v>384071</v>
      </c>
      <c r="G444" s="40">
        <f>SUM(G445:G445)+384071</f>
        <v>384071</v>
      </c>
      <c r="H444" s="40">
        <f t="shared" ref="H444:O444" si="324">SUM(H445:H445)</f>
        <v>0</v>
      </c>
      <c r="I444" s="40">
        <f t="shared" si="324"/>
        <v>0</v>
      </c>
      <c r="J444" s="40">
        <f t="shared" si="324"/>
        <v>0</v>
      </c>
      <c r="K444" s="40">
        <f t="shared" si="324"/>
        <v>0</v>
      </c>
      <c r="L444" s="40">
        <f t="shared" si="324"/>
        <v>0</v>
      </c>
      <c r="M444" s="40">
        <f t="shared" si="324"/>
        <v>0</v>
      </c>
      <c r="N444" s="40">
        <f t="shared" si="324"/>
        <v>0</v>
      </c>
      <c r="O444" s="40">
        <f t="shared" si="324"/>
        <v>0</v>
      </c>
      <c r="P444" s="40">
        <f>SUM(P445:P445)+303710.96</f>
        <v>303710.96000000002</v>
      </c>
      <c r="Q444" s="40">
        <f>SUM(Q445:Q445)+303710.96</f>
        <v>303710.96000000002</v>
      </c>
      <c r="R444" s="40">
        <f t="shared" ref="R444:Y444" si="325">SUM(R445:R445)</f>
        <v>0</v>
      </c>
      <c r="S444" s="40">
        <f t="shared" si="325"/>
        <v>0</v>
      </c>
      <c r="T444" s="40">
        <f t="shared" si="325"/>
        <v>0</v>
      </c>
      <c r="U444" s="40">
        <f t="shared" si="325"/>
        <v>0</v>
      </c>
      <c r="V444" s="40">
        <f t="shared" si="325"/>
        <v>0</v>
      </c>
      <c r="W444" s="40">
        <f t="shared" si="325"/>
        <v>0</v>
      </c>
      <c r="X444" s="40">
        <f t="shared" si="325"/>
        <v>0</v>
      </c>
      <c r="Y444" s="40">
        <f t="shared" si="325"/>
        <v>0</v>
      </c>
      <c r="Z444" s="39" t="s">
        <v>1258</v>
      </c>
      <c r="AA444" s="41" t="s">
        <v>41</v>
      </c>
      <c r="AB444" s="42" t="s">
        <v>83</v>
      </c>
      <c r="AC444" s="42" t="s">
        <v>83</v>
      </c>
      <c r="AD444" s="43" t="s">
        <v>1259</v>
      </c>
    </row>
    <row r="445" spans="1:30" x14ac:dyDescent="0.25">
      <c r="A445" s="37" t="s">
        <v>1260</v>
      </c>
      <c r="B445" s="38" t="s">
        <v>1261</v>
      </c>
      <c r="C445" s="39"/>
      <c r="D445" s="39"/>
      <c r="E445" s="39"/>
      <c r="F445" s="44">
        <v>0</v>
      </c>
      <c r="G445" s="44">
        <v>0</v>
      </c>
      <c r="H445" s="44">
        <v>0</v>
      </c>
      <c r="I445" s="44">
        <v>0</v>
      </c>
      <c r="J445" s="44">
        <v>0</v>
      </c>
      <c r="K445" s="44">
        <v>0</v>
      </c>
      <c r="L445" s="44">
        <v>0</v>
      </c>
      <c r="M445" s="44">
        <v>0</v>
      </c>
      <c r="N445" s="44">
        <v>0</v>
      </c>
      <c r="O445" s="44">
        <v>0</v>
      </c>
      <c r="P445" s="44">
        <v>0</v>
      </c>
      <c r="Q445" s="44">
        <v>0</v>
      </c>
      <c r="R445" s="44">
        <v>0</v>
      </c>
      <c r="S445" s="44">
        <v>0</v>
      </c>
      <c r="T445" s="44">
        <v>0</v>
      </c>
      <c r="U445" s="44">
        <v>0</v>
      </c>
      <c r="V445" s="44">
        <v>0</v>
      </c>
      <c r="W445" s="44">
        <v>0</v>
      </c>
      <c r="X445" s="44">
        <v>0</v>
      </c>
      <c r="Y445" s="44">
        <v>0</v>
      </c>
      <c r="Z445" s="39"/>
      <c r="AA445" s="41"/>
      <c r="AB445" s="42"/>
      <c r="AC445" s="42"/>
      <c r="AD445" s="43"/>
    </row>
    <row r="446" spans="1:30" ht="45" x14ac:dyDescent="0.25">
      <c r="A446" s="30" t="s">
        <v>1262</v>
      </c>
      <c r="B446" s="31" t="s">
        <v>1263</v>
      </c>
      <c r="C446" s="32" t="s">
        <v>312</v>
      </c>
      <c r="D446" s="32" t="s">
        <v>1003</v>
      </c>
      <c r="E446" s="32" t="s">
        <v>39</v>
      </c>
      <c r="F446" s="33">
        <f t="shared" ref="F446:Y446" si="326">SUM(F447:F447)</f>
        <v>14429</v>
      </c>
      <c r="G446" s="33">
        <f t="shared" si="326"/>
        <v>14429</v>
      </c>
      <c r="H446" s="33">
        <f t="shared" si="326"/>
        <v>0</v>
      </c>
      <c r="I446" s="33">
        <f t="shared" si="326"/>
        <v>0</v>
      </c>
      <c r="J446" s="33">
        <f t="shared" si="326"/>
        <v>0</v>
      </c>
      <c r="K446" s="33">
        <f t="shared" si="326"/>
        <v>0</v>
      </c>
      <c r="L446" s="33">
        <f t="shared" si="326"/>
        <v>0</v>
      </c>
      <c r="M446" s="33">
        <f t="shared" si="326"/>
        <v>0</v>
      </c>
      <c r="N446" s="33">
        <f t="shared" si="326"/>
        <v>0</v>
      </c>
      <c r="O446" s="33">
        <f t="shared" si="326"/>
        <v>0</v>
      </c>
      <c r="P446" s="33">
        <f t="shared" si="326"/>
        <v>12435.93</v>
      </c>
      <c r="Q446" s="33">
        <f t="shared" si="326"/>
        <v>12435.93</v>
      </c>
      <c r="R446" s="33">
        <f t="shared" si="326"/>
        <v>0</v>
      </c>
      <c r="S446" s="33">
        <f t="shared" si="326"/>
        <v>0</v>
      </c>
      <c r="T446" s="33">
        <f t="shared" si="326"/>
        <v>0</v>
      </c>
      <c r="U446" s="33">
        <f t="shared" si="326"/>
        <v>0</v>
      </c>
      <c r="V446" s="33">
        <f t="shared" si="326"/>
        <v>0</v>
      </c>
      <c r="W446" s="33">
        <f t="shared" si="326"/>
        <v>0</v>
      </c>
      <c r="X446" s="33">
        <f t="shared" si="326"/>
        <v>0</v>
      </c>
      <c r="Y446" s="33">
        <f t="shared" si="326"/>
        <v>0</v>
      </c>
      <c r="Z446" s="32" t="s">
        <v>1264</v>
      </c>
      <c r="AA446" s="34" t="s">
        <v>417</v>
      </c>
      <c r="AB446" s="35" t="s">
        <v>56</v>
      </c>
      <c r="AC446" s="35" t="s">
        <v>56</v>
      </c>
      <c r="AD446" s="36"/>
    </row>
    <row r="447" spans="1:30" ht="69.75" x14ac:dyDescent="0.25">
      <c r="A447" s="37" t="s">
        <v>1265</v>
      </c>
      <c r="B447" s="38" t="s">
        <v>1266</v>
      </c>
      <c r="C447" s="39" t="s">
        <v>312</v>
      </c>
      <c r="D447" s="39" t="s">
        <v>1013</v>
      </c>
      <c r="E447" s="39" t="s">
        <v>46</v>
      </c>
      <c r="F447" s="40">
        <f>SUM(F448:F448)+14429</f>
        <v>14429</v>
      </c>
      <c r="G447" s="40">
        <f>SUM(G448:G448)+14429</f>
        <v>14429</v>
      </c>
      <c r="H447" s="40">
        <f t="shared" ref="H447:O447" si="327">SUM(H448:H448)</f>
        <v>0</v>
      </c>
      <c r="I447" s="40">
        <f t="shared" si="327"/>
        <v>0</v>
      </c>
      <c r="J447" s="40">
        <f t="shared" si="327"/>
        <v>0</v>
      </c>
      <c r="K447" s="40">
        <f t="shared" si="327"/>
        <v>0</v>
      </c>
      <c r="L447" s="40">
        <f t="shared" si="327"/>
        <v>0</v>
      </c>
      <c r="M447" s="40">
        <f t="shared" si="327"/>
        <v>0</v>
      </c>
      <c r="N447" s="40">
        <f t="shared" si="327"/>
        <v>0</v>
      </c>
      <c r="O447" s="40">
        <f t="shared" si="327"/>
        <v>0</v>
      </c>
      <c r="P447" s="40">
        <f>SUM(P448:P448)+12435.93</f>
        <v>12435.93</v>
      </c>
      <c r="Q447" s="40">
        <f>SUM(Q448:Q448)+12435.93</f>
        <v>12435.93</v>
      </c>
      <c r="R447" s="40">
        <f t="shared" ref="R447:Y447" si="328">SUM(R448:R448)</f>
        <v>0</v>
      </c>
      <c r="S447" s="40">
        <f t="shared" si="328"/>
        <v>0</v>
      </c>
      <c r="T447" s="40">
        <f t="shared" si="328"/>
        <v>0</v>
      </c>
      <c r="U447" s="40">
        <f t="shared" si="328"/>
        <v>0</v>
      </c>
      <c r="V447" s="40">
        <f t="shared" si="328"/>
        <v>0</v>
      </c>
      <c r="W447" s="40">
        <f t="shared" si="328"/>
        <v>0</v>
      </c>
      <c r="X447" s="40">
        <f t="shared" si="328"/>
        <v>0</v>
      </c>
      <c r="Y447" s="40">
        <f t="shared" si="328"/>
        <v>0</v>
      </c>
      <c r="Z447" s="39" t="s">
        <v>1267</v>
      </c>
      <c r="AA447" s="41" t="s">
        <v>41</v>
      </c>
      <c r="AB447" s="42" t="s">
        <v>56</v>
      </c>
      <c r="AC447" s="42" t="s">
        <v>56</v>
      </c>
      <c r="AD447" s="43"/>
    </row>
    <row r="448" spans="1:30" ht="46.5" x14ac:dyDescent="0.25">
      <c r="A448" s="37" t="s">
        <v>1268</v>
      </c>
      <c r="B448" s="38" t="s">
        <v>1269</v>
      </c>
      <c r="C448" s="39"/>
      <c r="D448" s="39"/>
      <c r="E448" s="39"/>
      <c r="F448" s="44">
        <v>0</v>
      </c>
      <c r="G448" s="44">
        <v>0</v>
      </c>
      <c r="H448" s="44">
        <v>0</v>
      </c>
      <c r="I448" s="44">
        <v>0</v>
      </c>
      <c r="J448" s="44">
        <v>0</v>
      </c>
      <c r="K448" s="44">
        <v>0</v>
      </c>
      <c r="L448" s="44">
        <v>0</v>
      </c>
      <c r="M448" s="44">
        <v>0</v>
      </c>
      <c r="N448" s="44">
        <v>0</v>
      </c>
      <c r="O448" s="44">
        <v>0</v>
      </c>
      <c r="P448" s="44">
        <v>0</v>
      </c>
      <c r="Q448" s="44">
        <v>0</v>
      </c>
      <c r="R448" s="44">
        <v>0</v>
      </c>
      <c r="S448" s="44">
        <v>0</v>
      </c>
      <c r="T448" s="44">
        <v>0</v>
      </c>
      <c r="U448" s="44">
        <v>0</v>
      </c>
      <c r="V448" s="44">
        <v>0</v>
      </c>
      <c r="W448" s="44">
        <v>0</v>
      </c>
      <c r="X448" s="44">
        <v>0</v>
      </c>
      <c r="Y448" s="44">
        <v>0</v>
      </c>
      <c r="Z448" s="39"/>
      <c r="AA448" s="41"/>
      <c r="AB448" s="42"/>
      <c r="AC448" s="42"/>
      <c r="AD448" s="43"/>
    </row>
    <row r="449" spans="1:30" ht="67.5" x14ac:dyDescent="0.25">
      <c r="A449" s="30" t="s">
        <v>1270</v>
      </c>
      <c r="B449" s="31" t="s">
        <v>1271</v>
      </c>
      <c r="C449" s="32" t="s">
        <v>312</v>
      </c>
      <c r="D449" s="32" t="s">
        <v>1003</v>
      </c>
      <c r="E449" s="32" t="s">
        <v>39</v>
      </c>
      <c r="F449" s="33">
        <f t="shared" ref="F449:Y449" si="329">SUM(F450:F450)</f>
        <v>5000</v>
      </c>
      <c r="G449" s="33">
        <f t="shared" si="329"/>
        <v>5000</v>
      </c>
      <c r="H449" s="33">
        <f t="shared" si="329"/>
        <v>0</v>
      </c>
      <c r="I449" s="33">
        <f t="shared" si="329"/>
        <v>0</v>
      </c>
      <c r="J449" s="33">
        <f t="shared" si="329"/>
        <v>0</v>
      </c>
      <c r="K449" s="33">
        <f t="shared" si="329"/>
        <v>0</v>
      </c>
      <c r="L449" s="33">
        <f t="shared" si="329"/>
        <v>0</v>
      </c>
      <c r="M449" s="33">
        <f t="shared" si="329"/>
        <v>0</v>
      </c>
      <c r="N449" s="33">
        <f t="shared" si="329"/>
        <v>0</v>
      </c>
      <c r="O449" s="33">
        <f t="shared" si="329"/>
        <v>0</v>
      </c>
      <c r="P449" s="33">
        <f t="shared" si="329"/>
        <v>0</v>
      </c>
      <c r="Q449" s="33">
        <f t="shared" si="329"/>
        <v>0</v>
      </c>
      <c r="R449" s="33">
        <f t="shared" si="329"/>
        <v>0</v>
      </c>
      <c r="S449" s="33">
        <f t="shared" si="329"/>
        <v>0</v>
      </c>
      <c r="T449" s="33">
        <f t="shared" si="329"/>
        <v>0</v>
      </c>
      <c r="U449" s="33">
        <f t="shared" si="329"/>
        <v>0</v>
      </c>
      <c r="V449" s="33">
        <f t="shared" si="329"/>
        <v>0</v>
      </c>
      <c r="W449" s="33">
        <f t="shared" si="329"/>
        <v>0</v>
      </c>
      <c r="X449" s="33">
        <f t="shared" si="329"/>
        <v>0</v>
      </c>
      <c r="Y449" s="33">
        <f t="shared" si="329"/>
        <v>0</v>
      </c>
      <c r="Z449" s="32" t="s">
        <v>1272</v>
      </c>
      <c r="AA449" s="34" t="s">
        <v>41</v>
      </c>
      <c r="AB449" s="35" t="s">
        <v>56</v>
      </c>
      <c r="AC449" s="35" t="s">
        <v>57</v>
      </c>
      <c r="AD449" s="36"/>
    </row>
    <row r="450" spans="1:30" ht="69.75" x14ac:dyDescent="0.25">
      <c r="A450" s="37" t="s">
        <v>1273</v>
      </c>
      <c r="B450" s="38" t="s">
        <v>1274</v>
      </c>
      <c r="C450" s="39" t="s">
        <v>312</v>
      </c>
      <c r="D450" s="39" t="s">
        <v>1013</v>
      </c>
      <c r="E450" s="39" t="s">
        <v>46</v>
      </c>
      <c r="F450" s="40">
        <f>SUM(F451:F451)+5000</f>
        <v>5000</v>
      </c>
      <c r="G450" s="40">
        <f>SUM(G451:G451)+5000</f>
        <v>5000</v>
      </c>
      <c r="H450" s="40">
        <f t="shared" ref="H450:Y450" si="330">SUM(H451:H451)</f>
        <v>0</v>
      </c>
      <c r="I450" s="40">
        <f t="shared" si="330"/>
        <v>0</v>
      </c>
      <c r="J450" s="40">
        <f t="shared" si="330"/>
        <v>0</v>
      </c>
      <c r="K450" s="40">
        <f t="shared" si="330"/>
        <v>0</v>
      </c>
      <c r="L450" s="40">
        <f t="shared" si="330"/>
        <v>0</v>
      </c>
      <c r="M450" s="40">
        <f t="shared" si="330"/>
        <v>0</v>
      </c>
      <c r="N450" s="40">
        <f t="shared" si="330"/>
        <v>0</v>
      </c>
      <c r="O450" s="40">
        <f t="shared" si="330"/>
        <v>0</v>
      </c>
      <c r="P450" s="40">
        <f t="shared" si="330"/>
        <v>0</v>
      </c>
      <c r="Q450" s="40">
        <f t="shared" si="330"/>
        <v>0</v>
      </c>
      <c r="R450" s="40">
        <f t="shared" si="330"/>
        <v>0</v>
      </c>
      <c r="S450" s="40">
        <f t="shared" si="330"/>
        <v>0</v>
      </c>
      <c r="T450" s="40">
        <f t="shared" si="330"/>
        <v>0</v>
      </c>
      <c r="U450" s="40">
        <f t="shared" si="330"/>
        <v>0</v>
      </c>
      <c r="V450" s="40">
        <f t="shared" si="330"/>
        <v>0</v>
      </c>
      <c r="W450" s="40">
        <f t="shared" si="330"/>
        <v>0</v>
      </c>
      <c r="X450" s="40">
        <f t="shared" si="330"/>
        <v>0</v>
      </c>
      <c r="Y450" s="40">
        <f t="shared" si="330"/>
        <v>0</v>
      </c>
      <c r="Z450" s="39" t="s">
        <v>1275</v>
      </c>
      <c r="AA450" s="41" t="s">
        <v>417</v>
      </c>
      <c r="AB450" s="42" t="s">
        <v>42</v>
      </c>
      <c r="AC450" s="42" t="s">
        <v>57</v>
      </c>
      <c r="AD450" s="43" t="s">
        <v>1276</v>
      </c>
    </row>
    <row r="451" spans="1:30" ht="46.5" x14ac:dyDescent="0.25">
      <c r="A451" s="37" t="s">
        <v>1277</v>
      </c>
      <c r="B451" s="38" t="s">
        <v>1278</v>
      </c>
      <c r="C451" s="39"/>
      <c r="D451" s="39"/>
      <c r="E451" s="39"/>
      <c r="F451" s="44">
        <v>0</v>
      </c>
      <c r="G451" s="44">
        <v>0</v>
      </c>
      <c r="H451" s="44">
        <v>0</v>
      </c>
      <c r="I451" s="44">
        <v>0</v>
      </c>
      <c r="J451" s="44">
        <v>0</v>
      </c>
      <c r="K451" s="44">
        <v>0</v>
      </c>
      <c r="L451" s="44">
        <v>0</v>
      </c>
      <c r="M451" s="44">
        <v>0</v>
      </c>
      <c r="N451" s="44">
        <v>0</v>
      </c>
      <c r="O451" s="44">
        <v>0</v>
      </c>
      <c r="P451" s="44">
        <v>0</v>
      </c>
      <c r="Q451" s="44">
        <v>0</v>
      </c>
      <c r="R451" s="44">
        <v>0</v>
      </c>
      <c r="S451" s="44">
        <v>0</v>
      </c>
      <c r="T451" s="44">
        <v>0</v>
      </c>
      <c r="U451" s="44">
        <v>0</v>
      </c>
      <c r="V451" s="44">
        <v>0</v>
      </c>
      <c r="W451" s="44">
        <v>0</v>
      </c>
      <c r="X451" s="44">
        <v>0</v>
      </c>
      <c r="Y451" s="44">
        <v>0</v>
      </c>
      <c r="Z451" s="39"/>
      <c r="AA451" s="41"/>
      <c r="AB451" s="42"/>
      <c r="AC451" s="42"/>
      <c r="AD451" s="43"/>
    </row>
    <row r="452" spans="1:30" ht="45" x14ac:dyDescent="0.25">
      <c r="A452" s="23" t="s">
        <v>1279</v>
      </c>
      <c r="B452" s="24" t="s">
        <v>1280</v>
      </c>
      <c r="C452" s="25" t="s">
        <v>312</v>
      </c>
      <c r="D452" s="25" t="s">
        <v>316</v>
      </c>
      <c r="E452" s="25"/>
      <c r="F452" s="26">
        <f t="shared" ref="F452:Y452" si="331">F453+F485+F488+F491+F496</f>
        <v>2662447</v>
      </c>
      <c r="G452" s="26">
        <f t="shared" si="331"/>
        <v>722220.78</v>
      </c>
      <c r="H452" s="26">
        <f t="shared" si="331"/>
        <v>19410.89</v>
      </c>
      <c r="I452" s="26">
        <f t="shared" si="331"/>
        <v>0</v>
      </c>
      <c r="J452" s="26">
        <f t="shared" si="331"/>
        <v>0</v>
      </c>
      <c r="K452" s="26">
        <f t="shared" si="331"/>
        <v>0</v>
      </c>
      <c r="L452" s="26">
        <f t="shared" si="331"/>
        <v>0</v>
      </c>
      <c r="M452" s="26">
        <f t="shared" si="331"/>
        <v>1920815.33</v>
      </c>
      <c r="N452" s="26">
        <f t="shared" si="331"/>
        <v>0</v>
      </c>
      <c r="O452" s="26">
        <f t="shared" si="331"/>
        <v>0</v>
      </c>
      <c r="P452" s="26">
        <f t="shared" si="331"/>
        <v>2548237.69</v>
      </c>
      <c r="Q452" s="26">
        <f t="shared" si="331"/>
        <v>700765.01</v>
      </c>
      <c r="R452" s="26">
        <f t="shared" si="331"/>
        <v>0</v>
      </c>
      <c r="S452" s="26">
        <f t="shared" si="331"/>
        <v>0</v>
      </c>
      <c r="T452" s="26">
        <f t="shared" si="331"/>
        <v>0</v>
      </c>
      <c r="U452" s="26">
        <f t="shared" si="331"/>
        <v>0</v>
      </c>
      <c r="V452" s="26">
        <f t="shared" si="331"/>
        <v>0</v>
      </c>
      <c r="W452" s="26">
        <f t="shared" si="331"/>
        <v>1763679.97</v>
      </c>
      <c r="X452" s="26">
        <f t="shared" si="331"/>
        <v>0</v>
      </c>
      <c r="Y452" s="26">
        <f t="shared" si="331"/>
        <v>0</v>
      </c>
      <c r="Z452" s="25" t="s">
        <v>1281</v>
      </c>
      <c r="AA452" s="27" t="s">
        <v>35</v>
      </c>
      <c r="AB452" s="28" t="s">
        <v>413</v>
      </c>
      <c r="AC452" s="28" t="s">
        <v>413</v>
      </c>
      <c r="AD452" s="29"/>
    </row>
    <row r="453" spans="1:30" ht="67.5" x14ac:dyDescent="0.25">
      <c r="A453" s="30" t="s">
        <v>1282</v>
      </c>
      <c r="B453" s="31" t="s">
        <v>1283</v>
      </c>
      <c r="C453" s="32" t="s">
        <v>312</v>
      </c>
      <c r="D453" s="32" t="s">
        <v>316</v>
      </c>
      <c r="E453" s="32" t="s">
        <v>39</v>
      </c>
      <c r="F453" s="33">
        <f t="shared" ref="F453:Y453" si="332">F454+F457+F459+F461+F463+F465+F467+F469+F471+F473+F475+F477+F479+F481+F483</f>
        <v>2513860</v>
      </c>
      <c r="G453" s="33">
        <f t="shared" si="332"/>
        <v>573633.78</v>
      </c>
      <c r="H453" s="33">
        <f t="shared" si="332"/>
        <v>19410.89</v>
      </c>
      <c r="I453" s="33">
        <f t="shared" si="332"/>
        <v>0</v>
      </c>
      <c r="J453" s="33">
        <f t="shared" si="332"/>
        <v>0</v>
      </c>
      <c r="K453" s="33">
        <f t="shared" si="332"/>
        <v>0</v>
      </c>
      <c r="L453" s="33">
        <f t="shared" si="332"/>
        <v>0</v>
      </c>
      <c r="M453" s="33">
        <f t="shared" si="332"/>
        <v>1920815.33</v>
      </c>
      <c r="N453" s="33">
        <f t="shared" si="332"/>
        <v>0</v>
      </c>
      <c r="O453" s="33">
        <f t="shared" si="332"/>
        <v>0</v>
      </c>
      <c r="P453" s="33">
        <f t="shared" si="332"/>
        <v>2409352.85</v>
      </c>
      <c r="Q453" s="33">
        <f t="shared" si="332"/>
        <v>561880.17000000004</v>
      </c>
      <c r="R453" s="33">
        <f t="shared" si="332"/>
        <v>0</v>
      </c>
      <c r="S453" s="33">
        <f t="shared" si="332"/>
        <v>0</v>
      </c>
      <c r="T453" s="33">
        <f t="shared" si="332"/>
        <v>0</v>
      </c>
      <c r="U453" s="33">
        <f t="shared" si="332"/>
        <v>0</v>
      </c>
      <c r="V453" s="33">
        <f t="shared" si="332"/>
        <v>0</v>
      </c>
      <c r="W453" s="33">
        <f t="shared" si="332"/>
        <v>1763679.97</v>
      </c>
      <c r="X453" s="33">
        <f t="shared" si="332"/>
        <v>0</v>
      </c>
      <c r="Y453" s="33">
        <f t="shared" si="332"/>
        <v>0</v>
      </c>
      <c r="Z453" s="32" t="s">
        <v>1284</v>
      </c>
      <c r="AA453" s="34" t="s">
        <v>417</v>
      </c>
      <c r="AB453" s="35" t="s">
        <v>83</v>
      </c>
      <c r="AC453" s="35" t="s">
        <v>1285</v>
      </c>
      <c r="AD453" s="36" t="s">
        <v>1286</v>
      </c>
    </row>
    <row r="454" spans="1:30" ht="93" x14ac:dyDescent="0.25">
      <c r="A454" s="37" t="s">
        <v>1287</v>
      </c>
      <c r="B454" s="38" t="s">
        <v>1288</v>
      </c>
      <c r="C454" s="39" t="s">
        <v>312</v>
      </c>
      <c r="D454" s="39" t="s">
        <v>316</v>
      </c>
      <c r="E454" s="39" t="s">
        <v>46</v>
      </c>
      <c r="F454" s="40">
        <f>SUM(F455:F456)+2117031</f>
        <v>2117031</v>
      </c>
      <c r="G454" s="40">
        <f>SUM(G455:G456)+176804.78</f>
        <v>176804.78</v>
      </c>
      <c r="H454" s="40">
        <f>SUM(H455:H456)+19410.89</f>
        <v>19410.89</v>
      </c>
      <c r="I454" s="40">
        <f>SUM(I455:I456)</f>
        <v>0</v>
      </c>
      <c r="J454" s="40">
        <f>SUM(J455:J456)</f>
        <v>0</v>
      </c>
      <c r="K454" s="40">
        <f>SUM(K455:K456)</f>
        <v>0</v>
      </c>
      <c r="L454" s="40">
        <f>SUM(L455:L456)</f>
        <v>0</v>
      </c>
      <c r="M454" s="40">
        <f>SUM(M455:M456)+1920815.33</f>
        <v>1920815.33</v>
      </c>
      <c r="N454" s="40">
        <f>SUM(N455:N456)</f>
        <v>0</v>
      </c>
      <c r="O454" s="40">
        <f>SUM(O455:O456)</f>
        <v>0</v>
      </c>
      <c r="P454" s="40">
        <f>SUM(P455:P456)+2012529.2</f>
        <v>2012529.2</v>
      </c>
      <c r="Q454" s="40">
        <f>SUM(Q455:Q456)+165056.52</f>
        <v>165056.51999999999</v>
      </c>
      <c r="R454" s="40">
        <f>SUM(R455:R456)</f>
        <v>0</v>
      </c>
      <c r="S454" s="40">
        <f>SUM(S455:S456)</f>
        <v>0</v>
      </c>
      <c r="T454" s="40">
        <f>SUM(T455:T456)</f>
        <v>0</v>
      </c>
      <c r="U454" s="40">
        <f>SUM(U455:U456)</f>
        <v>0</v>
      </c>
      <c r="V454" s="40">
        <f>SUM(V455:V456)</f>
        <v>0</v>
      </c>
      <c r="W454" s="40">
        <f>SUM(W455:W456)+1763679.97</f>
        <v>1763679.97</v>
      </c>
      <c r="X454" s="40">
        <f>SUM(X455:X456)</f>
        <v>0</v>
      </c>
      <c r="Y454" s="40">
        <f>SUM(Y455:Y456)</f>
        <v>0</v>
      </c>
      <c r="Z454" s="39" t="s">
        <v>1289</v>
      </c>
      <c r="AA454" s="41" t="s">
        <v>417</v>
      </c>
      <c r="AB454" s="42" t="s">
        <v>1290</v>
      </c>
      <c r="AC454" s="42" t="s">
        <v>1291</v>
      </c>
      <c r="AD454" s="43" t="s">
        <v>1292</v>
      </c>
    </row>
    <row r="455" spans="1:30" ht="93" x14ac:dyDescent="0.25">
      <c r="A455" s="45"/>
      <c r="B455" s="46"/>
      <c r="C455" s="47"/>
      <c r="D455" s="47"/>
      <c r="E455" s="47"/>
      <c r="F455" s="48">
        <v>0</v>
      </c>
      <c r="G455" s="48">
        <v>0</v>
      </c>
      <c r="H455" s="48">
        <v>0</v>
      </c>
      <c r="I455" s="48">
        <v>0</v>
      </c>
      <c r="J455" s="48">
        <v>0</v>
      </c>
      <c r="K455" s="48">
        <v>0</v>
      </c>
      <c r="L455" s="48">
        <v>0</v>
      </c>
      <c r="M455" s="48">
        <v>0</v>
      </c>
      <c r="N455" s="48">
        <v>0</v>
      </c>
      <c r="O455" s="48">
        <v>0</v>
      </c>
      <c r="P455" s="48">
        <v>0</v>
      </c>
      <c r="Q455" s="48">
        <v>0</v>
      </c>
      <c r="R455" s="48">
        <v>0</v>
      </c>
      <c r="S455" s="48">
        <v>0</v>
      </c>
      <c r="T455" s="48">
        <v>0</v>
      </c>
      <c r="U455" s="48">
        <v>0</v>
      </c>
      <c r="V455" s="48">
        <v>0</v>
      </c>
      <c r="W455" s="48">
        <v>0</v>
      </c>
      <c r="X455" s="48">
        <v>0</v>
      </c>
      <c r="Y455" s="48">
        <v>0</v>
      </c>
      <c r="Z455" s="47" t="s">
        <v>1293</v>
      </c>
      <c r="AA455" s="49" t="s">
        <v>41</v>
      </c>
      <c r="AB455" s="50" t="s">
        <v>83</v>
      </c>
      <c r="AC455" s="50" t="s">
        <v>42</v>
      </c>
      <c r="AD455" s="51" t="s">
        <v>1294</v>
      </c>
    </row>
    <row r="456" spans="1:30" ht="186" x14ac:dyDescent="0.25">
      <c r="A456" s="37" t="s">
        <v>1295</v>
      </c>
      <c r="B456" s="38" t="s">
        <v>1296</v>
      </c>
      <c r="C456" s="39"/>
      <c r="D456" s="39"/>
      <c r="E456" s="39"/>
      <c r="F456" s="44">
        <v>0</v>
      </c>
      <c r="G456" s="44">
        <v>0</v>
      </c>
      <c r="H456" s="44">
        <v>0</v>
      </c>
      <c r="I456" s="44">
        <v>0</v>
      </c>
      <c r="J456" s="44">
        <v>0</v>
      </c>
      <c r="K456" s="44">
        <v>0</v>
      </c>
      <c r="L456" s="44">
        <v>0</v>
      </c>
      <c r="M456" s="44">
        <v>0</v>
      </c>
      <c r="N456" s="44">
        <v>0</v>
      </c>
      <c r="O456" s="44">
        <v>0</v>
      </c>
      <c r="P456" s="44">
        <v>0</v>
      </c>
      <c r="Q456" s="44">
        <v>0</v>
      </c>
      <c r="R456" s="44">
        <v>0</v>
      </c>
      <c r="S456" s="44">
        <v>0</v>
      </c>
      <c r="T456" s="44">
        <v>0</v>
      </c>
      <c r="U456" s="44">
        <v>0</v>
      </c>
      <c r="V456" s="44">
        <v>0</v>
      </c>
      <c r="W456" s="44">
        <v>0</v>
      </c>
      <c r="X456" s="44">
        <v>0</v>
      </c>
      <c r="Y456" s="44">
        <v>0</v>
      </c>
      <c r="Z456" s="39"/>
      <c r="AA456" s="41"/>
      <c r="AB456" s="42"/>
      <c r="AC456" s="42"/>
      <c r="AD456" s="43"/>
    </row>
    <row r="457" spans="1:30" ht="46.5" x14ac:dyDescent="0.25">
      <c r="A457" s="37" t="s">
        <v>1297</v>
      </c>
      <c r="B457" s="38" t="s">
        <v>1298</v>
      </c>
      <c r="C457" s="39" t="s">
        <v>790</v>
      </c>
      <c r="D457" s="39" t="s">
        <v>791</v>
      </c>
      <c r="E457" s="39" t="s">
        <v>46</v>
      </c>
      <c r="F457" s="40">
        <f>SUM(F458:F458)+24167</f>
        <v>24167</v>
      </c>
      <c r="G457" s="40">
        <f>SUM(G458:G458)+24167</f>
        <v>24167</v>
      </c>
      <c r="H457" s="40">
        <f t="shared" ref="H457:O457" si="333">SUM(H458:H458)</f>
        <v>0</v>
      </c>
      <c r="I457" s="40">
        <f t="shared" si="333"/>
        <v>0</v>
      </c>
      <c r="J457" s="40">
        <f t="shared" si="333"/>
        <v>0</v>
      </c>
      <c r="K457" s="40">
        <f t="shared" si="333"/>
        <v>0</v>
      </c>
      <c r="L457" s="40">
        <f t="shared" si="333"/>
        <v>0</v>
      </c>
      <c r="M457" s="40">
        <f t="shared" si="333"/>
        <v>0</v>
      </c>
      <c r="N457" s="40">
        <f t="shared" si="333"/>
        <v>0</v>
      </c>
      <c r="O457" s="40">
        <f t="shared" si="333"/>
        <v>0</v>
      </c>
      <c r="P457" s="40">
        <f>SUM(P458:P458)+24167</f>
        <v>24167</v>
      </c>
      <c r="Q457" s="40">
        <f>SUM(Q458:Q458)+24167</f>
        <v>24167</v>
      </c>
      <c r="R457" s="40">
        <f t="shared" ref="R457:Y457" si="334">SUM(R458:R458)</f>
        <v>0</v>
      </c>
      <c r="S457" s="40">
        <f t="shared" si="334"/>
        <v>0</v>
      </c>
      <c r="T457" s="40">
        <f t="shared" si="334"/>
        <v>0</v>
      </c>
      <c r="U457" s="40">
        <f t="shared" si="334"/>
        <v>0</v>
      </c>
      <c r="V457" s="40">
        <f t="shared" si="334"/>
        <v>0</v>
      </c>
      <c r="W457" s="40">
        <f t="shared" si="334"/>
        <v>0</v>
      </c>
      <c r="X457" s="40">
        <f t="shared" si="334"/>
        <v>0</v>
      </c>
      <c r="Y457" s="40">
        <f t="shared" si="334"/>
        <v>0</v>
      </c>
      <c r="Z457" s="39" t="s">
        <v>1299</v>
      </c>
      <c r="AA457" s="41" t="s">
        <v>417</v>
      </c>
      <c r="AB457" s="42" t="s">
        <v>1300</v>
      </c>
      <c r="AC457" s="42" t="s">
        <v>1300</v>
      </c>
      <c r="AD457" s="43"/>
    </row>
    <row r="458" spans="1:30" ht="46.5" x14ac:dyDescent="0.25">
      <c r="A458" s="37" t="s">
        <v>1301</v>
      </c>
      <c r="B458" s="38" t="s">
        <v>1302</v>
      </c>
      <c r="C458" s="39"/>
      <c r="D458" s="39"/>
      <c r="E458" s="39"/>
      <c r="F458" s="44">
        <v>0</v>
      </c>
      <c r="G458" s="44">
        <v>0</v>
      </c>
      <c r="H458" s="44">
        <v>0</v>
      </c>
      <c r="I458" s="44">
        <v>0</v>
      </c>
      <c r="J458" s="44">
        <v>0</v>
      </c>
      <c r="K458" s="44">
        <v>0</v>
      </c>
      <c r="L458" s="44">
        <v>0</v>
      </c>
      <c r="M458" s="44">
        <v>0</v>
      </c>
      <c r="N458" s="44">
        <v>0</v>
      </c>
      <c r="O458" s="44">
        <v>0</v>
      </c>
      <c r="P458" s="44">
        <v>0</v>
      </c>
      <c r="Q458" s="44">
        <v>0</v>
      </c>
      <c r="R458" s="44">
        <v>0</v>
      </c>
      <c r="S458" s="44">
        <v>0</v>
      </c>
      <c r="T458" s="44">
        <v>0</v>
      </c>
      <c r="U458" s="44">
        <v>0</v>
      </c>
      <c r="V458" s="44">
        <v>0</v>
      </c>
      <c r="W458" s="44">
        <v>0</v>
      </c>
      <c r="X458" s="44">
        <v>0</v>
      </c>
      <c r="Y458" s="44">
        <v>0</v>
      </c>
      <c r="Z458" s="39"/>
      <c r="AA458" s="41"/>
      <c r="AB458" s="42"/>
      <c r="AC458" s="42"/>
      <c r="AD458" s="43"/>
    </row>
    <row r="459" spans="1:30" ht="46.5" x14ac:dyDescent="0.25">
      <c r="A459" s="37" t="s">
        <v>1303</v>
      </c>
      <c r="B459" s="38" t="s">
        <v>1304</v>
      </c>
      <c r="C459" s="39" t="s">
        <v>799</v>
      </c>
      <c r="D459" s="39" t="s">
        <v>800</v>
      </c>
      <c r="E459" s="39" t="s">
        <v>46</v>
      </c>
      <c r="F459" s="40">
        <f>SUM(F460:F460)+25140</f>
        <v>25140</v>
      </c>
      <c r="G459" s="40">
        <f>SUM(G460:G460)+25140</f>
        <v>25140</v>
      </c>
      <c r="H459" s="40">
        <f t="shared" ref="H459:O459" si="335">SUM(H460:H460)</f>
        <v>0</v>
      </c>
      <c r="I459" s="40">
        <f t="shared" si="335"/>
        <v>0</v>
      </c>
      <c r="J459" s="40">
        <f t="shared" si="335"/>
        <v>0</v>
      </c>
      <c r="K459" s="40">
        <f t="shared" si="335"/>
        <v>0</v>
      </c>
      <c r="L459" s="40">
        <f t="shared" si="335"/>
        <v>0</v>
      </c>
      <c r="M459" s="40">
        <f t="shared" si="335"/>
        <v>0</v>
      </c>
      <c r="N459" s="40">
        <f t="shared" si="335"/>
        <v>0</v>
      </c>
      <c r="O459" s="40">
        <f t="shared" si="335"/>
        <v>0</v>
      </c>
      <c r="P459" s="40">
        <f>SUM(P460:P460)+25139.79</f>
        <v>25139.79</v>
      </c>
      <c r="Q459" s="40">
        <f>SUM(Q460:Q460)+25139.79</f>
        <v>25139.79</v>
      </c>
      <c r="R459" s="40">
        <f t="shared" ref="R459:Y459" si="336">SUM(R460:R460)</f>
        <v>0</v>
      </c>
      <c r="S459" s="40">
        <f t="shared" si="336"/>
        <v>0</v>
      </c>
      <c r="T459" s="40">
        <f t="shared" si="336"/>
        <v>0</v>
      </c>
      <c r="U459" s="40">
        <f t="shared" si="336"/>
        <v>0</v>
      </c>
      <c r="V459" s="40">
        <f t="shared" si="336"/>
        <v>0</v>
      </c>
      <c r="W459" s="40">
        <f t="shared" si="336"/>
        <v>0</v>
      </c>
      <c r="X459" s="40">
        <f t="shared" si="336"/>
        <v>0</v>
      </c>
      <c r="Y459" s="40">
        <f t="shared" si="336"/>
        <v>0</v>
      </c>
      <c r="Z459" s="39" t="s">
        <v>1299</v>
      </c>
      <c r="AA459" s="41" t="s">
        <v>417</v>
      </c>
      <c r="AB459" s="42" t="s">
        <v>898</v>
      </c>
      <c r="AC459" s="42" t="s">
        <v>898</v>
      </c>
      <c r="AD459" s="43"/>
    </row>
    <row r="460" spans="1:30" ht="46.5" x14ac:dyDescent="0.25">
      <c r="A460" s="37" t="s">
        <v>1305</v>
      </c>
      <c r="B460" s="38" t="s">
        <v>1302</v>
      </c>
      <c r="C460" s="39"/>
      <c r="D460" s="39"/>
      <c r="E460" s="39"/>
      <c r="F460" s="44">
        <v>0</v>
      </c>
      <c r="G460" s="44">
        <v>0</v>
      </c>
      <c r="H460" s="44">
        <v>0</v>
      </c>
      <c r="I460" s="44">
        <v>0</v>
      </c>
      <c r="J460" s="44">
        <v>0</v>
      </c>
      <c r="K460" s="44">
        <v>0</v>
      </c>
      <c r="L460" s="44">
        <v>0</v>
      </c>
      <c r="M460" s="44">
        <v>0</v>
      </c>
      <c r="N460" s="44">
        <v>0</v>
      </c>
      <c r="O460" s="44">
        <v>0</v>
      </c>
      <c r="P460" s="44">
        <v>0</v>
      </c>
      <c r="Q460" s="44">
        <v>0</v>
      </c>
      <c r="R460" s="44">
        <v>0</v>
      </c>
      <c r="S460" s="44">
        <v>0</v>
      </c>
      <c r="T460" s="44">
        <v>0</v>
      </c>
      <c r="U460" s="44">
        <v>0</v>
      </c>
      <c r="V460" s="44">
        <v>0</v>
      </c>
      <c r="W460" s="44">
        <v>0</v>
      </c>
      <c r="X460" s="44">
        <v>0</v>
      </c>
      <c r="Y460" s="44">
        <v>0</v>
      </c>
      <c r="Z460" s="39"/>
      <c r="AA460" s="41"/>
      <c r="AB460" s="42"/>
      <c r="AC460" s="42"/>
      <c r="AD460" s="43"/>
    </row>
    <row r="461" spans="1:30" ht="46.5" x14ac:dyDescent="0.25">
      <c r="A461" s="37" t="s">
        <v>1306</v>
      </c>
      <c r="B461" s="38" t="s">
        <v>1307</v>
      </c>
      <c r="C461" s="39" t="s">
        <v>136</v>
      </c>
      <c r="D461" s="39" t="s">
        <v>805</v>
      </c>
      <c r="E461" s="39" t="s">
        <v>46</v>
      </c>
      <c r="F461" s="40">
        <f>SUM(F462:F462)+39990</f>
        <v>39990</v>
      </c>
      <c r="G461" s="40">
        <f>SUM(G462:G462)+39990</f>
        <v>39990</v>
      </c>
      <c r="H461" s="40">
        <f t="shared" ref="H461:O461" si="337">SUM(H462:H462)</f>
        <v>0</v>
      </c>
      <c r="I461" s="40">
        <f t="shared" si="337"/>
        <v>0</v>
      </c>
      <c r="J461" s="40">
        <f t="shared" si="337"/>
        <v>0</v>
      </c>
      <c r="K461" s="40">
        <f t="shared" si="337"/>
        <v>0</v>
      </c>
      <c r="L461" s="40">
        <f t="shared" si="337"/>
        <v>0</v>
      </c>
      <c r="M461" s="40">
        <f t="shared" si="337"/>
        <v>0</v>
      </c>
      <c r="N461" s="40">
        <f t="shared" si="337"/>
        <v>0</v>
      </c>
      <c r="O461" s="40">
        <f t="shared" si="337"/>
        <v>0</v>
      </c>
      <c r="P461" s="40">
        <f>SUM(P462:P462)+39988.79</f>
        <v>39988.79</v>
      </c>
      <c r="Q461" s="40">
        <f>SUM(Q462:Q462)+39988.79</f>
        <v>39988.79</v>
      </c>
      <c r="R461" s="40">
        <f t="shared" ref="R461:Y461" si="338">SUM(R462:R462)</f>
        <v>0</v>
      </c>
      <c r="S461" s="40">
        <f t="shared" si="338"/>
        <v>0</v>
      </c>
      <c r="T461" s="40">
        <f t="shared" si="338"/>
        <v>0</v>
      </c>
      <c r="U461" s="40">
        <f t="shared" si="338"/>
        <v>0</v>
      </c>
      <c r="V461" s="40">
        <f t="shared" si="338"/>
        <v>0</v>
      </c>
      <c r="W461" s="40">
        <f t="shared" si="338"/>
        <v>0</v>
      </c>
      <c r="X461" s="40">
        <f t="shared" si="338"/>
        <v>0</v>
      </c>
      <c r="Y461" s="40">
        <f t="shared" si="338"/>
        <v>0</v>
      </c>
      <c r="Z461" s="39" t="s">
        <v>1299</v>
      </c>
      <c r="AA461" s="41" t="s">
        <v>417</v>
      </c>
      <c r="AB461" s="42" t="s">
        <v>285</v>
      </c>
      <c r="AC461" s="42" t="s">
        <v>285</v>
      </c>
      <c r="AD461" s="43"/>
    </row>
    <row r="462" spans="1:30" ht="46.5" x14ac:dyDescent="0.25">
      <c r="A462" s="37" t="s">
        <v>1308</v>
      </c>
      <c r="B462" s="38" t="s">
        <v>1302</v>
      </c>
      <c r="C462" s="39"/>
      <c r="D462" s="39"/>
      <c r="E462" s="39"/>
      <c r="F462" s="44">
        <v>0</v>
      </c>
      <c r="G462" s="44">
        <v>0</v>
      </c>
      <c r="H462" s="44">
        <v>0</v>
      </c>
      <c r="I462" s="44">
        <v>0</v>
      </c>
      <c r="J462" s="44">
        <v>0</v>
      </c>
      <c r="K462" s="44">
        <v>0</v>
      </c>
      <c r="L462" s="44">
        <v>0</v>
      </c>
      <c r="M462" s="44">
        <v>0</v>
      </c>
      <c r="N462" s="44">
        <v>0</v>
      </c>
      <c r="O462" s="44">
        <v>0</v>
      </c>
      <c r="P462" s="44">
        <v>0</v>
      </c>
      <c r="Q462" s="44">
        <v>0</v>
      </c>
      <c r="R462" s="44">
        <v>0</v>
      </c>
      <c r="S462" s="44">
        <v>0</v>
      </c>
      <c r="T462" s="44">
        <v>0</v>
      </c>
      <c r="U462" s="44">
        <v>0</v>
      </c>
      <c r="V462" s="44">
        <v>0</v>
      </c>
      <c r="W462" s="44">
        <v>0</v>
      </c>
      <c r="X462" s="44">
        <v>0</v>
      </c>
      <c r="Y462" s="44">
        <v>0</v>
      </c>
      <c r="Z462" s="39"/>
      <c r="AA462" s="41"/>
      <c r="AB462" s="42"/>
      <c r="AC462" s="42"/>
      <c r="AD462" s="43"/>
    </row>
    <row r="463" spans="1:30" ht="46.5" x14ac:dyDescent="0.25">
      <c r="A463" s="37" t="s">
        <v>1309</v>
      </c>
      <c r="B463" s="38" t="s">
        <v>1310</v>
      </c>
      <c r="C463" s="39" t="s">
        <v>810</v>
      </c>
      <c r="D463" s="39" t="s">
        <v>811</v>
      </c>
      <c r="E463" s="39" t="s">
        <v>46</v>
      </c>
      <c r="F463" s="40">
        <f>SUM(F464:F464)+32916</f>
        <v>32916</v>
      </c>
      <c r="G463" s="40">
        <f>SUM(G464:G464)+32916</f>
        <v>32916</v>
      </c>
      <c r="H463" s="40">
        <f t="shared" ref="H463:O463" si="339">SUM(H464:H464)</f>
        <v>0</v>
      </c>
      <c r="I463" s="40">
        <f t="shared" si="339"/>
        <v>0</v>
      </c>
      <c r="J463" s="40">
        <f t="shared" si="339"/>
        <v>0</v>
      </c>
      <c r="K463" s="40">
        <f t="shared" si="339"/>
        <v>0</v>
      </c>
      <c r="L463" s="40">
        <f t="shared" si="339"/>
        <v>0</v>
      </c>
      <c r="M463" s="40">
        <f t="shared" si="339"/>
        <v>0</v>
      </c>
      <c r="N463" s="40">
        <f t="shared" si="339"/>
        <v>0</v>
      </c>
      <c r="O463" s="40">
        <f t="shared" si="339"/>
        <v>0</v>
      </c>
      <c r="P463" s="40">
        <f>SUM(P464:P464)+32915.47</f>
        <v>32915.47</v>
      </c>
      <c r="Q463" s="40">
        <f>SUM(Q464:Q464)+32915.47</f>
        <v>32915.47</v>
      </c>
      <c r="R463" s="40">
        <f t="shared" ref="R463:Y463" si="340">SUM(R464:R464)</f>
        <v>0</v>
      </c>
      <c r="S463" s="40">
        <f t="shared" si="340"/>
        <v>0</v>
      </c>
      <c r="T463" s="40">
        <f t="shared" si="340"/>
        <v>0</v>
      </c>
      <c r="U463" s="40">
        <f t="shared" si="340"/>
        <v>0</v>
      </c>
      <c r="V463" s="40">
        <f t="shared" si="340"/>
        <v>0</v>
      </c>
      <c r="W463" s="40">
        <f t="shared" si="340"/>
        <v>0</v>
      </c>
      <c r="X463" s="40">
        <f t="shared" si="340"/>
        <v>0</v>
      </c>
      <c r="Y463" s="40">
        <f t="shared" si="340"/>
        <v>0</v>
      </c>
      <c r="Z463" s="39" t="s">
        <v>1299</v>
      </c>
      <c r="AA463" s="41" t="s">
        <v>417</v>
      </c>
      <c r="AB463" s="42" t="s">
        <v>1311</v>
      </c>
      <c r="AC463" s="42" t="s">
        <v>1311</v>
      </c>
      <c r="AD463" s="43"/>
    </row>
    <row r="464" spans="1:30" ht="46.5" x14ac:dyDescent="0.25">
      <c r="A464" s="37" t="s">
        <v>1312</v>
      </c>
      <c r="B464" s="38" t="s">
        <v>1302</v>
      </c>
      <c r="C464" s="39"/>
      <c r="D464" s="39"/>
      <c r="E464" s="39"/>
      <c r="F464" s="44">
        <v>0</v>
      </c>
      <c r="G464" s="44">
        <v>0</v>
      </c>
      <c r="H464" s="44">
        <v>0</v>
      </c>
      <c r="I464" s="44">
        <v>0</v>
      </c>
      <c r="J464" s="44">
        <v>0</v>
      </c>
      <c r="K464" s="44">
        <v>0</v>
      </c>
      <c r="L464" s="44">
        <v>0</v>
      </c>
      <c r="M464" s="44">
        <v>0</v>
      </c>
      <c r="N464" s="44">
        <v>0</v>
      </c>
      <c r="O464" s="44">
        <v>0</v>
      </c>
      <c r="P464" s="44">
        <v>0</v>
      </c>
      <c r="Q464" s="44">
        <v>0</v>
      </c>
      <c r="R464" s="44">
        <v>0</v>
      </c>
      <c r="S464" s="44">
        <v>0</v>
      </c>
      <c r="T464" s="44">
        <v>0</v>
      </c>
      <c r="U464" s="44">
        <v>0</v>
      </c>
      <c r="V464" s="44">
        <v>0</v>
      </c>
      <c r="W464" s="44">
        <v>0</v>
      </c>
      <c r="X464" s="44">
        <v>0</v>
      </c>
      <c r="Y464" s="44">
        <v>0</v>
      </c>
      <c r="Z464" s="39"/>
      <c r="AA464" s="41"/>
      <c r="AB464" s="42"/>
      <c r="AC464" s="42"/>
      <c r="AD464" s="43"/>
    </row>
    <row r="465" spans="1:30" ht="46.5" x14ac:dyDescent="0.25">
      <c r="A465" s="37" t="s">
        <v>1313</v>
      </c>
      <c r="B465" s="38" t="s">
        <v>1314</v>
      </c>
      <c r="C465" s="39" t="s">
        <v>144</v>
      </c>
      <c r="D465" s="39" t="s">
        <v>816</v>
      </c>
      <c r="E465" s="39" t="s">
        <v>46</v>
      </c>
      <c r="F465" s="40">
        <f>SUM(F466:F466)+34074</f>
        <v>34074</v>
      </c>
      <c r="G465" s="40">
        <f>SUM(G466:G466)+34074</f>
        <v>34074</v>
      </c>
      <c r="H465" s="40">
        <f t="shared" ref="H465:O465" si="341">SUM(H466:H466)</f>
        <v>0</v>
      </c>
      <c r="I465" s="40">
        <f t="shared" si="341"/>
        <v>0</v>
      </c>
      <c r="J465" s="40">
        <f t="shared" si="341"/>
        <v>0</v>
      </c>
      <c r="K465" s="40">
        <f t="shared" si="341"/>
        <v>0</v>
      </c>
      <c r="L465" s="40">
        <f t="shared" si="341"/>
        <v>0</v>
      </c>
      <c r="M465" s="40">
        <f t="shared" si="341"/>
        <v>0</v>
      </c>
      <c r="N465" s="40">
        <f t="shared" si="341"/>
        <v>0</v>
      </c>
      <c r="O465" s="40">
        <f t="shared" si="341"/>
        <v>0</v>
      </c>
      <c r="P465" s="40">
        <f>SUM(P466:P466)+34072.75</f>
        <v>34072.75</v>
      </c>
      <c r="Q465" s="40">
        <f>SUM(Q466:Q466)+34072.75</f>
        <v>34072.75</v>
      </c>
      <c r="R465" s="40">
        <f t="shared" ref="R465:Y465" si="342">SUM(R466:R466)</f>
        <v>0</v>
      </c>
      <c r="S465" s="40">
        <f t="shared" si="342"/>
        <v>0</v>
      </c>
      <c r="T465" s="40">
        <f t="shared" si="342"/>
        <v>0</v>
      </c>
      <c r="U465" s="40">
        <f t="shared" si="342"/>
        <v>0</v>
      </c>
      <c r="V465" s="40">
        <f t="shared" si="342"/>
        <v>0</v>
      </c>
      <c r="W465" s="40">
        <f t="shared" si="342"/>
        <v>0</v>
      </c>
      <c r="X465" s="40">
        <f t="shared" si="342"/>
        <v>0</v>
      </c>
      <c r="Y465" s="40">
        <f t="shared" si="342"/>
        <v>0</v>
      </c>
      <c r="Z465" s="39" t="s">
        <v>1299</v>
      </c>
      <c r="AA465" s="41" t="s">
        <v>417</v>
      </c>
      <c r="AB465" s="42" t="s">
        <v>1315</v>
      </c>
      <c r="AC465" s="42" t="s">
        <v>1315</v>
      </c>
      <c r="AD465" s="43"/>
    </row>
    <row r="466" spans="1:30" ht="46.5" x14ac:dyDescent="0.25">
      <c r="A466" s="37" t="s">
        <v>1316</v>
      </c>
      <c r="B466" s="38" t="s">
        <v>1302</v>
      </c>
      <c r="C466" s="39"/>
      <c r="D466" s="39"/>
      <c r="E466" s="39"/>
      <c r="F466" s="44">
        <v>0</v>
      </c>
      <c r="G466" s="44">
        <v>0</v>
      </c>
      <c r="H466" s="44">
        <v>0</v>
      </c>
      <c r="I466" s="44">
        <v>0</v>
      </c>
      <c r="J466" s="44">
        <v>0</v>
      </c>
      <c r="K466" s="44">
        <v>0</v>
      </c>
      <c r="L466" s="44">
        <v>0</v>
      </c>
      <c r="M466" s="44">
        <v>0</v>
      </c>
      <c r="N466" s="44">
        <v>0</v>
      </c>
      <c r="O466" s="44">
        <v>0</v>
      </c>
      <c r="P466" s="44">
        <v>0</v>
      </c>
      <c r="Q466" s="44">
        <v>0</v>
      </c>
      <c r="R466" s="44">
        <v>0</v>
      </c>
      <c r="S466" s="44">
        <v>0</v>
      </c>
      <c r="T466" s="44">
        <v>0</v>
      </c>
      <c r="U466" s="44">
        <v>0</v>
      </c>
      <c r="V466" s="44">
        <v>0</v>
      </c>
      <c r="W466" s="44">
        <v>0</v>
      </c>
      <c r="X466" s="44">
        <v>0</v>
      </c>
      <c r="Y466" s="44">
        <v>0</v>
      </c>
      <c r="Z466" s="39"/>
      <c r="AA466" s="41"/>
      <c r="AB466" s="42"/>
      <c r="AC466" s="42"/>
      <c r="AD466" s="43"/>
    </row>
    <row r="467" spans="1:30" ht="69.75" x14ac:dyDescent="0.25">
      <c r="A467" s="37" t="s">
        <v>1317</v>
      </c>
      <c r="B467" s="38" t="s">
        <v>1318</v>
      </c>
      <c r="C467" s="39" t="s">
        <v>149</v>
      </c>
      <c r="D467" s="39" t="s">
        <v>821</v>
      </c>
      <c r="E467" s="39" t="s">
        <v>46</v>
      </c>
      <c r="F467" s="40">
        <f>SUM(F468:F468)+19840</f>
        <v>19840</v>
      </c>
      <c r="G467" s="40">
        <f>SUM(G468:G468)+19840</f>
        <v>19840</v>
      </c>
      <c r="H467" s="40">
        <f t="shared" ref="H467:O467" si="343">SUM(H468:H468)</f>
        <v>0</v>
      </c>
      <c r="I467" s="40">
        <f t="shared" si="343"/>
        <v>0</v>
      </c>
      <c r="J467" s="40">
        <f t="shared" si="343"/>
        <v>0</v>
      </c>
      <c r="K467" s="40">
        <f t="shared" si="343"/>
        <v>0</v>
      </c>
      <c r="L467" s="40">
        <f t="shared" si="343"/>
        <v>0</v>
      </c>
      <c r="M467" s="40">
        <f t="shared" si="343"/>
        <v>0</v>
      </c>
      <c r="N467" s="40">
        <f t="shared" si="343"/>
        <v>0</v>
      </c>
      <c r="O467" s="40">
        <f t="shared" si="343"/>
        <v>0</v>
      </c>
      <c r="P467" s="40">
        <f>SUM(P468:P468)+19840</f>
        <v>19840</v>
      </c>
      <c r="Q467" s="40">
        <f>SUM(Q468:Q468)+19840</f>
        <v>19840</v>
      </c>
      <c r="R467" s="40">
        <f t="shared" ref="R467:Y467" si="344">SUM(R468:R468)</f>
        <v>0</v>
      </c>
      <c r="S467" s="40">
        <f t="shared" si="344"/>
        <v>0</v>
      </c>
      <c r="T467" s="40">
        <f t="shared" si="344"/>
        <v>0</v>
      </c>
      <c r="U467" s="40">
        <f t="shared" si="344"/>
        <v>0</v>
      </c>
      <c r="V467" s="40">
        <f t="shared" si="344"/>
        <v>0</v>
      </c>
      <c r="W467" s="40">
        <f t="shared" si="344"/>
        <v>0</v>
      </c>
      <c r="X467" s="40">
        <f t="shared" si="344"/>
        <v>0</v>
      </c>
      <c r="Y467" s="40">
        <f t="shared" si="344"/>
        <v>0</v>
      </c>
      <c r="Z467" s="39" t="s">
        <v>1299</v>
      </c>
      <c r="AA467" s="41" t="s">
        <v>417</v>
      </c>
      <c r="AB467" s="42" t="s">
        <v>1300</v>
      </c>
      <c r="AC467" s="42" t="s">
        <v>1300</v>
      </c>
      <c r="AD467" s="43"/>
    </row>
    <row r="468" spans="1:30" ht="46.5" x14ac:dyDescent="0.25">
      <c r="A468" s="37" t="s">
        <v>1319</v>
      </c>
      <c r="B468" s="38" t="s">
        <v>1302</v>
      </c>
      <c r="C468" s="39"/>
      <c r="D468" s="39"/>
      <c r="E468" s="39"/>
      <c r="F468" s="44">
        <v>0</v>
      </c>
      <c r="G468" s="44">
        <v>0</v>
      </c>
      <c r="H468" s="44">
        <v>0</v>
      </c>
      <c r="I468" s="44">
        <v>0</v>
      </c>
      <c r="J468" s="44">
        <v>0</v>
      </c>
      <c r="K468" s="44">
        <v>0</v>
      </c>
      <c r="L468" s="44">
        <v>0</v>
      </c>
      <c r="M468" s="44">
        <v>0</v>
      </c>
      <c r="N468" s="44">
        <v>0</v>
      </c>
      <c r="O468" s="44">
        <v>0</v>
      </c>
      <c r="P468" s="44">
        <v>0</v>
      </c>
      <c r="Q468" s="44">
        <v>0</v>
      </c>
      <c r="R468" s="44">
        <v>0</v>
      </c>
      <c r="S468" s="44">
        <v>0</v>
      </c>
      <c r="T468" s="44">
        <v>0</v>
      </c>
      <c r="U468" s="44">
        <v>0</v>
      </c>
      <c r="V468" s="44">
        <v>0</v>
      </c>
      <c r="W468" s="44">
        <v>0</v>
      </c>
      <c r="X468" s="44">
        <v>0</v>
      </c>
      <c r="Y468" s="44">
        <v>0</v>
      </c>
      <c r="Z468" s="39"/>
      <c r="AA468" s="41"/>
      <c r="AB468" s="42"/>
      <c r="AC468" s="42"/>
      <c r="AD468" s="43"/>
    </row>
    <row r="469" spans="1:30" ht="46.5" x14ac:dyDescent="0.25">
      <c r="A469" s="37" t="s">
        <v>1320</v>
      </c>
      <c r="B469" s="38" t="s">
        <v>1321</v>
      </c>
      <c r="C469" s="39" t="s">
        <v>156</v>
      </c>
      <c r="D469" s="39" t="s">
        <v>826</v>
      </c>
      <c r="E469" s="39" t="s">
        <v>46</v>
      </c>
      <c r="F469" s="40">
        <f>SUM(F470:F470)+19070</f>
        <v>19070</v>
      </c>
      <c r="G469" s="40">
        <f>SUM(G470:G470)+19070</f>
        <v>19070</v>
      </c>
      <c r="H469" s="40">
        <f t="shared" ref="H469:O469" si="345">SUM(H470:H470)</f>
        <v>0</v>
      </c>
      <c r="I469" s="40">
        <f t="shared" si="345"/>
        <v>0</v>
      </c>
      <c r="J469" s="40">
        <f t="shared" si="345"/>
        <v>0</v>
      </c>
      <c r="K469" s="40">
        <f t="shared" si="345"/>
        <v>0</v>
      </c>
      <c r="L469" s="40">
        <f t="shared" si="345"/>
        <v>0</v>
      </c>
      <c r="M469" s="40">
        <f t="shared" si="345"/>
        <v>0</v>
      </c>
      <c r="N469" s="40">
        <f t="shared" si="345"/>
        <v>0</v>
      </c>
      <c r="O469" s="40">
        <f t="shared" si="345"/>
        <v>0</v>
      </c>
      <c r="P469" s="40">
        <f>SUM(P470:P470)+19069.59</f>
        <v>19069.59</v>
      </c>
      <c r="Q469" s="40">
        <f>SUM(Q470:Q470)+19069.59</f>
        <v>19069.59</v>
      </c>
      <c r="R469" s="40">
        <f t="shared" ref="R469:Y469" si="346">SUM(R470:R470)</f>
        <v>0</v>
      </c>
      <c r="S469" s="40">
        <f t="shared" si="346"/>
        <v>0</v>
      </c>
      <c r="T469" s="40">
        <f t="shared" si="346"/>
        <v>0</v>
      </c>
      <c r="U469" s="40">
        <f t="shared" si="346"/>
        <v>0</v>
      </c>
      <c r="V469" s="40">
        <f t="shared" si="346"/>
        <v>0</v>
      </c>
      <c r="W469" s="40">
        <f t="shared" si="346"/>
        <v>0</v>
      </c>
      <c r="X469" s="40">
        <f t="shared" si="346"/>
        <v>0</v>
      </c>
      <c r="Y469" s="40">
        <f t="shared" si="346"/>
        <v>0</v>
      </c>
      <c r="Z469" s="39" t="s">
        <v>1299</v>
      </c>
      <c r="AA469" s="41" t="s">
        <v>417</v>
      </c>
      <c r="AB469" s="42" t="s">
        <v>472</v>
      </c>
      <c r="AC469" s="42" t="s">
        <v>472</v>
      </c>
      <c r="AD469" s="43"/>
    </row>
    <row r="470" spans="1:30" ht="46.5" x14ac:dyDescent="0.25">
      <c r="A470" s="37" t="s">
        <v>1322</v>
      </c>
      <c r="B470" s="38" t="s">
        <v>1302</v>
      </c>
      <c r="C470" s="39"/>
      <c r="D470" s="39"/>
      <c r="E470" s="39"/>
      <c r="F470" s="44">
        <v>0</v>
      </c>
      <c r="G470" s="44">
        <v>0</v>
      </c>
      <c r="H470" s="44">
        <v>0</v>
      </c>
      <c r="I470" s="44">
        <v>0</v>
      </c>
      <c r="J470" s="44">
        <v>0</v>
      </c>
      <c r="K470" s="44">
        <v>0</v>
      </c>
      <c r="L470" s="44">
        <v>0</v>
      </c>
      <c r="M470" s="44">
        <v>0</v>
      </c>
      <c r="N470" s="44">
        <v>0</v>
      </c>
      <c r="O470" s="44">
        <v>0</v>
      </c>
      <c r="P470" s="44">
        <v>0</v>
      </c>
      <c r="Q470" s="44">
        <v>0</v>
      </c>
      <c r="R470" s="44">
        <v>0</v>
      </c>
      <c r="S470" s="44">
        <v>0</v>
      </c>
      <c r="T470" s="44">
        <v>0</v>
      </c>
      <c r="U470" s="44">
        <v>0</v>
      </c>
      <c r="V470" s="44">
        <v>0</v>
      </c>
      <c r="W470" s="44">
        <v>0</v>
      </c>
      <c r="X470" s="44">
        <v>0</v>
      </c>
      <c r="Y470" s="44">
        <v>0</v>
      </c>
      <c r="Z470" s="39"/>
      <c r="AA470" s="41"/>
      <c r="AB470" s="42"/>
      <c r="AC470" s="42"/>
      <c r="AD470" s="43"/>
    </row>
    <row r="471" spans="1:30" ht="46.5" x14ac:dyDescent="0.25">
      <c r="A471" s="37" t="s">
        <v>1323</v>
      </c>
      <c r="B471" s="38" t="s">
        <v>1324</v>
      </c>
      <c r="C471" s="39" t="s">
        <v>831</v>
      </c>
      <c r="D471" s="39" t="s">
        <v>832</v>
      </c>
      <c r="E471" s="39" t="s">
        <v>46</v>
      </c>
      <c r="F471" s="40">
        <f>SUM(F472:F472)+34102</f>
        <v>34102</v>
      </c>
      <c r="G471" s="40">
        <f>SUM(G472:G472)+34102</f>
        <v>34102</v>
      </c>
      <c r="H471" s="40">
        <f t="shared" ref="H471:O471" si="347">SUM(H472:H472)</f>
        <v>0</v>
      </c>
      <c r="I471" s="40">
        <f t="shared" si="347"/>
        <v>0</v>
      </c>
      <c r="J471" s="40">
        <f t="shared" si="347"/>
        <v>0</v>
      </c>
      <c r="K471" s="40">
        <f t="shared" si="347"/>
        <v>0</v>
      </c>
      <c r="L471" s="40">
        <f t="shared" si="347"/>
        <v>0</v>
      </c>
      <c r="M471" s="40">
        <f t="shared" si="347"/>
        <v>0</v>
      </c>
      <c r="N471" s="40">
        <f t="shared" si="347"/>
        <v>0</v>
      </c>
      <c r="O471" s="40">
        <f t="shared" si="347"/>
        <v>0</v>
      </c>
      <c r="P471" s="40">
        <f>SUM(P472:P472)+34101.94</f>
        <v>34101.94</v>
      </c>
      <c r="Q471" s="40">
        <f>SUM(Q472:Q472)+34101.94</f>
        <v>34101.94</v>
      </c>
      <c r="R471" s="40">
        <f t="shared" ref="R471:Y471" si="348">SUM(R472:R472)</f>
        <v>0</v>
      </c>
      <c r="S471" s="40">
        <f t="shared" si="348"/>
        <v>0</v>
      </c>
      <c r="T471" s="40">
        <f t="shared" si="348"/>
        <v>0</v>
      </c>
      <c r="U471" s="40">
        <f t="shared" si="348"/>
        <v>0</v>
      </c>
      <c r="V471" s="40">
        <f t="shared" si="348"/>
        <v>0</v>
      </c>
      <c r="W471" s="40">
        <f t="shared" si="348"/>
        <v>0</v>
      </c>
      <c r="X471" s="40">
        <f t="shared" si="348"/>
        <v>0</v>
      </c>
      <c r="Y471" s="40">
        <f t="shared" si="348"/>
        <v>0</v>
      </c>
      <c r="Z471" s="39" t="s">
        <v>1299</v>
      </c>
      <c r="AA471" s="41" t="s">
        <v>417</v>
      </c>
      <c r="AB471" s="42" t="s">
        <v>1325</v>
      </c>
      <c r="AC471" s="42" t="s">
        <v>1325</v>
      </c>
      <c r="AD471" s="43"/>
    </row>
    <row r="472" spans="1:30" ht="46.5" x14ac:dyDescent="0.25">
      <c r="A472" s="37" t="s">
        <v>1326</v>
      </c>
      <c r="B472" s="38" t="s">
        <v>1302</v>
      </c>
      <c r="C472" s="39"/>
      <c r="D472" s="39"/>
      <c r="E472" s="39"/>
      <c r="F472" s="44">
        <v>0</v>
      </c>
      <c r="G472" s="44">
        <v>0</v>
      </c>
      <c r="H472" s="44">
        <v>0</v>
      </c>
      <c r="I472" s="44">
        <v>0</v>
      </c>
      <c r="J472" s="44">
        <v>0</v>
      </c>
      <c r="K472" s="44">
        <v>0</v>
      </c>
      <c r="L472" s="44">
        <v>0</v>
      </c>
      <c r="M472" s="44">
        <v>0</v>
      </c>
      <c r="N472" s="44">
        <v>0</v>
      </c>
      <c r="O472" s="44">
        <v>0</v>
      </c>
      <c r="P472" s="44">
        <v>0</v>
      </c>
      <c r="Q472" s="44">
        <v>0</v>
      </c>
      <c r="R472" s="44">
        <v>0</v>
      </c>
      <c r="S472" s="44">
        <v>0</v>
      </c>
      <c r="T472" s="44">
        <v>0</v>
      </c>
      <c r="U472" s="44">
        <v>0</v>
      </c>
      <c r="V472" s="44">
        <v>0</v>
      </c>
      <c r="W472" s="44">
        <v>0</v>
      </c>
      <c r="X472" s="44">
        <v>0</v>
      </c>
      <c r="Y472" s="44">
        <v>0</v>
      </c>
      <c r="Z472" s="39"/>
      <c r="AA472" s="41"/>
      <c r="AB472" s="42"/>
      <c r="AC472" s="42"/>
      <c r="AD472" s="43"/>
    </row>
    <row r="473" spans="1:30" ht="46.5" x14ac:dyDescent="0.25">
      <c r="A473" s="37" t="s">
        <v>1327</v>
      </c>
      <c r="B473" s="38" t="s">
        <v>1328</v>
      </c>
      <c r="C473" s="39" t="s">
        <v>837</v>
      </c>
      <c r="D473" s="39" t="s">
        <v>838</v>
      </c>
      <c r="E473" s="39" t="s">
        <v>46</v>
      </c>
      <c r="F473" s="40">
        <f>SUM(F474:F474)+31360</f>
        <v>31360</v>
      </c>
      <c r="G473" s="40">
        <f>SUM(G474:G474)+31360</f>
        <v>31360</v>
      </c>
      <c r="H473" s="40">
        <f t="shared" ref="H473:O473" si="349">SUM(H474:H474)</f>
        <v>0</v>
      </c>
      <c r="I473" s="40">
        <f t="shared" si="349"/>
        <v>0</v>
      </c>
      <c r="J473" s="40">
        <f t="shared" si="349"/>
        <v>0</v>
      </c>
      <c r="K473" s="40">
        <f t="shared" si="349"/>
        <v>0</v>
      </c>
      <c r="L473" s="40">
        <f t="shared" si="349"/>
        <v>0</v>
      </c>
      <c r="M473" s="40">
        <f t="shared" si="349"/>
        <v>0</v>
      </c>
      <c r="N473" s="40">
        <f t="shared" si="349"/>
        <v>0</v>
      </c>
      <c r="O473" s="40">
        <f t="shared" si="349"/>
        <v>0</v>
      </c>
      <c r="P473" s="40">
        <f>SUM(P474:P474)+31359.95</f>
        <v>31359.95</v>
      </c>
      <c r="Q473" s="40">
        <f>SUM(Q474:Q474)+31359.95</f>
        <v>31359.95</v>
      </c>
      <c r="R473" s="40">
        <f t="shared" ref="R473:Y473" si="350">SUM(R474:R474)</f>
        <v>0</v>
      </c>
      <c r="S473" s="40">
        <f t="shared" si="350"/>
        <v>0</v>
      </c>
      <c r="T473" s="40">
        <f t="shared" si="350"/>
        <v>0</v>
      </c>
      <c r="U473" s="40">
        <f t="shared" si="350"/>
        <v>0</v>
      </c>
      <c r="V473" s="40">
        <f t="shared" si="350"/>
        <v>0</v>
      </c>
      <c r="W473" s="40">
        <f t="shared" si="350"/>
        <v>0</v>
      </c>
      <c r="X473" s="40">
        <f t="shared" si="350"/>
        <v>0</v>
      </c>
      <c r="Y473" s="40">
        <f t="shared" si="350"/>
        <v>0</v>
      </c>
      <c r="Z473" s="39" t="s">
        <v>1299</v>
      </c>
      <c r="AA473" s="41" t="s">
        <v>417</v>
      </c>
      <c r="AB473" s="42" t="s">
        <v>1236</v>
      </c>
      <c r="AC473" s="42" t="s">
        <v>1236</v>
      </c>
      <c r="AD473" s="43"/>
    </row>
    <row r="474" spans="1:30" ht="46.5" x14ac:dyDescent="0.25">
      <c r="A474" s="37" t="s">
        <v>1329</v>
      </c>
      <c r="B474" s="38" t="s">
        <v>1302</v>
      </c>
      <c r="C474" s="39"/>
      <c r="D474" s="39"/>
      <c r="E474" s="39"/>
      <c r="F474" s="44">
        <v>0</v>
      </c>
      <c r="G474" s="44">
        <v>0</v>
      </c>
      <c r="H474" s="44">
        <v>0</v>
      </c>
      <c r="I474" s="44">
        <v>0</v>
      </c>
      <c r="J474" s="44">
        <v>0</v>
      </c>
      <c r="K474" s="44">
        <v>0</v>
      </c>
      <c r="L474" s="44">
        <v>0</v>
      </c>
      <c r="M474" s="44">
        <v>0</v>
      </c>
      <c r="N474" s="44">
        <v>0</v>
      </c>
      <c r="O474" s="44">
        <v>0</v>
      </c>
      <c r="P474" s="44">
        <v>0</v>
      </c>
      <c r="Q474" s="44">
        <v>0</v>
      </c>
      <c r="R474" s="44">
        <v>0</v>
      </c>
      <c r="S474" s="44">
        <v>0</v>
      </c>
      <c r="T474" s="44">
        <v>0</v>
      </c>
      <c r="U474" s="44">
        <v>0</v>
      </c>
      <c r="V474" s="44">
        <v>0</v>
      </c>
      <c r="W474" s="44">
        <v>0</v>
      </c>
      <c r="X474" s="44">
        <v>0</v>
      </c>
      <c r="Y474" s="44">
        <v>0</v>
      </c>
      <c r="Z474" s="39"/>
      <c r="AA474" s="41"/>
      <c r="AB474" s="42"/>
      <c r="AC474" s="42"/>
      <c r="AD474" s="43"/>
    </row>
    <row r="475" spans="1:30" ht="46.5" x14ac:dyDescent="0.25">
      <c r="A475" s="37" t="s">
        <v>1330</v>
      </c>
      <c r="B475" s="38" t="s">
        <v>1331</v>
      </c>
      <c r="C475" s="39" t="s">
        <v>843</v>
      </c>
      <c r="D475" s="39" t="s">
        <v>844</v>
      </c>
      <c r="E475" s="39" t="s">
        <v>46</v>
      </c>
      <c r="F475" s="40">
        <f>SUM(F476:F476)+28520</f>
        <v>28520</v>
      </c>
      <c r="G475" s="40">
        <f>SUM(G476:G476)+28520</f>
        <v>28520</v>
      </c>
      <c r="H475" s="40">
        <f t="shared" ref="H475:O475" si="351">SUM(H476:H476)</f>
        <v>0</v>
      </c>
      <c r="I475" s="40">
        <f t="shared" si="351"/>
        <v>0</v>
      </c>
      <c r="J475" s="40">
        <f t="shared" si="351"/>
        <v>0</v>
      </c>
      <c r="K475" s="40">
        <f t="shared" si="351"/>
        <v>0</v>
      </c>
      <c r="L475" s="40">
        <f t="shared" si="351"/>
        <v>0</v>
      </c>
      <c r="M475" s="40">
        <f t="shared" si="351"/>
        <v>0</v>
      </c>
      <c r="N475" s="40">
        <f t="shared" si="351"/>
        <v>0</v>
      </c>
      <c r="O475" s="40">
        <f t="shared" si="351"/>
        <v>0</v>
      </c>
      <c r="P475" s="40">
        <f>SUM(P476:P476)+28519.27</f>
        <v>28519.27</v>
      </c>
      <c r="Q475" s="40">
        <f>SUM(Q476:Q476)+28519.27</f>
        <v>28519.27</v>
      </c>
      <c r="R475" s="40">
        <f t="shared" ref="R475:Y475" si="352">SUM(R476:R476)</f>
        <v>0</v>
      </c>
      <c r="S475" s="40">
        <f t="shared" si="352"/>
        <v>0</v>
      </c>
      <c r="T475" s="40">
        <f t="shared" si="352"/>
        <v>0</v>
      </c>
      <c r="U475" s="40">
        <f t="shared" si="352"/>
        <v>0</v>
      </c>
      <c r="V475" s="40">
        <f t="shared" si="352"/>
        <v>0</v>
      </c>
      <c r="W475" s="40">
        <f t="shared" si="352"/>
        <v>0</v>
      </c>
      <c r="X475" s="40">
        <f t="shared" si="352"/>
        <v>0</v>
      </c>
      <c r="Y475" s="40">
        <f t="shared" si="352"/>
        <v>0</v>
      </c>
      <c r="Z475" s="39" t="s">
        <v>1299</v>
      </c>
      <c r="AA475" s="41" t="s">
        <v>417</v>
      </c>
      <c r="AB475" s="42" t="s">
        <v>1332</v>
      </c>
      <c r="AC475" s="42" t="s">
        <v>1332</v>
      </c>
      <c r="AD475" s="43"/>
    </row>
    <row r="476" spans="1:30" ht="46.5" x14ac:dyDescent="0.25">
      <c r="A476" s="37" t="s">
        <v>1333</v>
      </c>
      <c r="B476" s="38" t="s">
        <v>1302</v>
      </c>
      <c r="C476" s="39"/>
      <c r="D476" s="39"/>
      <c r="E476" s="39"/>
      <c r="F476" s="44">
        <v>0</v>
      </c>
      <c r="G476" s="44">
        <v>0</v>
      </c>
      <c r="H476" s="44">
        <v>0</v>
      </c>
      <c r="I476" s="44">
        <v>0</v>
      </c>
      <c r="J476" s="44">
        <v>0</v>
      </c>
      <c r="K476" s="44">
        <v>0</v>
      </c>
      <c r="L476" s="44">
        <v>0</v>
      </c>
      <c r="M476" s="44">
        <v>0</v>
      </c>
      <c r="N476" s="44">
        <v>0</v>
      </c>
      <c r="O476" s="44">
        <v>0</v>
      </c>
      <c r="P476" s="44">
        <v>0</v>
      </c>
      <c r="Q476" s="44">
        <v>0</v>
      </c>
      <c r="R476" s="44">
        <v>0</v>
      </c>
      <c r="S476" s="44">
        <v>0</v>
      </c>
      <c r="T476" s="44">
        <v>0</v>
      </c>
      <c r="U476" s="44">
        <v>0</v>
      </c>
      <c r="V476" s="44">
        <v>0</v>
      </c>
      <c r="W476" s="44">
        <v>0</v>
      </c>
      <c r="X476" s="44">
        <v>0</v>
      </c>
      <c r="Y476" s="44">
        <v>0</v>
      </c>
      <c r="Z476" s="39"/>
      <c r="AA476" s="41"/>
      <c r="AB476" s="42"/>
      <c r="AC476" s="42"/>
      <c r="AD476" s="43"/>
    </row>
    <row r="477" spans="1:30" ht="46.5" x14ac:dyDescent="0.25">
      <c r="A477" s="37" t="s">
        <v>1334</v>
      </c>
      <c r="B477" s="38" t="s">
        <v>1335</v>
      </c>
      <c r="C477" s="39" t="s">
        <v>851</v>
      </c>
      <c r="D477" s="39" t="s">
        <v>852</v>
      </c>
      <c r="E477" s="39" t="s">
        <v>46</v>
      </c>
      <c r="F477" s="40">
        <f>SUM(F478:F478)+4430</f>
        <v>4430</v>
      </c>
      <c r="G477" s="40">
        <f>SUM(G478:G478)+4430</f>
        <v>4430</v>
      </c>
      <c r="H477" s="40">
        <f t="shared" ref="H477:O477" si="353">SUM(H478:H478)</f>
        <v>0</v>
      </c>
      <c r="I477" s="40">
        <f t="shared" si="353"/>
        <v>0</v>
      </c>
      <c r="J477" s="40">
        <f t="shared" si="353"/>
        <v>0</v>
      </c>
      <c r="K477" s="40">
        <f t="shared" si="353"/>
        <v>0</v>
      </c>
      <c r="L477" s="40">
        <f t="shared" si="353"/>
        <v>0</v>
      </c>
      <c r="M477" s="40">
        <f t="shared" si="353"/>
        <v>0</v>
      </c>
      <c r="N477" s="40">
        <f t="shared" si="353"/>
        <v>0</v>
      </c>
      <c r="O477" s="40">
        <f t="shared" si="353"/>
        <v>0</v>
      </c>
      <c r="P477" s="40">
        <f>SUM(P478:P478)+4429.14</f>
        <v>4429.1400000000003</v>
      </c>
      <c r="Q477" s="40">
        <f>SUM(Q478:Q478)+4429.14</f>
        <v>4429.1400000000003</v>
      </c>
      <c r="R477" s="40">
        <f t="shared" ref="R477:Y477" si="354">SUM(R478:R478)</f>
        <v>0</v>
      </c>
      <c r="S477" s="40">
        <f t="shared" si="354"/>
        <v>0</v>
      </c>
      <c r="T477" s="40">
        <f t="shared" si="354"/>
        <v>0</v>
      </c>
      <c r="U477" s="40">
        <f t="shared" si="354"/>
        <v>0</v>
      </c>
      <c r="V477" s="40">
        <f t="shared" si="354"/>
        <v>0</v>
      </c>
      <c r="W477" s="40">
        <f t="shared" si="354"/>
        <v>0</v>
      </c>
      <c r="X477" s="40">
        <f t="shared" si="354"/>
        <v>0</v>
      </c>
      <c r="Y477" s="40">
        <f t="shared" si="354"/>
        <v>0</v>
      </c>
      <c r="Z477" s="39" t="s">
        <v>1299</v>
      </c>
      <c r="AA477" s="41" t="s">
        <v>417</v>
      </c>
      <c r="AB477" s="42" t="s">
        <v>1336</v>
      </c>
      <c r="AC477" s="42" t="s">
        <v>1336</v>
      </c>
      <c r="AD477" s="43"/>
    </row>
    <row r="478" spans="1:30" ht="46.5" x14ac:dyDescent="0.25">
      <c r="A478" s="37" t="s">
        <v>1337</v>
      </c>
      <c r="B478" s="38" t="s">
        <v>1302</v>
      </c>
      <c r="C478" s="39"/>
      <c r="D478" s="39"/>
      <c r="E478" s="39"/>
      <c r="F478" s="44">
        <v>0</v>
      </c>
      <c r="G478" s="44">
        <v>0</v>
      </c>
      <c r="H478" s="44">
        <v>0</v>
      </c>
      <c r="I478" s="44">
        <v>0</v>
      </c>
      <c r="J478" s="44">
        <v>0</v>
      </c>
      <c r="K478" s="44">
        <v>0</v>
      </c>
      <c r="L478" s="44">
        <v>0</v>
      </c>
      <c r="M478" s="44">
        <v>0</v>
      </c>
      <c r="N478" s="44">
        <v>0</v>
      </c>
      <c r="O478" s="44">
        <v>0</v>
      </c>
      <c r="P478" s="44">
        <v>0</v>
      </c>
      <c r="Q478" s="44">
        <v>0</v>
      </c>
      <c r="R478" s="44">
        <v>0</v>
      </c>
      <c r="S478" s="44">
        <v>0</v>
      </c>
      <c r="T478" s="44">
        <v>0</v>
      </c>
      <c r="U478" s="44">
        <v>0</v>
      </c>
      <c r="V478" s="44">
        <v>0</v>
      </c>
      <c r="W478" s="44">
        <v>0</v>
      </c>
      <c r="X478" s="44">
        <v>0</v>
      </c>
      <c r="Y478" s="44">
        <v>0</v>
      </c>
      <c r="Z478" s="39"/>
      <c r="AA478" s="41"/>
      <c r="AB478" s="42"/>
      <c r="AC478" s="42"/>
      <c r="AD478" s="43"/>
    </row>
    <row r="479" spans="1:30" ht="46.5" x14ac:dyDescent="0.25">
      <c r="A479" s="37" t="s">
        <v>1338</v>
      </c>
      <c r="B479" s="38" t="s">
        <v>1339</v>
      </c>
      <c r="C479" s="39" t="s">
        <v>161</v>
      </c>
      <c r="D479" s="39" t="s">
        <v>857</v>
      </c>
      <c r="E479" s="39" t="s">
        <v>46</v>
      </c>
      <c r="F479" s="40">
        <f>SUM(F480:F480)+21620</f>
        <v>21620</v>
      </c>
      <c r="G479" s="40">
        <f>SUM(G480:G480)+21620</f>
        <v>21620</v>
      </c>
      <c r="H479" s="40">
        <f t="shared" ref="H479:O479" si="355">SUM(H480:H480)</f>
        <v>0</v>
      </c>
      <c r="I479" s="40">
        <f t="shared" si="355"/>
        <v>0</v>
      </c>
      <c r="J479" s="40">
        <f t="shared" si="355"/>
        <v>0</v>
      </c>
      <c r="K479" s="40">
        <f t="shared" si="355"/>
        <v>0</v>
      </c>
      <c r="L479" s="40">
        <f t="shared" si="355"/>
        <v>0</v>
      </c>
      <c r="M479" s="40">
        <f t="shared" si="355"/>
        <v>0</v>
      </c>
      <c r="N479" s="40">
        <f t="shared" si="355"/>
        <v>0</v>
      </c>
      <c r="O479" s="40">
        <f t="shared" si="355"/>
        <v>0</v>
      </c>
      <c r="P479" s="40">
        <f>SUM(P480:P480)+21620</f>
        <v>21620</v>
      </c>
      <c r="Q479" s="40">
        <f>SUM(Q480:Q480)+21620</f>
        <v>21620</v>
      </c>
      <c r="R479" s="40">
        <f t="shared" ref="R479:Y479" si="356">SUM(R480:R480)</f>
        <v>0</v>
      </c>
      <c r="S479" s="40">
        <f t="shared" si="356"/>
        <v>0</v>
      </c>
      <c r="T479" s="40">
        <f t="shared" si="356"/>
        <v>0</v>
      </c>
      <c r="U479" s="40">
        <f t="shared" si="356"/>
        <v>0</v>
      </c>
      <c r="V479" s="40">
        <f t="shared" si="356"/>
        <v>0</v>
      </c>
      <c r="W479" s="40">
        <f t="shared" si="356"/>
        <v>0</v>
      </c>
      <c r="X479" s="40">
        <f t="shared" si="356"/>
        <v>0</v>
      </c>
      <c r="Y479" s="40">
        <f t="shared" si="356"/>
        <v>0</v>
      </c>
      <c r="Z479" s="39" t="s">
        <v>1299</v>
      </c>
      <c r="AA479" s="41" t="s">
        <v>417</v>
      </c>
      <c r="AB479" s="42" t="s">
        <v>1340</v>
      </c>
      <c r="AC479" s="42" t="s">
        <v>1340</v>
      </c>
      <c r="AD479" s="43"/>
    </row>
    <row r="480" spans="1:30" ht="46.5" x14ac:dyDescent="0.25">
      <c r="A480" s="37" t="s">
        <v>1341</v>
      </c>
      <c r="B480" s="38" t="s">
        <v>1302</v>
      </c>
      <c r="C480" s="39"/>
      <c r="D480" s="39"/>
      <c r="E480" s="39"/>
      <c r="F480" s="44">
        <v>0</v>
      </c>
      <c r="G480" s="44">
        <v>0</v>
      </c>
      <c r="H480" s="44">
        <v>0</v>
      </c>
      <c r="I480" s="44">
        <v>0</v>
      </c>
      <c r="J480" s="44">
        <v>0</v>
      </c>
      <c r="K480" s="44">
        <v>0</v>
      </c>
      <c r="L480" s="44">
        <v>0</v>
      </c>
      <c r="M480" s="44">
        <v>0</v>
      </c>
      <c r="N480" s="44">
        <v>0</v>
      </c>
      <c r="O480" s="44">
        <v>0</v>
      </c>
      <c r="P480" s="44">
        <v>0</v>
      </c>
      <c r="Q480" s="44">
        <v>0</v>
      </c>
      <c r="R480" s="44">
        <v>0</v>
      </c>
      <c r="S480" s="44">
        <v>0</v>
      </c>
      <c r="T480" s="44">
        <v>0</v>
      </c>
      <c r="U480" s="44">
        <v>0</v>
      </c>
      <c r="V480" s="44">
        <v>0</v>
      </c>
      <c r="W480" s="44">
        <v>0</v>
      </c>
      <c r="X480" s="44">
        <v>0</v>
      </c>
      <c r="Y480" s="44">
        <v>0</v>
      </c>
      <c r="Z480" s="39"/>
      <c r="AA480" s="41"/>
      <c r="AB480" s="42"/>
      <c r="AC480" s="42"/>
      <c r="AD480" s="43"/>
    </row>
    <row r="481" spans="1:30" ht="46.5" x14ac:dyDescent="0.25">
      <c r="A481" s="37" t="s">
        <v>1342</v>
      </c>
      <c r="B481" s="38" t="s">
        <v>1343</v>
      </c>
      <c r="C481" s="39" t="s">
        <v>862</v>
      </c>
      <c r="D481" s="39" t="s">
        <v>863</v>
      </c>
      <c r="E481" s="39" t="s">
        <v>46</v>
      </c>
      <c r="F481" s="40">
        <f>SUM(F482:F482)+66430</f>
        <v>66430</v>
      </c>
      <c r="G481" s="40">
        <f>SUM(G482:G482)+66430</f>
        <v>66430</v>
      </c>
      <c r="H481" s="40">
        <f t="shared" ref="H481:O481" si="357">SUM(H482:H482)</f>
        <v>0</v>
      </c>
      <c r="I481" s="40">
        <f t="shared" si="357"/>
        <v>0</v>
      </c>
      <c r="J481" s="40">
        <f t="shared" si="357"/>
        <v>0</v>
      </c>
      <c r="K481" s="40">
        <f t="shared" si="357"/>
        <v>0</v>
      </c>
      <c r="L481" s="40">
        <f t="shared" si="357"/>
        <v>0</v>
      </c>
      <c r="M481" s="40">
        <f t="shared" si="357"/>
        <v>0</v>
      </c>
      <c r="N481" s="40">
        <f t="shared" si="357"/>
        <v>0</v>
      </c>
      <c r="O481" s="40">
        <f t="shared" si="357"/>
        <v>0</v>
      </c>
      <c r="P481" s="40">
        <f>SUM(P482:P482)+66429.96</f>
        <v>66429.960000000006</v>
      </c>
      <c r="Q481" s="40">
        <f>SUM(Q482:Q482)+66429.96</f>
        <v>66429.960000000006</v>
      </c>
      <c r="R481" s="40">
        <f t="shared" ref="R481:Y481" si="358">SUM(R482:R482)</f>
        <v>0</v>
      </c>
      <c r="S481" s="40">
        <f t="shared" si="358"/>
        <v>0</v>
      </c>
      <c r="T481" s="40">
        <f t="shared" si="358"/>
        <v>0</v>
      </c>
      <c r="U481" s="40">
        <f t="shared" si="358"/>
        <v>0</v>
      </c>
      <c r="V481" s="40">
        <f t="shared" si="358"/>
        <v>0</v>
      </c>
      <c r="W481" s="40">
        <f t="shared" si="358"/>
        <v>0</v>
      </c>
      <c r="X481" s="40">
        <f t="shared" si="358"/>
        <v>0</v>
      </c>
      <c r="Y481" s="40">
        <f t="shared" si="358"/>
        <v>0</v>
      </c>
      <c r="Z481" s="39" t="s">
        <v>1299</v>
      </c>
      <c r="AA481" s="41" t="s">
        <v>417</v>
      </c>
      <c r="AB481" s="42" t="s">
        <v>1344</v>
      </c>
      <c r="AC481" s="42" t="s">
        <v>1344</v>
      </c>
      <c r="AD481" s="43"/>
    </row>
    <row r="482" spans="1:30" ht="46.5" x14ac:dyDescent="0.25">
      <c r="A482" s="37" t="s">
        <v>1345</v>
      </c>
      <c r="B482" s="38" t="s">
        <v>1302</v>
      </c>
      <c r="C482" s="39"/>
      <c r="D482" s="39"/>
      <c r="E482" s="39"/>
      <c r="F482" s="44">
        <v>0</v>
      </c>
      <c r="G482" s="44">
        <v>0</v>
      </c>
      <c r="H482" s="44">
        <v>0</v>
      </c>
      <c r="I482" s="44">
        <v>0</v>
      </c>
      <c r="J482" s="44">
        <v>0</v>
      </c>
      <c r="K482" s="44">
        <v>0</v>
      </c>
      <c r="L482" s="44">
        <v>0</v>
      </c>
      <c r="M482" s="44">
        <v>0</v>
      </c>
      <c r="N482" s="44">
        <v>0</v>
      </c>
      <c r="O482" s="44">
        <v>0</v>
      </c>
      <c r="P482" s="44">
        <v>0</v>
      </c>
      <c r="Q482" s="44">
        <v>0</v>
      </c>
      <c r="R482" s="44">
        <v>0</v>
      </c>
      <c r="S482" s="44">
        <v>0</v>
      </c>
      <c r="T482" s="44">
        <v>0</v>
      </c>
      <c r="U482" s="44">
        <v>0</v>
      </c>
      <c r="V482" s="44">
        <v>0</v>
      </c>
      <c r="W482" s="44">
        <v>0</v>
      </c>
      <c r="X482" s="44">
        <v>0</v>
      </c>
      <c r="Y482" s="44">
        <v>0</v>
      </c>
      <c r="Z482" s="39"/>
      <c r="AA482" s="41"/>
      <c r="AB482" s="42"/>
      <c r="AC482" s="42"/>
      <c r="AD482" s="43"/>
    </row>
    <row r="483" spans="1:30" ht="46.5" x14ac:dyDescent="0.25">
      <c r="A483" s="37" t="s">
        <v>1346</v>
      </c>
      <c r="B483" s="38" t="s">
        <v>1347</v>
      </c>
      <c r="C483" s="39" t="s">
        <v>868</v>
      </c>
      <c r="D483" s="39" t="s">
        <v>869</v>
      </c>
      <c r="E483" s="39" t="s">
        <v>46</v>
      </c>
      <c r="F483" s="40">
        <f>SUM(F484:F484)+15170</f>
        <v>15170</v>
      </c>
      <c r="G483" s="40">
        <f>SUM(G484:G484)+15170</f>
        <v>15170</v>
      </c>
      <c r="H483" s="40">
        <f t="shared" ref="H483:O483" si="359">SUM(H484:H484)</f>
        <v>0</v>
      </c>
      <c r="I483" s="40">
        <f t="shared" si="359"/>
        <v>0</v>
      </c>
      <c r="J483" s="40">
        <f t="shared" si="359"/>
        <v>0</v>
      </c>
      <c r="K483" s="40">
        <f t="shared" si="359"/>
        <v>0</v>
      </c>
      <c r="L483" s="40">
        <f t="shared" si="359"/>
        <v>0</v>
      </c>
      <c r="M483" s="40">
        <f t="shared" si="359"/>
        <v>0</v>
      </c>
      <c r="N483" s="40">
        <f t="shared" si="359"/>
        <v>0</v>
      </c>
      <c r="O483" s="40">
        <f t="shared" si="359"/>
        <v>0</v>
      </c>
      <c r="P483" s="40">
        <f>SUM(P484:P484)+15170</f>
        <v>15170</v>
      </c>
      <c r="Q483" s="40">
        <f>SUM(Q484:Q484)+15170</f>
        <v>15170</v>
      </c>
      <c r="R483" s="40">
        <f t="shared" ref="R483:Y483" si="360">SUM(R484:R484)</f>
        <v>0</v>
      </c>
      <c r="S483" s="40">
        <f t="shared" si="360"/>
        <v>0</v>
      </c>
      <c r="T483" s="40">
        <f t="shared" si="360"/>
        <v>0</v>
      </c>
      <c r="U483" s="40">
        <f t="shared" si="360"/>
        <v>0</v>
      </c>
      <c r="V483" s="40">
        <f t="shared" si="360"/>
        <v>0</v>
      </c>
      <c r="W483" s="40">
        <f t="shared" si="360"/>
        <v>0</v>
      </c>
      <c r="X483" s="40">
        <f t="shared" si="360"/>
        <v>0</v>
      </c>
      <c r="Y483" s="40">
        <f t="shared" si="360"/>
        <v>0</v>
      </c>
      <c r="Z483" s="39" t="s">
        <v>1299</v>
      </c>
      <c r="AA483" s="41" t="s">
        <v>417</v>
      </c>
      <c r="AB483" s="42" t="s">
        <v>1134</v>
      </c>
      <c r="AC483" s="42" t="s">
        <v>1134</v>
      </c>
      <c r="AD483" s="43"/>
    </row>
    <row r="484" spans="1:30" ht="46.5" x14ac:dyDescent="0.25">
      <c r="A484" s="37" t="s">
        <v>1348</v>
      </c>
      <c r="B484" s="38" t="s">
        <v>1302</v>
      </c>
      <c r="C484" s="39"/>
      <c r="D484" s="39"/>
      <c r="E484" s="39"/>
      <c r="F484" s="44">
        <v>0</v>
      </c>
      <c r="G484" s="44">
        <v>0</v>
      </c>
      <c r="H484" s="44">
        <v>0</v>
      </c>
      <c r="I484" s="44">
        <v>0</v>
      </c>
      <c r="J484" s="44">
        <v>0</v>
      </c>
      <c r="K484" s="44">
        <v>0</v>
      </c>
      <c r="L484" s="44">
        <v>0</v>
      </c>
      <c r="M484" s="44">
        <v>0</v>
      </c>
      <c r="N484" s="44">
        <v>0</v>
      </c>
      <c r="O484" s="44">
        <v>0</v>
      </c>
      <c r="P484" s="44">
        <v>0</v>
      </c>
      <c r="Q484" s="44">
        <v>0</v>
      </c>
      <c r="R484" s="44">
        <v>0</v>
      </c>
      <c r="S484" s="44">
        <v>0</v>
      </c>
      <c r="T484" s="44">
        <v>0</v>
      </c>
      <c r="U484" s="44">
        <v>0</v>
      </c>
      <c r="V484" s="44">
        <v>0</v>
      </c>
      <c r="W484" s="44">
        <v>0</v>
      </c>
      <c r="X484" s="44">
        <v>0</v>
      </c>
      <c r="Y484" s="44">
        <v>0</v>
      </c>
      <c r="Z484" s="39"/>
      <c r="AA484" s="41"/>
      <c r="AB484" s="42"/>
      <c r="AC484" s="42"/>
      <c r="AD484" s="43"/>
    </row>
    <row r="485" spans="1:30" ht="67.5" x14ac:dyDescent="0.25">
      <c r="A485" s="30" t="s">
        <v>1349</v>
      </c>
      <c r="B485" s="31" t="s">
        <v>1350</v>
      </c>
      <c r="C485" s="32" t="s">
        <v>312</v>
      </c>
      <c r="D485" s="32" t="s">
        <v>316</v>
      </c>
      <c r="E485" s="32" t="s">
        <v>39</v>
      </c>
      <c r="F485" s="33">
        <f t="shared" ref="F485:Y485" si="361">SUM(F486:F486)</f>
        <v>43000</v>
      </c>
      <c r="G485" s="33">
        <f t="shared" si="361"/>
        <v>43000</v>
      </c>
      <c r="H485" s="33">
        <f t="shared" si="361"/>
        <v>0</v>
      </c>
      <c r="I485" s="33">
        <f t="shared" si="361"/>
        <v>0</v>
      </c>
      <c r="J485" s="33">
        <f t="shared" si="361"/>
        <v>0</v>
      </c>
      <c r="K485" s="33">
        <f t="shared" si="361"/>
        <v>0</v>
      </c>
      <c r="L485" s="33">
        <f t="shared" si="361"/>
        <v>0</v>
      </c>
      <c r="M485" s="33">
        <f t="shared" si="361"/>
        <v>0</v>
      </c>
      <c r="N485" s="33">
        <f t="shared" si="361"/>
        <v>0</v>
      </c>
      <c r="O485" s="33">
        <f t="shared" si="361"/>
        <v>0</v>
      </c>
      <c r="P485" s="33">
        <f t="shared" si="361"/>
        <v>37649.9</v>
      </c>
      <c r="Q485" s="33">
        <f t="shared" si="361"/>
        <v>37649.9</v>
      </c>
      <c r="R485" s="33">
        <f t="shared" si="361"/>
        <v>0</v>
      </c>
      <c r="S485" s="33">
        <f t="shared" si="361"/>
        <v>0</v>
      </c>
      <c r="T485" s="33">
        <f t="shared" si="361"/>
        <v>0</v>
      </c>
      <c r="U485" s="33">
        <f t="shared" si="361"/>
        <v>0</v>
      </c>
      <c r="V485" s="33">
        <f t="shared" si="361"/>
        <v>0</v>
      </c>
      <c r="W485" s="33">
        <f t="shared" si="361"/>
        <v>0</v>
      </c>
      <c r="X485" s="33">
        <f t="shared" si="361"/>
        <v>0</v>
      </c>
      <c r="Y485" s="33">
        <f t="shared" si="361"/>
        <v>0</v>
      </c>
      <c r="Z485" s="32" t="s">
        <v>1351</v>
      </c>
      <c r="AA485" s="34" t="s">
        <v>417</v>
      </c>
      <c r="AB485" s="35" t="s">
        <v>42</v>
      </c>
      <c r="AC485" s="35" t="s">
        <v>1352</v>
      </c>
      <c r="AD485" s="36" t="s">
        <v>1353</v>
      </c>
    </row>
    <row r="486" spans="1:30" ht="46.5" x14ac:dyDescent="0.25">
      <c r="A486" s="37" t="s">
        <v>1354</v>
      </c>
      <c r="B486" s="38" t="s">
        <v>1355</v>
      </c>
      <c r="C486" s="39" t="s">
        <v>312</v>
      </c>
      <c r="D486" s="39" t="s">
        <v>316</v>
      </c>
      <c r="E486" s="39" t="s">
        <v>46</v>
      </c>
      <c r="F486" s="40">
        <f>SUM(F487:F487)+43000</f>
        <v>43000</v>
      </c>
      <c r="G486" s="40">
        <f>SUM(G487:G487)+43000</f>
        <v>43000</v>
      </c>
      <c r="H486" s="40">
        <f t="shared" ref="H486:O486" si="362">SUM(H487:H487)</f>
        <v>0</v>
      </c>
      <c r="I486" s="40">
        <f t="shared" si="362"/>
        <v>0</v>
      </c>
      <c r="J486" s="40">
        <f t="shared" si="362"/>
        <v>0</v>
      </c>
      <c r="K486" s="40">
        <f t="shared" si="362"/>
        <v>0</v>
      </c>
      <c r="L486" s="40">
        <f t="shared" si="362"/>
        <v>0</v>
      </c>
      <c r="M486" s="40">
        <f t="shared" si="362"/>
        <v>0</v>
      </c>
      <c r="N486" s="40">
        <f t="shared" si="362"/>
        <v>0</v>
      </c>
      <c r="O486" s="40">
        <f t="shared" si="362"/>
        <v>0</v>
      </c>
      <c r="P486" s="40">
        <f>SUM(P487:P487)+37649.9</f>
        <v>37649.9</v>
      </c>
      <c r="Q486" s="40">
        <f>SUM(Q487:Q487)+37649.9</f>
        <v>37649.9</v>
      </c>
      <c r="R486" s="40">
        <f t="shared" ref="R486:Y486" si="363">SUM(R487:R487)</f>
        <v>0</v>
      </c>
      <c r="S486" s="40">
        <f t="shared" si="363"/>
        <v>0</v>
      </c>
      <c r="T486" s="40">
        <f t="shared" si="363"/>
        <v>0</v>
      </c>
      <c r="U486" s="40">
        <f t="shared" si="363"/>
        <v>0</v>
      </c>
      <c r="V486" s="40">
        <f t="shared" si="363"/>
        <v>0</v>
      </c>
      <c r="W486" s="40">
        <f t="shared" si="363"/>
        <v>0</v>
      </c>
      <c r="X486" s="40">
        <f t="shared" si="363"/>
        <v>0</v>
      </c>
      <c r="Y486" s="40">
        <f t="shared" si="363"/>
        <v>0</v>
      </c>
      <c r="Z486" s="39" t="s">
        <v>1356</v>
      </c>
      <c r="AA486" s="41" t="s">
        <v>417</v>
      </c>
      <c r="AB486" s="42" t="s">
        <v>1352</v>
      </c>
      <c r="AC486" s="42" t="s">
        <v>1352</v>
      </c>
      <c r="AD486" s="43"/>
    </row>
    <row r="487" spans="1:30" ht="69.75" x14ac:dyDescent="0.25">
      <c r="A487" s="37" t="s">
        <v>1357</v>
      </c>
      <c r="B487" s="38" t="s">
        <v>1358</v>
      </c>
      <c r="C487" s="39"/>
      <c r="D487" s="39"/>
      <c r="E487" s="39"/>
      <c r="F487" s="44">
        <v>0</v>
      </c>
      <c r="G487" s="44">
        <v>0</v>
      </c>
      <c r="H487" s="44">
        <v>0</v>
      </c>
      <c r="I487" s="44">
        <v>0</v>
      </c>
      <c r="J487" s="44">
        <v>0</v>
      </c>
      <c r="K487" s="44">
        <v>0</v>
      </c>
      <c r="L487" s="44">
        <v>0</v>
      </c>
      <c r="M487" s="44">
        <v>0</v>
      </c>
      <c r="N487" s="44">
        <v>0</v>
      </c>
      <c r="O487" s="44">
        <v>0</v>
      </c>
      <c r="P487" s="44">
        <v>0</v>
      </c>
      <c r="Q487" s="44">
        <v>0</v>
      </c>
      <c r="R487" s="44">
        <v>0</v>
      </c>
      <c r="S487" s="44">
        <v>0</v>
      </c>
      <c r="T487" s="44">
        <v>0</v>
      </c>
      <c r="U487" s="44">
        <v>0</v>
      </c>
      <c r="V487" s="44">
        <v>0</v>
      </c>
      <c r="W487" s="44">
        <v>0</v>
      </c>
      <c r="X487" s="44">
        <v>0</v>
      </c>
      <c r="Y487" s="44">
        <v>0</v>
      </c>
      <c r="Z487" s="39"/>
      <c r="AA487" s="41"/>
      <c r="AB487" s="42"/>
      <c r="AC487" s="42"/>
      <c r="AD487" s="43"/>
    </row>
    <row r="488" spans="1:30" ht="112.5" x14ac:dyDescent="0.25">
      <c r="A488" s="30" t="s">
        <v>1359</v>
      </c>
      <c r="B488" s="31" t="s">
        <v>1360</v>
      </c>
      <c r="C488" s="32" t="s">
        <v>312</v>
      </c>
      <c r="D488" s="32" t="s">
        <v>316</v>
      </c>
      <c r="E488" s="32" t="s">
        <v>39</v>
      </c>
      <c r="F488" s="33">
        <f t="shared" ref="F488:Y488" si="364">SUM(F489:F489)</f>
        <v>41500</v>
      </c>
      <c r="G488" s="33">
        <f t="shared" si="364"/>
        <v>41500</v>
      </c>
      <c r="H488" s="33">
        <f t="shared" si="364"/>
        <v>0</v>
      </c>
      <c r="I488" s="33">
        <f t="shared" si="364"/>
        <v>0</v>
      </c>
      <c r="J488" s="33">
        <f t="shared" si="364"/>
        <v>0</v>
      </c>
      <c r="K488" s="33">
        <f t="shared" si="364"/>
        <v>0</v>
      </c>
      <c r="L488" s="33">
        <f t="shared" si="364"/>
        <v>0</v>
      </c>
      <c r="M488" s="33">
        <f t="shared" si="364"/>
        <v>0</v>
      </c>
      <c r="N488" s="33">
        <f t="shared" si="364"/>
        <v>0</v>
      </c>
      <c r="O488" s="33">
        <f t="shared" si="364"/>
        <v>0</v>
      </c>
      <c r="P488" s="33">
        <f t="shared" si="364"/>
        <v>37351.25</v>
      </c>
      <c r="Q488" s="33">
        <f t="shared" si="364"/>
        <v>37351.25</v>
      </c>
      <c r="R488" s="33">
        <f t="shared" si="364"/>
        <v>0</v>
      </c>
      <c r="S488" s="33">
        <f t="shared" si="364"/>
        <v>0</v>
      </c>
      <c r="T488" s="33">
        <f t="shared" si="364"/>
        <v>0</v>
      </c>
      <c r="U488" s="33">
        <f t="shared" si="364"/>
        <v>0</v>
      </c>
      <c r="V488" s="33">
        <f t="shared" si="364"/>
        <v>0</v>
      </c>
      <c r="W488" s="33">
        <f t="shared" si="364"/>
        <v>0</v>
      </c>
      <c r="X488" s="33">
        <f t="shared" si="364"/>
        <v>0</v>
      </c>
      <c r="Y488" s="33">
        <f t="shared" si="364"/>
        <v>0</v>
      </c>
      <c r="Z488" s="32" t="s">
        <v>1361</v>
      </c>
      <c r="AA488" s="34" t="s">
        <v>417</v>
      </c>
      <c r="AB488" s="35" t="s">
        <v>56</v>
      </c>
      <c r="AC488" s="35" t="s">
        <v>1362</v>
      </c>
      <c r="AD488" s="36"/>
    </row>
    <row r="489" spans="1:30" ht="69.75" x14ac:dyDescent="0.25">
      <c r="A489" s="37" t="s">
        <v>1363</v>
      </c>
      <c r="B489" s="38" t="s">
        <v>1364</v>
      </c>
      <c r="C489" s="39" t="s">
        <v>312</v>
      </c>
      <c r="D489" s="39" t="s">
        <v>316</v>
      </c>
      <c r="E489" s="39" t="s">
        <v>46</v>
      </c>
      <c r="F489" s="40">
        <f>SUM(F490:F490)+41500</f>
        <v>41500</v>
      </c>
      <c r="G489" s="40">
        <f>SUM(G490:G490)+41500</f>
        <v>41500</v>
      </c>
      <c r="H489" s="40">
        <f t="shared" ref="H489:O489" si="365">SUM(H490:H490)</f>
        <v>0</v>
      </c>
      <c r="I489" s="40">
        <f t="shared" si="365"/>
        <v>0</v>
      </c>
      <c r="J489" s="40">
        <f t="shared" si="365"/>
        <v>0</v>
      </c>
      <c r="K489" s="40">
        <f t="shared" si="365"/>
        <v>0</v>
      </c>
      <c r="L489" s="40">
        <f t="shared" si="365"/>
        <v>0</v>
      </c>
      <c r="M489" s="40">
        <f t="shared" si="365"/>
        <v>0</v>
      </c>
      <c r="N489" s="40">
        <f t="shared" si="365"/>
        <v>0</v>
      </c>
      <c r="O489" s="40">
        <f t="shared" si="365"/>
        <v>0</v>
      </c>
      <c r="P489" s="40">
        <f>SUM(P490:P490)+37351.25</f>
        <v>37351.25</v>
      </c>
      <c r="Q489" s="40">
        <f>SUM(Q490:Q490)+37351.25</f>
        <v>37351.25</v>
      </c>
      <c r="R489" s="40">
        <f t="shared" ref="R489:Y489" si="366">SUM(R490:R490)</f>
        <v>0</v>
      </c>
      <c r="S489" s="40">
        <f t="shared" si="366"/>
        <v>0</v>
      </c>
      <c r="T489" s="40">
        <f t="shared" si="366"/>
        <v>0</v>
      </c>
      <c r="U489" s="40">
        <f t="shared" si="366"/>
        <v>0</v>
      </c>
      <c r="V489" s="40">
        <f t="shared" si="366"/>
        <v>0</v>
      </c>
      <c r="W489" s="40">
        <f t="shared" si="366"/>
        <v>0</v>
      </c>
      <c r="X489" s="40">
        <f t="shared" si="366"/>
        <v>0</v>
      </c>
      <c r="Y489" s="40">
        <f t="shared" si="366"/>
        <v>0</v>
      </c>
      <c r="Z489" s="39" t="s">
        <v>1365</v>
      </c>
      <c r="AA489" s="41" t="s">
        <v>417</v>
      </c>
      <c r="AB489" s="42" t="s">
        <v>56</v>
      </c>
      <c r="AC489" s="42" t="s">
        <v>1362</v>
      </c>
      <c r="AD489" s="43"/>
    </row>
    <row r="490" spans="1:30" ht="93" x14ac:dyDescent="0.25">
      <c r="A490" s="37" t="s">
        <v>1366</v>
      </c>
      <c r="B490" s="38" t="s">
        <v>1367</v>
      </c>
      <c r="C490" s="39"/>
      <c r="D490" s="39"/>
      <c r="E490" s="39"/>
      <c r="F490" s="44">
        <v>0</v>
      </c>
      <c r="G490" s="44">
        <v>0</v>
      </c>
      <c r="H490" s="44">
        <v>0</v>
      </c>
      <c r="I490" s="44">
        <v>0</v>
      </c>
      <c r="J490" s="44">
        <v>0</v>
      </c>
      <c r="K490" s="44">
        <v>0</v>
      </c>
      <c r="L490" s="44">
        <v>0</v>
      </c>
      <c r="M490" s="44">
        <v>0</v>
      </c>
      <c r="N490" s="44">
        <v>0</v>
      </c>
      <c r="O490" s="44">
        <v>0</v>
      </c>
      <c r="P490" s="44">
        <v>0</v>
      </c>
      <c r="Q490" s="44">
        <v>0</v>
      </c>
      <c r="R490" s="44">
        <v>0</v>
      </c>
      <c r="S490" s="44">
        <v>0</v>
      </c>
      <c r="T490" s="44">
        <v>0</v>
      </c>
      <c r="U490" s="44">
        <v>0</v>
      </c>
      <c r="V490" s="44">
        <v>0</v>
      </c>
      <c r="W490" s="44">
        <v>0</v>
      </c>
      <c r="X490" s="44">
        <v>0</v>
      </c>
      <c r="Y490" s="44">
        <v>0</v>
      </c>
      <c r="Z490" s="39"/>
      <c r="AA490" s="41"/>
      <c r="AB490" s="42"/>
      <c r="AC490" s="42"/>
      <c r="AD490" s="43"/>
    </row>
    <row r="491" spans="1:30" ht="90" x14ac:dyDescent="0.25">
      <c r="A491" s="30" t="s">
        <v>1368</v>
      </c>
      <c r="B491" s="31" t="s">
        <v>1369</v>
      </c>
      <c r="C491" s="32" t="s">
        <v>312</v>
      </c>
      <c r="D491" s="32" t="s">
        <v>316</v>
      </c>
      <c r="E491" s="32" t="s">
        <v>39</v>
      </c>
      <c r="F491" s="33">
        <f t="shared" ref="F491:Y491" si="367">F492+F494</f>
        <v>41487</v>
      </c>
      <c r="G491" s="33">
        <f t="shared" si="367"/>
        <v>41487</v>
      </c>
      <c r="H491" s="33">
        <f t="shared" si="367"/>
        <v>0</v>
      </c>
      <c r="I491" s="33">
        <f t="shared" si="367"/>
        <v>0</v>
      </c>
      <c r="J491" s="33">
        <f t="shared" si="367"/>
        <v>0</v>
      </c>
      <c r="K491" s="33">
        <f t="shared" si="367"/>
        <v>0</v>
      </c>
      <c r="L491" s="33">
        <f t="shared" si="367"/>
        <v>0</v>
      </c>
      <c r="M491" s="33">
        <f t="shared" si="367"/>
        <v>0</v>
      </c>
      <c r="N491" s="33">
        <f t="shared" si="367"/>
        <v>0</v>
      </c>
      <c r="O491" s="33">
        <f t="shared" si="367"/>
        <v>0</v>
      </c>
      <c r="P491" s="33">
        <f t="shared" si="367"/>
        <v>38444.69</v>
      </c>
      <c r="Q491" s="33">
        <f t="shared" si="367"/>
        <v>38444.69</v>
      </c>
      <c r="R491" s="33">
        <f t="shared" si="367"/>
        <v>0</v>
      </c>
      <c r="S491" s="33">
        <f t="shared" si="367"/>
        <v>0</v>
      </c>
      <c r="T491" s="33">
        <f t="shared" si="367"/>
        <v>0</v>
      </c>
      <c r="U491" s="33">
        <f t="shared" si="367"/>
        <v>0</v>
      </c>
      <c r="V491" s="33">
        <f t="shared" si="367"/>
        <v>0</v>
      </c>
      <c r="W491" s="33">
        <f t="shared" si="367"/>
        <v>0</v>
      </c>
      <c r="X491" s="33">
        <f t="shared" si="367"/>
        <v>0</v>
      </c>
      <c r="Y491" s="33">
        <f t="shared" si="367"/>
        <v>0</v>
      </c>
      <c r="Z491" s="32" t="s">
        <v>1370</v>
      </c>
      <c r="AA491" s="34" t="s">
        <v>41</v>
      </c>
      <c r="AB491" s="35" t="s">
        <v>82</v>
      </c>
      <c r="AC491" s="35" t="s">
        <v>56</v>
      </c>
      <c r="AD491" s="36"/>
    </row>
    <row r="492" spans="1:30" ht="46.5" x14ac:dyDescent="0.25">
      <c r="A492" s="37" t="s">
        <v>1371</v>
      </c>
      <c r="B492" s="38" t="s">
        <v>1372</v>
      </c>
      <c r="C492" s="39" t="s">
        <v>312</v>
      </c>
      <c r="D492" s="39" t="s">
        <v>316</v>
      </c>
      <c r="E492" s="39" t="s">
        <v>46</v>
      </c>
      <c r="F492" s="40">
        <f>SUM(F493:F493)+12487</f>
        <v>12487</v>
      </c>
      <c r="G492" s="40">
        <f>SUM(G493:G493)+12487</f>
        <v>12487</v>
      </c>
      <c r="H492" s="40">
        <f t="shared" ref="H492:O492" si="368">SUM(H493:H493)</f>
        <v>0</v>
      </c>
      <c r="I492" s="40">
        <f t="shared" si="368"/>
        <v>0</v>
      </c>
      <c r="J492" s="40">
        <f t="shared" si="368"/>
        <v>0</v>
      </c>
      <c r="K492" s="40">
        <f t="shared" si="368"/>
        <v>0</v>
      </c>
      <c r="L492" s="40">
        <f t="shared" si="368"/>
        <v>0</v>
      </c>
      <c r="M492" s="40">
        <f t="shared" si="368"/>
        <v>0</v>
      </c>
      <c r="N492" s="40">
        <f t="shared" si="368"/>
        <v>0</v>
      </c>
      <c r="O492" s="40">
        <f t="shared" si="368"/>
        <v>0</v>
      </c>
      <c r="P492" s="40">
        <f>SUM(P493:P493)+12486.93</f>
        <v>12486.93</v>
      </c>
      <c r="Q492" s="40">
        <f>SUM(Q493:Q493)+12486.93</f>
        <v>12486.93</v>
      </c>
      <c r="R492" s="40">
        <f t="shared" ref="R492:Y492" si="369">SUM(R493:R493)</f>
        <v>0</v>
      </c>
      <c r="S492" s="40">
        <f t="shared" si="369"/>
        <v>0</v>
      </c>
      <c r="T492" s="40">
        <f t="shared" si="369"/>
        <v>0</v>
      </c>
      <c r="U492" s="40">
        <f t="shared" si="369"/>
        <v>0</v>
      </c>
      <c r="V492" s="40">
        <f t="shared" si="369"/>
        <v>0</v>
      </c>
      <c r="W492" s="40">
        <f t="shared" si="369"/>
        <v>0</v>
      </c>
      <c r="X492" s="40">
        <f t="shared" si="369"/>
        <v>0</v>
      </c>
      <c r="Y492" s="40">
        <f t="shared" si="369"/>
        <v>0</v>
      </c>
      <c r="Z492" s="39" t="s">
        <v>1373</v>
      </c>
      <c r="AA492" s="41" t="s">
        <v>41</v>
      </c>
      <c r="AB492" s="42" t="s">
        <v>49</v>
      </c>
      <c r="AC492" s="42" t="s">
        <v>56</v>
      </c>
      <c r="AD492" s="43" t="s">
        <v>1374</v>
      </c>
    </row>
    <row r="493" spans="1:30" ht="46.5" x14ac:dyDescent="0.25">
      <c r="A493" s="37" t="s">
        <v>1375</v>
      </c>
      <c r="B493" s="38" t="s">
        <v>1376</v>
      </c>
      <c r="C493" s="39"/>
      <c r="D493" s="39"/>
      <c r="E493" s="39"/>
      <c r="F493" s="44">
        <v>0</v>
      </c>
      <c r="G493" s="44">
        <v>0</v>
      </c>
      <c r="H493" s="44">
        <v>0</v>
      </c>
      <c r="I493" s="44">
        <v>0</v>
      </c>
      <c r="J493" s="44">
        <v>0</v>
      </c>
      <c r="K493" s="44">
        <v>0</v>
      </c>
      <c r="L493" s="44">
        <v>0</v>
      </c>
      <c r="M493" s="44">
        <v>0</v>
      </c>
      <c r="N493" s="44">
        <v>0</v>
      </c>
      <c r="O493" s="44">
        <v>0</v>
      </c>
      <c r="P493" s="44">
        <v>0</v>
      </c>
      <c r="Q493" s="44">
        <v>0</v>
      </c>
      <c r="R493" s="44">
        <v>0</v>
      </c>
      <c r="S493" s="44">
        <v>0</v>
      </c>
      <c r="T493" s="44">
        <v>0</v>
      </c>
      <c r="U493" s="44">
        <v>0</v>
      </c>
      <c r="V493" s="44">
        <v>0</v>
      </c>
      <c r="W493" s="44">
        <v>0</v>
      </c>
      <c r="X493" s="44">
        <v>0</v>
      </c>
      <c r="Y493" s="44">
        <v>0</v>
      </c>
      <c r="Z493" s="39"/>
      <c r="AA493" s="41"/>
      <c r="AB493" s="42"/>
      <c r="AC493" s="42"/>
      <c r="AD493" s="43"/>
    </row>
    <row r="494" spans="1:30" ht="69.75" x14ac:dyDescent="0.25">
      <c r="A494" s="37" t="s">
        <v>1377</v>
      </c>
      <c r="B494" s="38" t="s">
        <v>1378</v>
      </c>
      <c r="C494" s="39" t="s">
        <v>312</v>
      </c>
      <c r="D494" s="39" t="s">
        <v>316</v>
      </c>
      <c r="E494" s="39" t="s">
        <v>46</v>
      </c>
      <c r="F494" s="40">
        <f>SUM(F495:F495)+29000</f>
        <v>29000</v>
      </c>
      <c r="G494" s="40">
        <f>SUM(G495:G495)+29000</f>
        <v>29000</v>
      </c>
      <c r="H494" s="40">
        <f t="shared" ref="H494:O494" si="370">SUM(H495:H495)</f>
        <v>0</v>
      </c>
      <c r="I494" s="40">
        <f t="shared" si="370"/>
        <v>0</v>
      </c>
      <c r="J494" s="40">
        <f t="shared" si="370"/>
        <v>0</v>
      </c>
      <c r="K494" s="40">
        <f t="shared" si="370"/>
        <v>0</v>
      </c>
      <c r="L494" s="40">
        <f t="shared" si="370"/>
        <v>0</v>
      </c>
      <c r="M494" s="40">
        <f t="shared" si="370"/>
        <v>0</v>
      </c>
      <c r="N494" s="40">
        <f t="shared" si="370"/>
        <v>0</v>
      </c>
      <c r="O494" s="40">
        <f t="shared" si="370"/>
        <v>0</v>
      </c>
      <c r="P494" s="40">
        <f>SUM(P495:P495)+25957.76</f>
        <v>25957.759999999998</v>
      </c>
      <c r="Q494" s="40">
        <f>SUM(Q495:Q495)+25957.76</f>
        <v>25957.759999999998</v>
      </c>
      <c r="R494" s="40">
        <f t="shared" ref="R494:Y494" si="371">SUM(R495:R495)</f>
        <v>0</v>
      </c>
      <c r="S494" s="40">
        <f t="shared" si="371"/>
        <v>0</v>
      </c>
      <c r="T494" s="40">
        <f t="shared" si="371"/>
        <v>0</v>
      </c>
      <c r="U494" s="40">
        <f t="shared" si="371"/>
        <v>0</v>
      </c>
      <c r="V494" s="40">
        <f t="shared" si="371"/>
        <v>0</v>
      </c>
      <c r="W494" s="40">
        <f t="shared" si="371"/>
        <v>0</v>
      </c>
      <c r="X494" s="40">
        <f t="shared" si="371"/>
        <v>0</v>
      </c>
      <c r="Y494" s="40">
        <f t="shared" si="371"/>
        <v>0</v>
      </c>
      <c r="Z494" s="39" t="s">
        <v>1379</v>
      </c>
      <c r="AA494" s="41" t="s">
        <v>41</v>
      </c>
      <c r="AB494" s="42" t="s">
        <v>82</v>
      </c>
      <c r="AC494" s="42" t="s">
        <v>82</v>
      </c>
      <c r="AD494" s="43"/>
    </row>
    <row r="495" spans="1:30" ht="46.5" x14ac:dyDescent="0.25">
      <c r="A495" s="37" t="s">
        <v>1380</v>
      </c>
      <c r="B495" s="38" t="s">
        <v>1381</v>
      </c>
      <c r="C495" s="39"/>
      <c r="D495" s="39"/>
      <c r="E495" s="39"/>
      <c r="F495" s="44">
        <v>0</v>
      </c>
      <c r="G495" s="44">
        <v>0</v>
      </c>
      <c r="H495" s="44">
        <v>0</v>
      </c>
      <c r="I495" s="44">
        <v>0</v>
      </c>
      <c r="J495" s="44">
        <v>0</v>
      </c>
      <c r="K495" s="44">
        <v>0</v>
      </c>
      <c r="L495" s="44">
        <v>0</v>
      </c>
      <c r="M495" s="44">
        <v>0</v>
      </c>
      <c r="N495" s="44">
        <v>0</v>
      </c>
      <c r="O495" s="44">
        <v>0</v>
      </c>
      <c r="P495" s="44">
        <v>0</v>
      </c>
      <c r="Q495" s="44">
        <v>0</v>
      </c>
      <c r="R495" s="44">
        <v>0</v>
      </c>
      <c r="S495" s="44">
        <v>0</v>
      </c>
      <c r="T495" s="44">
        <v>0</v>
      </c>
      <c r="U495" s="44">
        <v>0</v>
      </c>
      <c r="V495" s="44">
        <v>0</v>
      </c>
      <c r="W495" s="44">
        <v>0</v>
      </c>
      <c r="X495" s="44">
        <v>0</v>
      </c>
      <c r="Y495" s="44">
        <v>0</v>
      </c>
      <c r="Z495" s="39"/>
      <c r="AA495" s="41"/>
      <c r="AB495" s="42"/>
      <c r="AC495" s="42"/>
      <c r="AD495" s="43"/>
    </row>
    <row r="496" spans="1:30" ht="67.5" x14ac:dyDescent="0.25">
      <c r="A496" s="30" t="s">
        <v>1382</v>
      </c>
      <c r="B496" s="31" t="s">
        <v>1383</v>
      </c>
      <c r="C496" s="32" t="s">
        <v>312</v>
      </c>
      <c r="D496" s="32" t="s">
        <v>316</v>
      </c>
      <c r="E496" s="32" t="s">
        <v>39</v>
      </c>
      <c r="F496" s="33">
        <f t="shared" ref="F496:Y496" si="372">F497+F499</f>
        <v>22600</v>
      </c>
      <c r="G496" s="33">
        <f t="shared" si="372"/>
        <v>22600</v>
      </c>
      <c r="H496" s="33">
        <f t="shared" si="372"/>
        <v>0</v>
      </c>
      <c r="I496" s="33">
        <f t="shared" si="372"/>
        <v>0</v>
      </c>
      <c r="J496" s="33">
        <f t="shared" si="372"/>
        <v>0</v>
      </c>
      <c r="K496" s="33">
        <f t="shared" si="372"/>
        <v>0</v>
      </c>
      <c r="L496" s="33">
        <f t="shared" si="372"/>
        <v>0</v>
      </c>
      <c r="M496" s="33">
        <f t="shared" si="372"/>
        <v>0</v>
      </c>
      <c r="N496" s="33">
        <f t="shared" si="372"/>
        <v>0</v>
      </c>
      <c r="O496" s="33">
        <f t="shared" si="372"/>
        <v>0</v>
      </c>
      <c r="P496" s="33">
        <f t="shared" si="372"/>
        <v>25439</v>
      </c>
      <c r="Q496" s="33">
        <f t="shared" si="372"/>
        <v>25439</v>
      </c>
      <c r="R496" s="33">
        <f t="shared" si="372"/>
        <v>0</v>
      </c>
      <c r="S496" s="33">
        <f t="shared" si="372"/>
        <v>0</v>
      </c>
      <c r="T496" s="33">
        <f t="shared" si="372"/>
        <v>0</v>
      </c>
      <c r="U496" s="33">
        <f t="shared" si="372"/>
        <v>0</v>
      </c>
      <c r="V496" s="33">
        <f t="shared" si="372"/>
        <v>0</v>
      </c>
      <c r="W496" s="33">
        <f t="shared" si="372"/>
        <v>0</v>
      </c>
      <c r="X496" s="33">
        <f t="shared" si="372"/>
        <v>0</v>
      </c>
      <c r="Y496" s="33">
        <f t="shared" si="372"/>
        <v>0</v>
      </c>
      <c r="Z496" s="32" t="s">
        <v>1384</v>
      </c>
      <c r="AA496" s="34" t="s">
        <v>41</v>
      </c>
      <c r="AB496" s="35" t="s">
        <v>42</v>
      </c>
      <c r="AC496" s="35" t="s">
        <v>56</v>
      </c>
      <c r="AD496" s="36"/>
    </row>
    <row r="497" spans="1:30" ht="69.75" x14ac:dyDescent="0.25">
      <c r="A497" s="37" t="s">
        <v>1385</v>
      </c>
      <c r="B497" s="38" t="s">
        <v>1386</v>
      </c>
      <c r="C497" s="39" t="s">
        <v>312</v>
      </c>
      <c r="D497" s="39" t="s">
        <v>316</v>
      </c>
      <c r="E497" s="39" t="s">
        <v>46</v>
      </c>
      <c r="F497" s="40">
        <f t="shared" ref="F497:Y497" si="373">SUM(F498:F498)</f>
        <v>0</v>
      </c>
      <c r="G497" s="40">
        <f t="shared" si="373"/>
        <v>0</v>
      </c>
      <c r="H497" s="40">
        <f t="shared" si="373"/>
        <v>0</v>
      </c>
      <c r="I497" s="40">
        <f t="shared" si="373"/>
        <v>0</v>
      </c>
      <c r="J497" s="40">
        <f t="shared" si="373"/>
        <v>0</v>
      </c>
      <c r="K497" s="40">
        <f t="shared" si="373"/>
        <v>0</v>
      </c>
      <c r="L497" s="40">
        <f t="shared" si="373"/>
        <v>0</v>
      </c>
      <c r="M497" s="40">
        <f t="shared" si="373"/>
        <v>0</v>
      </c>
      <c r="N497" s="40">
        <f t="shared" si="373"/>
        <v>0</v>
      </c>
      <c r="O497" s="40">
        <f t="shared" si="373"/>
        <v>0</v>
      </c>
      <c r="P497" s="40">
        <f t="shared" si="373"/>
        <v>0</v>
      </c>
      <c r="Q497" s="40">
        <f t="shared" si="373"/>
        <v>0</v>
      </c>
      <c r="R497" s="40">
        <f t="shared" si="373"/>
        <v>0</v>
      </c>
      <c r="S497" s="40">
        <f t="shared" si="373"/>
        <v>0</v>
      </c>
      <c r="T497" s="40">
        <f t="shared" si="373"/>
        <v>0</v>
      </c>
      <c r="U497" s="40">
        <f t="shared" si="373"/>
        <v>0</v>
      </c>
      <c r="V497" s="40">
        <f t="shared" si="373"/>
        <v>0</v>
      </c>
      <c r="W497" s="40">
        <f t="shared" si="373"/>
        <v>0</v>
      </c>
      <c r="X497" s="40">
        <f t="shared" si="373"/>
        <v>0</v>
      </c>
      <c r="Y497" s="40">
        <f t="shared" si="373"/>
        <v>0</v>
      </c>
      <c r="Z497" s="39" t="s">
        <v>1387</v>
      </c>
      <c r="AA497" s="41" t="s">
        <v>41</v>
      </c>
      <c r="AB497" s="42" t="s">
        <v>42</v>
      </c>
      <c r="AC497" s="42" t="s">
        <v>57</v>
      </c>
      <c r="AD497" s="43" t="s">
        <v>1388</v>
      </c>
    </row>
    <row r="498" spans="1:30" ht="69.75" x14ac:dyDescent="0.25">
      <c r="A498" s="37" t="s">
        <v>1389</v>
      </c>
      <c r="B498" s="38" t="s">
        <v>1390</v>
      </c>
      <c r="C498" s="39"/>
      <c r="D498" s="39"/>
      <c r="E498" s="39"/>
      <c r="F498" s="44">
        <v>0</v>
      </c>
      <c r="G498" s="44">
        <v>0</v>
      </c>
      <c r="H498" s="44">
        <v>0</v>
      </c>
      <c r="I498" s="44">
        <v>0</v>
      </c>
      <c r="J498" s="44">
        <v>0</v>
      </c>
      <c r="K498" s="44">
        <v>0</v>
      </c>
      <c r="L498" s="44">
        <v>0</v>
      </c>
      <c r="M498" s="44">
        <v>0</v>
      </c>
      <c r="N498" s="44">
        <v>0</v>
      </c>
      <c r="O498" s="44">
        <v>0</v>
      </c>
      <c r="P498" s="44">
        <v>0</v>
      </c>
      <c r="Q498" s="44">
        <v>0</v>
      </c>
      <c r="R498" s="44">
        <v>0</v>
      </c>
      <c r="S498" s="44">
        <v>0</v>
      </c>
      <c r="T498" s="44">
        <v>0</v>
      </c>
      <c r="U498" s="44">
        <v>0</v>
      </c>
      <c r="V498" s="44">
        <v>0</v>
      </c>
      <c r="W498" s="44">
        <v>0</v>
      </c>
      <c r="X498" s="44">
        <v>0</v>
      </c>
      <c r="Y498" s="44">
        <v>0</v>
      </c>
      <c r="Z498" s="39"/>
      <c r="AA498" s="41"/>
      <c r="AB498" s="42"/>
      <c r="AC498" s="42"/>
      <c r="AD498" s="43"/>
    </row>
    <row r="499" spans="1:30" ht="46.5" x14ac:dyDescent="0.25">
      <c r="A499" s="37" t="s">
        <v>1391</v>
      </c>
      <c r="B499" s="38" t="s">
        <v>1392</v>
      </c>
      <c r="C499" s="39" t="s">
        <v>312</v>
      </c>
      <c r="D499" s="39" t="s">
        <v>316</v>
      </c>
      <c r="E499" s="39" t="s">
        <v>46</v>
      </c>
      <c r="F499" s="40">
        <f>SUM(F500:F500)+22600</f>
        <v>22600</v>
      </c>
      <c r="G499" s="40">
        <f>SUM(G500:G500)+22600</f>
        <v>22600</v>
      </c>
      <c r="H499" s="40">
        <f t="shared" ref="H499:O499" si="374">SUM(H500:H500)</f>
        <v>0</v>
      </c>
      <c r="I499" s="40">
        <f t="shared" si="374"/>
        <v>0</v>
      </c>
      <c r="J499" s="40">
        <f t="shared" si="374"/>
        <v>0</v>
      </c>
      <c r="K499" s="40">
        <f t="shared" si="374"/>
        <v>0</v>
      </c>
      <c r="L499" s="40">
        <f t="shared" si="374"/>
        <v>0</v>
      </c>
      <c r="M499" s="40">
        <f t="shared" si="374"/>
        <v>0</v>
      </c>
      <c r="N499" s="40">
        <f t="shared" si="374"/>
        <v>0</v>
      </c>
      <c r="O499" s="40">
        <f t="shared" si="374"/>
        <v>0</v>
      </c>
      <c r="P499" s="40">
        <f>SUM(P500:P500)+25439</f>
        <v>25439</v>
      </c>
      <c r="Q499" s="40">
        <f>SUM(Q500:Q500)+25439</f>
        <v>25439</v>
      </c>
      <c r="R499" s="40">
        <f t="shared" ref="R499:Y499" si="375">SUM(R500:R500)</f>
        <v>0</v>
      </c>
      <c r="S499" s="40">
        <f t="shared" si="375"/>
        <v>0</v>
      </c>
      <c r="T499" s="40">
        <f t="shared" si="375"/>
        <v>0</v>
      </c>
      <c r="U499" s="40">
        <f t="shared" si="375"/>
        <v>0</v>
      </c>
      <c r="V499" s="40">
        <f t="shared" si="375"/>
        <v>0</v>
      </c>
      <c r="W499" s="40">
        <f t="shared" si="375"/>
        <v>0</v>
      </c>
      <c r="X499" s="40">
        <f t="shared" si="375"/>
        <v>0</v>
      </c>
      <c r="Y499" s="40">
        <f t="shared" si="375"/>
        <v>0</v>
      </c>
      <c r="Z499" s="39" t="s">
        <v>1393</v>
      </c>
      <c r="AA499" s="41" t="s">
        <v>41</v>
      </c>
      <c r="AB499" s="42" t="s">
        <v>83</v>
      </c>
      <c r="AC499" s="42" t="s">
        <v>83</v>
      </c>
      <c r="AD499" s="43"/>
    </row>
    <row r="500" spans="1:30" ht="69.75" x14ac:dyDescent="0.25">
      <c r="A500" s="37" t="s">
        <v>1394</v>
      </c>
      <c r="B500" s="38" t="s">
        <v>1395</v>
      </c>
      <c r="C500" s="39"/>
      <c r="D500" s="39"/>
      <c r="E500" s="39"/>
      <c r="F500" s="44">
        <v>0</v>
      </c>
      <c r="G500" s="44">
        <v>0</v>
      </c>
      <c r="H500" s="44">
        <v>0</v>
      </c>
      <c r="I500" s="44">
        <v>0</v>
      </c>
      <c r="J500" s="44">
        <v>0</v>
      </c>
      <c r="K500" s="44">
        <v>0</v>
      </c>
      <c r="L500" s="44">
        <v>0</v>
      </c>
      <c r="M500" s="44">
        <v>0</v>
      </c>
      <c r="N500" s="44">
        <v>0</v>
      </c>
      <c r="O500" s="44">
        <v>0</v>
      </c>
      <c r="P500" s="44">
        <v>0</v>
      </c>
      <c r="Q500" s="44">
        <v>0</v>
      </c>
      <c r="R500" s="44">
        <v>0</v>
      </c>
      <c r="S500" s="44">
        <v>0</v>
      </c>
      <c r="T500" s="44">
        <v>0</v>
      </c>
      <c r="U500" s="44">
        <v>0</v>
      </c>
      <c r="V500" s="44">
        <v>0</v>
      </c>
      <c r="W500" s="44">
        <v>0</v>
      </c>
      <c r="X500" s="44">
        <v>0</v>
      </c>
      <c r="Y500" s="44">
        <v>0</v>
      </c>
      <c r="Z500" s="39"/>
      <c r="AA500" s="41"/>
      <c r="AB500" s="42"/>
      <c r="AC500" s="42"/>
      <c r="AD500" s="43"/>
    </row>
    <row r="501" spans="1:30" ht="67.5" x14ac:dyDescent="0.25">
      <c r="A501" s="23" t="s">
        <v>1396</v>
      </c>
      <c r="B501" s="24" t="s">
        <v>426</v>
      </c>
      <c r="C501" s="25" t="s">
        <v>427</v>
      </c>
      <c r="D501" s="25" t="s">
        <v>428</v>
      </c>
      <c r="E501" s="25"/>
      <c r="F501" s="26">
        <f t="shared" ref="F501:Y501" si="376">SUM(F502:F502)</f>
        <v>376000</v>
      </c>
      <c r="G501" s="26">
        <f t="shared" si="376"/>
        <v>55000</v>
      </c>
      <c r="H501" s="26">
        <f t="shared" si="376"/>
        <v>0</v>
      </c>
      <c r="I501" s="26">
        <f t="shared" si="376"/>
        <v>0</v>
      </c>
      <c r="J501" s="26">
        <f t="shared" si="376"/>
        <v>321000</v>
      </c>
      <c r="K501" s="26">
        <f t="shared" si="376"/>
        <v>0</v>
      </c>
      <c r="L501" s="26">
        <f t="shared" si="376"/>
        <v>0</v>
      </c>
      <c r="M501" s="26">
        <f t="shared" si="376"/>
        <v>0</v>
      </c>
      <c r="N501" s="26">
        <f t="shared" si="376"/>
        <v>0</v>
      </c>
      <c r="O501" s="26">
        <f t="shared" si="376"/>
        <v>0</v>
      </c>
      <c r="P501" s="26">
        <f t="shared" si="376"/>
        <v>375999.99</v>
      </c>
      <c r="Q501" s="26">
        <f t="shared" si="376"/>
        <v>54999.99</v>
      </c>
      <c r="R501" s="26">
        <f t="shared" si="376"/>
        <v>0</v>
      </c>
      <c r="S501" s="26">
        <f t="shared" si="376"/>
        <v>0</v>
      </c>
      <c r="T501" s="26">
        <f t="shared" si="376"/>
        <v>0</v>
      </c>
      <c r="U501" s="26">
        <f t="shared" si="376"/>
        <v>0</v>
      </c>
      <c r="V501" s="26">
        <f t="shared" si="376"/>
        <v>0</v>
      </c>
      <c r="W501" s="26">
        <f t="shared" si="376"/>
        <v>0</v>
      </c>
      <c r="X501" s="26">
        <f t="shared" si="376"/>
        <v>0</v>
      </c>
      <c r="Y501" s="26">
        <f t="shared" si="376"/>
        <v>0</v>
      </c>
      <c r="Z501" s="25" t="s">
        <v>429</v>
      </c>
      <c r="AA501" s="27" t="s">
        <v>35</v>
      </c>
      <c r="AB501" s="28" t="s">
        <v>64</v>
      </c>
      <c r="AC501" s="28" t="s">
        <v>64</v>
      </c>
      <c r="AD501" s="29"/>
    </row>
    <row r="502" spans="1:30" ht="67.5" x14ac:dyDescent="0.25">
      <c r="A502" s="30" t="s">
        <v>1397</v>
      </c>
      <c r="B502" s="31" t="s">
        <v>1398</v>
      </c>
      <c r="C502" s="32" t="s">
        <v>427</v>
      </c>
      <c r="D502" s="32" t="s">
        <v>1399</v>
      </c>
      <c r="E502" s="32" t="s">
        <v>39</v>
      </c>
      <c r="F502" s="33">
        <f t="shared" ref="F502:Y502" si="377">F503+F505</f>
        <v>376000</v>
      </c>
      <c r="G502" s="33">
        <f t="shared" si="377"/>
        <v>55000</v>
      </c>
      <c r="H502" s="33">
        <f t="shared" si="377"/>
        <v>0</v>
      </c>
      <c r="I502" s="33">
        <f t="shared" si="377"/>
        <v>0</v>
      </c>
      <c r="J502" s="33">
        <f t="shared" si="377"/>
        <v>321000</v>
      </c>
      <c r="K502" s="33">
        <f t="shared" si="377"/>
        <v>0</v>
      </c>
      <c r="L502" s="33">
        <f t="shared" si="377"/>
        <v>0</v>
      </c>
      <c r="M502" s="33">
        <f t="shared" si="377"/>
        <v>0</v>
      </c>
      <c r="N502" s="33">
        <f t="shared" si="377"/>
        <v>0</v>
      </c>
      <c r="O502" s="33">
        <f t="shared" si="377"/>
        <v>0</v>
      </c>
      <c r="P502" s="33">
        <f t="shared" si="377"/>
        <v>375999.99</v>
      </c>
      <c r="Q502" s="33">
        <f t="shared" si="377"/>
        <v>54999.99</v>
      </c>
      <c r="R502" s="33">
        <f t="shared" si="377"/>
        <v>0</v>
      </c>
      <c r="S502" s="33">
        <f t="shared" si="377"/>
        <v>0</v>
      </c>
      <c r="T502" s="33">
        <f t="shared" si="377"/>
        <v>0</v>
      </c>
      <c r="U502" s="33">
        <f t="shared" si="377"/>
        <v>0</v>
      </c>
      <c r="V502" s="33">
        <f t="shared" si="377"/>
        <v>0</v>
      </c>
      <c r="W502" s="33">
        <f t="shared" si="377"/>
        <v>0</v>
      </c>
      <c r="X502" s="33">
        <f t="shared" si="377"/>
        <v>0</v>
      </c>
      <c r="Y502" s="33">
        <f t="shared" si="377"/>
        <v>0</v>
      </c>
      <c r="Z502" s="32" t="s">
        <v>1400</v>
      </c>
      <c r="AA502" s="34" t="s">
        <v>1116</v>
      </c>
      <c r="AB502" s="35" t="s">
        <v>1401</v>
      </c>
      <c r="AC502" s="35" t="s">
        <v>1401</v>
      </c>
      <c r="AD502" s="36"/>
    </row>
    <row r="503" spans="1:30" ht="46.5" x14ac:dyDescent="0.25">
      <c r="A503" s="37" t="s">
        <v>1402</v>
      </c>
      <c r="B503" s="38" t="s">
        <v>1403</v>
      </c>
      <c r="C503" s="39" t="s">
        <v>427</v>
      </c>
      <c r="D503" s="39" t="s">
        <v>437</v>
      </c>
      <c r="E503" s="39" t="s">
        <v>46</v>
      </c>
      <c r="F503" s="40">
        <f>SUM(F504:F504)+321000</f>
        <v>321000</v>
      </c>
      <c r="G503" s="40">
        <f>SUM(G504:G504)</f>
        <v>0</v>
      </c>
      <c r="H503" s="40">
        <f>SUM(H504:H504)</f>
        <v>0</v>
      </c>
      <c r="I503" s="40">
        <f>SUM(I504:I504)</f>
        <v>0</v>
      </c>
      <c r="J503" s="40">
        <f>SUM(J504:J504)+321000</f>
        <v>321000</v>
      </c>
      <c r="K503" s="40">
        <f>SUM(K504:K504)</f>
        <v>0</v>
      </c>
      <c r="L503" s="40">
        <f>SUM(L504:L504)</f>
        <v>0</v>
      </c>
      <c r="M503" s="40">
        <f>SUM(M504:M504)</f>
        <v>0</v>
      </c>
      <c r="N503" s="40">
        <f>SUM(N504:N504)</f>
        <v>0</v>
      </c>
      <c r="O503" s="40">
        <f>SUM(O504:O504)</f>
        <v>0</v>
      </c>
      <c r="P503" s="40">
        <f>SUM(P504:P504)+321000</f>
        <v>321000</v>
      </c>
      <c r="Q503" s="40">
        <f t="shared" ref="Q503:Y503" si="378">SUM(Q504:Q504)</f>
        <v>0</v>
      </c>
      <c r="R503" s="40">
        <f t="shared" si="378"/>
        <v>0</v>
      </c>
      <c r="S503" s="40">
        <f t="shared" si="378"/>
        <v>0</v>
      </c>
      <c r="T503" s="40">
        <f t="shared" si="378"/>
        <v>0</v>
      </c>
      <c r="U503" s="40">
        <f t="shared" si="378"/>
        <v>0</v>
      </c>
      <c r="V503" s="40">
        <f t="shared" si="378"/>
        <v>0</v>
      </c>
      <c r="W503" s="40">
        <f t="shared" si="378"/>
        <v>0</v>
      </c>
      <c r="X503" s="40">
        <f t="shared" si="378"/>
        <v>0</v>
      </c>
      <c r="Y503" s="40">
        <f t="shared" si="378"/>
        <v>0</v>
      </c>
      <c r="Z503" s="39" t="s">
        <v>1404</v>
      </c>
      <c r="AA503" s="41" t="s">
        <v>417</v>
      </c>
      <c r="AB503" s="42" t="s">
        <v>107</v>
      </c>
      <c r="AC503" s="42" t="s">
        <v>107</v>
      </c>
      <c r="AD503" s="43"/>
    </row>
    <row r="504" spans="1:30" ht="93" x14ac:dyDescent="0.25">
      <c r="A504" s="37" t="s">
        <v>1405</v>
      </c>
      <c r="B504" s="38" t="s">
        <v>1406</v>
      </c>
      <c r="C504" s="39"/>
      <c r="D504" s="39"/>
      <c r="E504" s="39"/>
      <c r="F504" s="44">
        <v>0</v>
      </c>
      <c r="G504" s="44">
        <v>0</v>
      </c>
      <c r="H504" s="44">
        <v>0</v>
      </c>
      <c r="I504" s="44">
        <v>0</v>
      </c>
      <c r="J504" s="44">
        <v>0</v>
      </c>
      <c r="K504" s="44">
        <v>0</v>
      </c>
      <c r="L504" s="44">
        <v>0</v>
      </c>
      <c r="M504" s="44">
        <v>0</v>
      </c>
      <c r="N504" s="44">
        <v>0</v>
      </c>
      <c r="O504" s="44">
        <v>0</v>
      </c>
      <c r="P504" s="44">
        <v>0</v>
      </c>
      <c r="Q504" s="44">
        <v>0</v>
      </c>
      <c r="R504" s="44">
        <v>0</v>
      </c>
      <c r="S504" s="44">
        <v>0</v>
      </c>
      <c r="T504" s="44">
        <v>0</v>
      </c>
      <c r="U504" s="44">
        <v>0</v>
      </c>
      <c r="V504" s="44">
        <v>0</v>
      </c>
      <c r="W504" s="44">
        <v>0</v>
      </c>
      <c r="X504" s="44">
        <v>0</v>
      </c>
      <c r="Y504" s="44">
        <v>0</v>
      </c>
      <c r="Z504" s="39"/>
      <c r="AA504" s="41"/>
      <c r="AB504" s="42"/>
      <c r="AC504" s="42"/>
      <c r="AD504" s="43"/>
    </row>
    <row r="505" spans="1:30" ht="46.5" x14ac:dyDescent="0.25">
      <c r="A505" s="37" t="s">
        <v>1407</v>
      </c>
      <c r="B505" s="38" t="s">
        <v>1408</v>
      </c>
      <c r="C505" s="39" t="s">
        <v>427</v>
      </c>
      <c r="D505" s="39" t="s">
        <v>437</v>
      </c>
      <c r="E505" s="39" t="s">
        <v>46</v>
      </c>
      <c r="F505" s="40">
        <f>SUM(F506:F507)+55000</f>
        <v>55000</v>
      </c>
      <c r="G505" s="40">
        <f>SUM(G506:G507)+55000</f>
        <v>55000</v>
      </c>
      <c r="H505" s="40">
        <f t="shared" ref="H505:O505" si="379">SUM(H506:H507)</f>
        <v>0</v>
      </c>
      <c r="I505" s="40">
        <f t="shared" si="379"/>
        <v>0</v>
      </c>
      <c r="J505" s="40">
        <f t="shared" si="379"/>
        <v>0</v>
      </c>
      <c r="K505" s="40">
        <f t="shared" si="379"/>
        <v>0</v>
      </c>
      <c r="L505" s="40">
        <f t="shared" si="379"/>
        <v>0</v>
      </c>
      <c r="M505" s="40">
        <f t="shared" si="379"/>
        <v>0</v>
      </c>
      <c r="N505" s="40">
        <f t="shared" si="379"/>
        <v>0</v>
      </c>
      <c r="O505" s="40">
        <f t="shared" si="379"/>
        <v>0</v>
      </c>
      <c r="P505" s="40">
        <f>SUM(P506:P507)+54999.99</f>
        <v>54999.99</v>
      </c>
      <c r="Q505" s="40">
        <f>SUM(Q506:Q507)+54999.99</f>
        <v>54999.99</v>
      </c>
      <c r="R505" s="40">
        <f t="shared" ref="R505:Y505" si="380">SUM(R506:R507)</f>
        <v>0</v>
      </c>
      <c r="S505" s="40">
        <f t="shared" si="380"/>
        <v>0</v>
      </c>
      <c r="T505" s="40">
        <f t="shared" si="380"/>
        <v>0</v>
      </c>
      <c r="U505" s="40">
        <f t="shared" si="380"/>
        <v>0</v>
      </c>
      <c r="V505" s="40">
        <f t="shared" si="380"/>
        <v>0</v>
      </c>
      <c r="W505" s="40">
        <f t="shared" si="380"/>
        <v>0</v>
      </c>
      <c r="X505" s="40">
        <f t="shared" si="380"/>
        <v>0</v>
      </c>
      <c r="Y505" s="40">
        <f t="shared" si="380"/>
        <v>0</v>
      </c>
      <c r="Z505" s="39" t="s">
        <v>1409</v>
      </c>
      <c r="AA505" s="41" t="s">
        <v>41</v>
      </c>
      <c r="AB505" s="42" t="s">
        <v>42</v>
      </c>
      <c r="AC505" s="42" t="s">
        <v>42</v>
      </c>
      <c r="AD505" s="43"/>
    </row>
    <row r="506" spans="1:30" x14ac:dyDescent="0.25">
      <c r="A506" s="45"/>
      <c r="B506" s="46"/>
      <c r="C506" s="47"/>
      <c r="D506" s="47"/>
      <c r="E506" s="47"/>
      <c r="F506" s="48">
        <v>0</v>
      </c>
      <c r="G506" s="48">
        <v>0</v>
      </c>
      <c r="H506" s="48">
        <v>0</v>
      </c>
      <c r="I506" s="48">
        <v>0</v>
      </c>
      <c r="J506" s="48">
        <v>0</v>
      </c>
      <c r="K506" s="48">
        <v>0</v>
      </c>
      <c r="L506" s="48">
        <v>0</v>
      </c>
      <c r="M506" s="48">
        <v>0</v>
      </c>
      <c r="N506" s="48">
        <v>0</v>
      </c>
      <c r="O506" s="48">
        <v>0</v>
      </c>
      <c r="P506" s="48">
        <v>0</v>
      </c>
      <c r="Q506" s="48">
        <v>0</v>
      </c>
      <c r="R506" s="48">
        <v>0</v>
      </c>
      <c r="S506" s="48">
        <v>0</v>
      </c>
      <c r="T506" s="48">
        <v>0</v>
      </c>
      <c r="U506" s="48">
        <v>0</v>
      </c>
      <c r="V506" s="48">
        <v>0</v>
      </c>
      <c r="W506" s="48">
        <v>0</v>
      </c>
      <c r="X506" s="48">
        <v>0</v>
      </c>
      <c r="Y506" s="48">
        <v>0</v>
      </c>
      <c r="Z506" s="47" t="s">
        <v>1410</v>
      </c>
      <c r="AA506" s="49" t="s">
        <v>41</v>
      </c>
      <c r="AB506" s="50" t="s">
        <v>42</v>
      </c>
      <c r="AC506" s="50" t="s">
        <v>42</v>
      </c>
      <c r="AD506" s="51"/>
    </row>
    <row r="507" spans="1:30" ht="69.75" x14ac:dyDescent="0.25">
      <c r="A507" s="37" t="s">
        <v>1411</v>
      </c>
      <c r="B507" s="38" t="s">
        <v>1412</v>
      </c>
      <c r="C507" s="39"/>
      <c r="D507" s="39"/>
      <c r="E507" s="39"/>
      <c r="F507" s="44">
        <v>0</v>
      </c>
      <c r="G507" s="44">
        <v>0</v>
      </c>
      <c r="H507" s="44">
        <v>0</v>
      </c>
      <c r="I507" s="44">
        <v>0</v>
      </c>
      <c r="J507" s="44">
        <v>0</v>
      </c>
      <c r="K507" s="44">
        <v>0</v>
      </c>
      <c r="L507" s="44">
        <v>0</v>
      </c>
      <c r="M507" s="44">
        <v>0</v>
      </c>
      <c r="N507" s="44">
        <v>0</v>
      </c>
      <c r="O507" s="44">
        <v>0</v>
      </c>
      <c r="P507" s="44">
        <v>0</v>
      </c>
      <c r="Q507" s="44">
        <v>0</v>
      </c>
      <c r="R507" s="44">
        <v>0</v>
      </c>
      <c r="S507" s="44">
        <v>0</v>
      </c>
      <c r="T507" s="44">
        <v>0</v>
      </c>
      <c r="U507" s="44">
        <v>0</v>
      </c>
      <c r="V507" s="44">
        <v>0</v>
      </c>
      <c r="W507" s="44">
        <v>0</v>
      </c>
      <c r="X507" s="44">
        <v>0</v>
      </c>
      <c r="Y507" s="44">
        <v>0</v>
      </c>
      <c r="Z507" s="39"/>
      <c r="AA507" s="41"/>
      <c r="AB507" s="42"/>
      <c r="AC507" s="42"/>
      <c r="AD507" s="43"/>
    </row>
    <row r="508" spans="1:30" ht="67.5" x14ac:dyDescent="0.25">
      <c r="A508" s="23" t="s">
        <v>1413</v>
      </c>
      <c r="B508" s="24" t="s">
        <v>1414</v>
      </c>
      <c r="C508" s="25" t="s">
        <v>427</v>
      </c>
      <c r="D508" s="25" t="s">
        <v>1415</v>
      </c>
      <c r="E508" s="25"/>
      <c r="F508" s="26">
        <f t="shared" ref="F508:Y508" si="381">F509+F512</f>
        <v>9000</v>
      </c>
      <c r="G508" s="26">
        <f t="shared" si="381"/>
        <v>9000</v>
      </c>
      <c r="H508" s="26">
        <f t="shared" si="381"/>
        <v>0</v>
      </c>
      <c r="I508" s="26">
        <f t="shared" si="381"/>
        <v>0</v>
      </c>
      <c r="J508" s="26">
        <f t="shared" si="381"/>
        <v>0</v>
      </c>
      <c r="K508" s="26">
        <f t="shared" si="381"/>
        <v>0</v>
      </c>
      <c r="L508" s="26">
        <f t="shared" si="381"/>
        <v>0</v>
      </c>
      <c r="M508" s="26">
        <f t="shared" si="381"/>
        <v>0</v>
      </c>
      <c r="N508" s="26">
        <f t="shared" si="381"/>
        <v>0</v>
      </c>
      <c r="O508" s="26">
        <f t="shared" si="381"/>
        <v>0</v>
      </c>
      <c r="P508" s="26">
        <f t="shared" si="381"/>
        <v>8780</v>
      </c>
      <c r="Q508" s="26">
        <f t="shared" si="381"/>
        <v>8780</v>
      </c>
      <c r="R508" s="26">
        <f t="shared" si="381"/>
        <v>0</v>
      </c>
      <c r="S508" s="26">
        <f t="shared" si="381"/>
        <v>0</v>
      </c>
      <c r="T508" s="26">
        <f t="shared" si="381"/>
        <v>0</v>
      </c>
      <c r="U508" s="26">
        <f t="shared" si="381"/>
        <v>0</v>
      </c>
      <c r="V508" s="26">
        <f t="shared" si="381"/>
        <v>0</v>
      </c>
      <c r="W508" s="26">
        <f t="shared" si="381"/>
        <v>0</v>
      </c>
      <c r="X508" s="26">
        <f t="shared" si="381"/>
        <v>0</v>
      </c>
      <c r="Y508" s="26">
        <f t="shared" si="381"/>
        <v>0</v>
      </c>
      <c r="Z508" s="25" t="s">
        <v>1416</v>
      </c>
      <c r="AA508" s="27" t="s">
        <v>35</v>
      </c>
      <c r="AB508" s="28" t="s">
        <v>253</v>
      </c>
      <c r="AC508" s="28" t="s">
        <v>253</v>
      </c>
      <c r="AD508" s="29"/>
    </row>
    <row r="509" spans="1:30" ht="90" x14ac:dyDescent="0.25">
      <c r="A509" s="30" t="s">
        <v>1417</v>
      </c>
      <c r="B509" s="31" t="s">
        <v>1418</v>
      </c>
      <c r="C509" s="32" t="s">
        <v>427</v>
      </c>
      <c r="D509" s="32" t="s">
        <v>1399</v>
      </c>
      <c r="E509" s="32" t="s">
        <v>39</v>
      </c>
      <c r="F509" s="33">
        <f t="shared" ref="F509:Y509" si="382">SUM(F510:F510)</f>
        <v>2000</v>
      </c>
      <c r="G509" s="33">
        <f t="shared" si="382"/>
        <v>2000</v>
      </c>
      <c r="H509" s="33">
        <f t="shared" si="382"/>
        <v>0</v>
      </c>
      <c r="I509" s="33">
        <f t="shared" si="382"/>
        <v>0</v>
      </c>
      <c r="J509" s="33">
        <f t="shared" si="382"/>
        <v>0</v>
      </c>
      <c r="K509" s="33">
        <f t="shared" si="382"/>
        <v>0</v>
      </c>
      <c r="L509" s="33">
        <f t="shared" si="382"/>
        <v>0</v>
      </c>
      <c r="M509" s="33">
        <f t="shared" si="382"/>
        <v>0</v>
      </c>
      <c r="N509" s="33">
        <f t="shared" si="382"/>
        <v>0</v>
      </c>
      <c r="O509" s="33">
        <f t="shared" si="382"/>
        <v>0</v>
      </c>
      <c r="P509" s="33">
        <f t="shared" si="382"/>
        <v>2000</v>
      </c>
      <c r="Q509" s="33">
        <f t="shared" si="382"/>
        <v>2000</v>
      </c>
      <c r="R509" s="33">
        <f t="shared" si="382"/>
        <v>0</v>
      </c>
      <c r="S509" s="33">
        <f t="shared" si="382"/>
        <v>0</v>
      </c>
      <c r="T509" s="33">
        <f t="shared" si="382"/>
        <v>0</v>
      </c>
      <c r="U509" s="33">
        <f t="shared" si="382"/>
        <v>0</v>
      </c>
      <c r="V509" s="33">
        <f t="shared" si="382"/>
        <v>0</v>
      </c>
      <c r="W509" s="33">
        <f t="shared" si="382"/>
        <v>0</v>
      </c>
      <c r="X509" s="33">
        <f t="shared" si="382"/>
        <v>0</v>
      </c>
      <c r="Y509" s="33">
        <f t="shared" si="382"/>
        <v>0</v>
      </c>
      <c r="Z509" s="32" t="s">
        <v>1419</v>
      </c>
      <c r="AA509" s="34" t="s">
        <v>41</v>
      </c>
      <c r="AB509" s="35" t="s">
        <v>56</v>
      </c>
      <c r="AC509" s="35" t="s">
        <v>56</v>
      </c>
      <c r="AD509" s="36"/>
    </row>
    <row r="510" spans="1:30" ht="69.75" x14ac:dyDescent="0.25">
      <c r="A510" s="37" t="s">
        <v>1420</v>
      </c>
      <c r="B510" s="38" t="s">
        <v>1421</v>
      </c>
      <c r="C510" s="39" t="s">
        <v>427</v>
      </c>
      <c r="D510" s="39" t="s">
        <v>1415</v>
      </c>
      <c r="E510" s="39" t="s">
        <v>46</v>
      </c>
      <c r="F510" s="40">
        <f>SUM(F511:F511)+2000</f>
        <v>2000</v>
      </c>
      <c r="G510" s="40">
        <f>SUM(G511:G511)+2000</f>
        <v>2000</v>
      </c>
      <c r="H510" s="40">
        <f t="shared" ref="H510:O510" si="383">SUM(H511:H511)</f>
        <v>0</v>
      </c>
      <c r="I510" s="40">
        <f t="shared" si="383"/>
        <v>0</v>
      </c>
      <c r="J510" s="40">
        <f t="shared" si="383"/>
        <v>0</v>
      </c>
      <c r="K510" s="40">
        <f t="shared" si="383"/>
        <v>0</v>
      </c>
      <c r="L510" s="40">
        <f t="shared" si="383"/>
        <v>0</v>
      </c>
      <c r="M510" s="40">
        <f t="shared" si="383"/>
        <v>0</v>
      </c>
      <c r="N510" s="40">
        <f t="shared" si="383"/>
        <v>0</v>
      </c>
      <c r="O510" s="40">
        <f t="shared" si="383"/>
        <v>0</v>
      </c>
      <c r="P510" s="40">
        <f>SUM(P511:P511)+2000</f>
        <v>2000</v>
      </c>
      <c r="Q510" s="40">
        <f>SUM(Q511:Q511)+2000</f>
        <v>2000</v>
      </c>
      <c r="R510" s="40">
        <f t="shared" ref="R510:Y510" si="384">SUM(R511:R511)</f>
        <v>0</v>
      </c>
      <c r="S510" s="40">
        <f t="shared" si="384"/>
        <v>0</v>
      </c>
      <c r="T510" s="40">
        <f t="shared" si="384"/>
        <v>0</v>
      </c>
      <c r="U510" s="40">
        <f t="shared" si="384"/>
        <v>0</v>
      </c>
      <c r="V510" s="40">
        <f t="shared" si="384"/>
        <v>0</v>
      </c>
      <c r="W510" s="40">
        <f t="shared" si="384"/>
        <v>0</v>
      </c>
      <c r="X510" s="40">
        <f t="shared" si="384"/>
        <v>0</v>
      </c>
      <c r="Y510" s="40">
        <f t="shared" si="384"/>
        <v>0</v>
      </c>
      <c r="Z510" s="39" t="s">
        <v>1422</v>
      </c>
      <c r="AA510" s="41" t="s">
        <v>41</v>
      </c>
      <c r="AB510" s="42" t="s">
        <v>56</v>
      </c>
      <c r="AC510" s="42" t="s">
        <v>56</v>
      </c>
      <c r="AD510" s="43"/>
    </row>
    <row r="511" spans="1:30" ht="93" x14ac:dyDescent="0.25">
      <c r="A511" s="37" t="s">
        <v>1423</v>
      </c>
      <c r="B511" s="38" t="s">
        <v>1424</v>
      </c>
      <c r="C511" s="39"/>
      <c r="D511" s="39"/>
      <c r="E511" s="39"/>
      <c r="F511" s="44">
        <v>0</v>
      </c>
      <c r="G511" s="44">
        <v>0</v>
      </c>
      <c r="H511" s="44">
        <v>0</v>
      </c>
      <c r="I511" s="44">
        <v>0</v>
      </c>
      <c r="J511" s="44">
        <v>0</v>
      </c>
      <c r="K511" s="44">
        <v>0</v>
      </c>
      <c r="L511" s="44">
        <v>0</v>
      </c>
      <c r="M511" s="44">
        <v>0</v>
      </c>
      <c r="N511" s="44">
        <v>0</v>
      </c>
      <c r="O511" s="44">
        <v>0</v>
      </c>
      <c r="P511" s="44">
        <v>0</v>
      </c>
      <c r="Q511" s="44">
        <v>0</v>
      </c>
      <c r="R511" s="44">
        <v>0</v>
      </c>
      <c r="S511" s="44">
        <v>0</v>
      </c>
      <c r="T511" s="44">
        <v>0</v>
      </c>
      <c r="U511" s="44">
        <v>0</v>
      </c>
      <c r="V511" s="44">
        <v>0</v>
      </c>
      <c r="W511" s="44">
        <v>0</v>
      </c>
      <c r="X511" s="44">
        <v>0</v>
      </c>
      <c r="Y511" s="44">
        <v>0</v>
      </c>
      <c r="Z511" s="39"/>
      <c r="AA511" s="41"/>
      <c r="AB511" s="42"/>
      <c r="AC511" s="42"/>
      <c r="AD511" s="43"/>
    </row>
    <row r="512" spans="1:30" ht="90" x14ac:dyDescent="0.25">
      <c r="A512" s="30" t="s">
        <v>1425</v>
      </c>
      <c r="B512" s="31" t="s">
        <v>1426</v>
      </c>
      <c r="C512" s="32" t="s">
        <v>427</v>
      </c>
      <c r="D512" s="32" t="s">
        <v>1399</v>
      </c>
      <c r="E512" s="32" t="s">
        <v>39</v>
      </c>
      <c r="F512" s="33">
        <f t="shared" ref="F512:Y512" si="385">SUM(F513:F513)</f>
        <v>7000</v>
      </c>
      <c r="G512" s="33">
        <f t="shared" si="385"/>
        <v>7000</v>
      </c>
      <c r="H512" s="33">
        <f t="shared" si="385"/>
        <v>0</v>
      </c>
      <c r="I512" s="33">
        <f t="shared" si="385"/>
        <v>0</v>
      </c>
      <c r="J512" s="33">
        <f t="shared" si="385"/>
        <v>0</v>
      </c>
      <c r="K512" s="33">
        <f t="shared" si="385"/>
        <v>0</v>
      </c>
      <c r="L512" s="33">
        <f t="shared" si="385"/>
        <v>0</v>
      </c>
      <c r="M512" s="33">
        <f t="shared" si="385"/>
        <v>0</v>
      </c>
      <c r="N512" s="33">
        <f t="shared" si="385"/>
        <v>0</v>
      </c>
      <c r="O512" s="33">
        <f t="shared" si="385"/>
        <v>0</v>
      </c>
      <c r="P512" s="33">
        <f t="shared" si="385"/>
        <v>6780</v>
      </c>
      <c r="Q512" s="33">
        <f t="shared" si="385"/>
        <v>6780</v>
      </c>
      <c r="R512" s="33">
        <f t="shared" si="385"/>
        <v>0</v>
      </c>
      <c r="S512" s="33">
        <f t="shared" si="385"/>
        <v>0</v>
      </c>
      <c r="T512" s="33">
        <f t="shared" si="385"/>
        <v>0</v>
      </c>
      <c r="U512" s="33">
        <f t="shared" si="385"/>
        <v>0</v>
      </c>
      <c r="V512" s="33">
        <f t="shared" si="385"/>
        <v>0</v>
      </c>
      <c r="W512" s="33">
        <f t="shared" si="385"/>
        <v>0</v>
      </c>
      <c r="X512" s="33">
        <f t="shared" si="385"/>
        <v>0</v>
      </c>
      <c r="Y512" s="33">
        <f t="shared" si="385"/>
        <v>0</v>
      </c>
      <c r="Z512" s="32" t="s">
        <v>1427</v>
      </c>
      <c r="AA512" s="34" t="s">
        <v>41</v>
      </c>
      <c r="AB512" s="35" t="s">
        <v>1428</v>
      </c>
      <c r="AC512" s="35" t="s">
        <v>1428</v>
      </c>
      <c r="AD512" s="36"/>
    </row>
    <row r="513" spans="1:30" ht="69.75" x14ac:dyDescent="0.25">
      <c r="A513" s="37" t="s">
        <v>1429</v>
      </c>
      <c r="B513" s="38" t="s">
        <v>1430</v>
      </c>
      <c r="C513" s="39" t="s">
        <v>427</v>
      </c>
      <c r="D513" s="39" t="s">
        <v>1415</v>
      </c>
      <c r="E513" s="39" t="s">
        <v>46</v>
      </c>
      <c r="F513" s="40">
        <f>SUM(F514:F514)+7000</f>
        <v>7000</v>
      </c>
      <c r="G513" s="40">
        <f>SUM(G514:G514)+7000</f>
        <v>7000</v>
      </c>
      <c r="H513" s="40">
        <f t="shared" ref="H513:O513" si="386">SUM(H514:H514)</f>
        <v>0</v>
      </c>
      <c r="I513" s="40">
        <f t="shared" si="386"/>
        <v>0</v>
      </c>
      <c r="J513" s="40">
        <f t="shared" si="386"/>
        <v>0</v>
      </c>
      <c r="K513" s="40">
        <f t="shared" si="386"/>
        <v>0</v>
      </c>
      <c r="L513" s="40">
        <f t="shared" si="386"/>
        <v>0</v>
      </c>
      <c r="M513" s="40">
        <f t="shared" si="386"/>
        <v>0</v>
      </c>
      <c r="N513" s="40">
        <f t="shared" si="386"/>
        <v>0</v>
      </c>
      <c r="O513" s="40">
        <f t="shared" si="386"/>
        <v>0</v>
      </c>
      <c r="P513" s="40">
        <f>SUM(P514:P514)+6780</f>
        <v>6780</v>
      </c>
      <c r="Q513" s="40">
        <f>SUM(Q514:Q514)+6780</f>
        <v>6780</v>
      </c>
      <c r="R513" s="40">
        <f t="shared" ref="R513:Y513" si="387">SUM(R514:R514)</f>
        <v>0</v>
      </c>
      <c r="S513" s="40">
        <f t="shared" si="387"/>
        <v>0</v>
      </c>
      <c r="T513" s="40">
        <f t="shared" si="387"/>
        <v>0</v>
      </c>
      <c r="U513" s="40">
        <f t="shared" si="387"/>
        <v>0</v>
      </c>
      <c r="V513" s="40">
        <f t="shared" si="387"/>
        <v>0</v>
      </c>
      <c r="W513" s="40">
        <f t="shared" si="387"/>
        <v>0</v>
      </c>
      <c r="X513" s="40">
        <f t="shared" si="387"/>
        <v>0</v>
      </c>
      <c r="Y513" s="40">
        <f t="shared" si="387"/>
        <v>0</v>
      </c>
      <c r="Z513" s="39" t="s">
        <v>1431</v>
      </c>
      <c r="AA513" s="41" t="s">
        <v>41</v>
      </c>
      <c r="AB513" s="42" t="s">
        <v>1432</v>
      </c>
      <c r="AC513" s="42" t="s">
        <v>1432</v>
      </c>
      <c r="AD513" s="43"/>
    </row>
    <row r="514" spans="1:30" ht="93" x14ac:dyDescent="0.25">
      <c r="A514" s="37" t="s">
        <v>1433</v>
      </c>
      <c r="B514" s="38" t="s">
        <v>1434</v>
      </c>
      <c r="C514" s="39"/>
      <c r="D514" s="39"/>
      <c r="E514" s="39"/>
      <c r="F514" s="44">
        <v>0</v>
      </c>
      <c r="G514" s="44">
        <v>0</v>
      </c>
      <c r="H514" s="44">
        <v>0</v>
      </c>
      <c r="I514" s="44">
        <v>0</v>
      </c>
      <c r="J514" s="44">
        <v>0</v>
      </c>
      <c r="K514" s="44">
        <v>0</v>
      </c>
      <c r="L514" s="44">
        <v>0</v>
      </c>
      <c r="M514" s="44">
        <v>0</v>
      </c>
      <c r="N514" s="44">
        <v>0</v>
      </c>
      <c r="O514" s="44">
        <v>0</v>
      </c>
      <c r="P514" s="44">
        <v>0</v>
      </c>
      <c r="Q514" s="44">
        <v>0</v>
      </c>
      <c r="R514" s="44">
        <v>0</v>
      </c>
      <c r="S514" s="44">
        <v>0</v>
      </c>
      <c r="T514" s="44">
        <v>0</v>
      </c>
      <c r="U514" s="44">
        <v>0</v>
      </c>
      <c r="V514" s="44">
        <v>0</v>
      </c>
      <c r="W514" s="44">
        <v>0</v>
      </c>
      <c r="X514" s="44">
        <v>0</v>
      </c>
      <c r="Y514" s="44">
        <v>0</v>
      </c>
      <c r="Z514" s="39"/>
      <c r="AA514" s="41"/>
      <c r="AB514" s="42"/>
      <c r="AC514" s="42"/>
      <c r="AD514" s="43"/>
    </row>
    <row r="515" spans="1:30" ht="90" x14ac:dyDescent="0.25">
      <c r="A515" s="23" t="s">
        <v>1435</v>
      </c>
      <c r="B515" s="24" t="s">
        <v>1436</v>
      </c>
      <c r="C515" s="25" t="s">
        <v>693</v>
      </c>
      <c r="D515" s="25" t="s">
        <v>694</v>
      </c>
      <c r="E515" s="25"/>
      <c r="F515" s="26">
        <f t="shared" ref="F515:Y515" si="388">F516+F517+F522</f>
        <v>3500</v>
      </c>
      <c r="G515" s="26">
        <f t="shared" si="388"/>
        <v>0</v>
      </c>
      <c r="H515" s="26">
        <f t="shared" si="388"/>
        <v>0</v>
      </c>
      <c r="I515" s="26">
        <f t="shared" si="388"/>
        <v>0</v>
      </c>
      <c r="J515" s="26">
        <f t="shared" si="388"/>
        <v>0</v>
      </c>
      <c r="K515" s="26">
        <f t="shared" si="388"/>
        <v>0</v>
      </c>
      <c r="L515" s="26">
        <f t="shared" si="388"/>
        <v>0</v>
      </c>
      <c r="M515" s="26">
        <f t="shared" si="388"/>
        <v>0</v>
      </c>
      <c r="N515" s="26">
        <f t="shared" si="388"/>
        <v>0</v>
      </c>
      <c r="O515" s="26">
        <f t="shared" si="388"/>
        <v>3500</v>
      </c>
      <c r="P515" s="26">
        <f t="shared" si="388"/>
        <v>3500</v>
      </c>
      <c r="Q515" s="26">
        <f t="shared" si="388"/>
        <v>0</v>
      </c>
      <c r="R515" s="26">
        <f t="shared" si="388"/>
        <v>0</v>
      </c>
      <c r="S515" s="26">
        <f t="shared" si="388"/>
        <v>0</v>
      </c>
      <c r="T515" s="26">
        <f t="shared" si="388"/>
        <v>0</v>
      </c>
      <c r="U515" s="26">
        <f t="shared" si="388"/>
        <v>0</v>
      </c>
      <c r="V515" s="26">
        <f t="shared" si="388"/>
        <v>0</v>
      </c>
      <c r="W515" s="26">
        <f t="shared" si="388"/>
        <v>0</v>
      </c>
      <c r="X515" s="26">
        <f t="shared" si="388"/>
        <v>0</v>
      </c>
      <c r="Y515" s="26">
        <f t="shared" si="388"/>
        <v>3500</v>
      </c>
      <c r="Z515" s="25" t="s">
        <v>1437</v>
      </c>
      <c r="AA515" s="27" t="s">
        <v>35</v>
      </c>
      <c r="AB515" s="28" t="s">
        <v>64</v>
      </c>
      <c r="AC515" s="28" t="s">
        <v>1438</v>
      </c>
      <c r="AD515" s="29" t="s">
        <v>1439</v>
      </c>
    </row>
    <row r="516" spans="1:30" ht="139.5" x14ac:dyDescent="0.25">
      <c r="A516" s="45"/>
      <c r="B516" s="46"/>
      <c r="C516" s="47"/>
      <c r="D516" s="47"/>
      <c r="E516" s="47"/>
      <c r="F516" s="48">
        <v>0</v>
      </c>
      <c r="G516" s="48">
        <v>0</v>
      </c>
      <c r="H516" s="48">
        <v>0</v>
      </c>
      <c r="I516" s="48">
        <v>0</v>
      </c>
      <c r="J516" s="48">
        <v>0</v>
      </c>
      <c r="K516" s="48">
        <v>0</v>
      </c>
      <c r="L516" s="48">
        <v>0</v>
      </c>
      <c r="M516" s="48">
        <v>0</v>
      </c>
      <c r="N516" s="48">
        <v>0</v>
      </c>
      <c r="O516" s="48">
        <v>0</v>
      </c>
      <c r="P516" s="48">
        <v>0</v>
      </c>
      <c r="Q516" s="48">
        <v>0</v>
      </c>
      <c r="R516" s="48">
        <v>0</v>
      </c>
      <c r="S516" s="48">
        <v>0</v>
      </c>
      <c r="T516" s="48">
        <v>0</v>
      </c>
      <c r="U516" s="48">
        <v>0</v>
      </c>
      <c r="V516" s="48">
        <v>0</v>
      </c>
      <c r="W516" s="48">
        <v>0</v>
      </c>
      <c r="X516" s="48">
        <v>0</v>
      </c>
      <c r="Y516" s="48">
        <v>0</v>
      </c>
      <c r="Z516" s="47" t="s">
        <v>1440</v>
      </c>
      <c r="AA516" s="49" t="s">
        <v>35</v>
      </c>
      <c r="AB516" s="50" t="s">
        <v>162</v>
      </c>
      <c r="AC516" s="50" t="s">
        <v>138</v>
      </c>
      <c r="AD516" s="51" t="s">
        <v>1441</v>
      </c>
    </row>
    <row r="517" spans="1:30" ht="67.5" x14ac:dyDescent="0.25">
      <c r="A517" s="30" t="s">
        <v>1442</v>
      </c>
      <c r="B517" s="31" t="s">
        <v>1443</v>
      </c>
      <c r="C517" s="32" t="s">
        <v>693</v>
      </c>
      <c r="D517" s="32" t="s">
        <v>694</v>
      </c>
      <c r="E517" s="32" t="s">
        <v>39</v>
      </c>
      <c r="F517" s="33">
        <f t="shared" ref="F517:Y517" si="389">F518+F520</f>
        <v>2500</v>
      </c>
      <c r="G517" s="33">
        <f t="shared" si="389"/>
        <v>0</v>
      </c>
      <c r="H517" s="33">
        <f t="shared" si="389"/>
        <v>0</v>
      </c>
      <c r="I517" s="33">
        <f t="shared" si="389"/>
        <v>0</v>
      </c>
      <c r="J517" s="33">
        <f t="shared" si="389"/>
        <v>0</v>
      </c>
      <c r="K517" s="33">
        <f t="shared" si="389"/>
        <v>0</v>
      </c>
      <c r="L517" s="33">
        <f t="shared" si="389"/>
        <v>0</v>
      </c>
      <c r="M517" s="33">
        <f t="shared" si="389"/>
        <v>0</v>
      </c>
      <c r="N517" s="33">
        <f t="shared" si="389"/>
        <v>0</v>
      </c>
      <c r="O517" s="33">
        <f t="shared" si="389"/>
        <v>2500</v>
      </c>
      <c r="P517" s="33">
        <f t="shared" si="389"/>
        <v>2500</v>
      </c>
      <c r="Q517" s="33">
        <f t="shared" si="389"/>
        <v>0</v>
      </c>
      <c r="R517" s="33">
        <f t="shared" si="389"/>
        <v>0</v>
      </c>
      <c r="S517" s="33">
        <f t="shared" si="389"/>
        <v>0</v>
      </c>
      <c r="T517" s="33">
        <f t="shared" si="389"/>
        <v>0</v>
      </c>
      <c r="U517" s="33">
        <f t="shared" si="389"/>
        <v>0</v>
      </c>
      <c r="V517" s="33">
        <f t="shared" si="389"/>
        <v>0</v>
      </c>
      <c r="W517" s="33">
        <f t="shared" si="389"/>
        <v>0</v>
      </c>
      <c r="X517" s="33">
        <f t="shared" si="389"/>
        <v>0</v>
      </c>
      <c r="Y517" s="33">
        <f t="shared" si="389"/>
        <v>2500</v>
      </c>
      <c r="Z517" s="32" t="s">
        <v>1444</v>
      </c>
      <c r="AA517" s="34" t="s">
        <v>41</v>
      </c>
      <c r="AB517" s="35" t="s">
        <v>104</v>
      </c>
      <c r="AC517" s="35" t="s">
        <v>104</v>
      </c>
      <c r="AD517" s="36"/>
    </row>
    <row r="518" spans="1:30" ht="69.75" x14ac:dyDescent="0.25">
      <c r="A518" s="37" t="s">
        <v>1445</v>
      </c>
      <c r="B518" s="38" t="s">
        <v>1446</v>
      </c>
      <c r="C518" s="39" t="s">
        <v>693</v>
      </c>
      <c r="D518" s="39" t="s">
        <v>694</v>
      </c>
      <c r="E518" s="39" t="s">
        <v>17</v>
      </c>
      <c r="F518" s="40">
        <f>SUM(F519:F519)+1500</f>
        <v>1500</v>
      </c>
      <c r="G518" s="40">
        <f t="shared" ref="G518:N518" si="390">SUM(G519:G519)</f>
        <v>0</v>
      </c>
      <c r="H518" s="40">
        <f t="shared" si="390"/>
        <v>0</v>
      </c>
      <c r="I518" s="40">
        <f t="shared" si="390"/>
        <v>0</v>
      </c>
      <c r="J518" s="40">
        <f t="shared" si="390"/>
        <v>0</v>
      </c>
      <c r="K518" s="40">
        <f t="shared" si="390"/>
        <v>0</v>
      </c>
      <c r="L518" s="40">
        <f t="shared" si="390"/>
        <v>0</v>
      </c>
      <c r="M518" s="40">
        <f t="shared" si="390"/>
        <v>0</v>
      </c>
      <c r="N518" s="40">
        <f t="shared" si="390"/>
        <v>0</v>
      </c>
      <c r="O518" s="40">
        <f>SUM(O519:O519)+1500</f>
        <v>1500</v>
      </c>
      <c r="P518" s="40">
        <f>SUM(P519:P519)+1500</f>
        <v>1500</v>
      </c>
      <c r="Q518" s="40">
        <f t="shared" ref="Q518:X518" si="391">SUM(Q519:Q519)</f>
        <v>0</v>
      </c>
      <c r="R518" s="40">
        <f t="shared" si="391"/>
        <v>0</v>
      </c>
      <c r="S518" s="40">
        <f t="shared" si="391"/>
        <v>0</v>
      </c>
      <c r="T518" s="40">
        <f t="shared" si="391"/>
        <v>0</v>
      </c>
      <c r="U518" s="40">
        <f t="shared" si="391"/>
        <v>0</v>
      </c>
      <c r="V518" s="40">
        <f t="shared" si="391"/>
        <v>0</v>
      </c>
      <c r="W518" s="40">
        <f t="shared" si="391"/>
        <v>0</v>
      </c>
      <c r="X518" s="40">
        <f t="shared" si="391"/>
        <v>0</v>
      </c>
      <c r="Y518" s="40">
        <f>SUM(Y519:Y519)+1500</f>
        <v>1500</v>
      </c>
      <c r="Z518" s="39" t="s">
        <v>1447</v>
      </c>
      <c r="AA518" s="41" t="s">
        <v>41</v>
      </c>
      <c r="AB518" s="42" t="s">
        <v>42</v>
      </c>
      <c r="AC518" s="42" t="s">
        <v>42</v>
      </c>
      <c r="AD518" s="43"/>
    </row>
    <row r="519" spans="1:30" ht="69.75" x14ac:dyDescent="0.25">
      <c r="A519" s="37" t="s">
        <v>1448</v>
      </c>
      <c r="B519" s="38" t="s">
        <v>1449</v>
      </c>
      <c r="C519" s="39"/>
      <c r="D519" s="39"/>
      <c r="E519" s="39"/>
      <c r="F519" s="44">
        <v>0</v>
      </c>
      <c r="G519" s="44">
        <v>0</v>
      </c>
      <c r="H519" s="44">
        <v>0</v>
      </c>
      <c r="I519" s="44">
        <v>0</v>
      </c>
      <c r="J519" s="44">
        <v>0</v>
      </c>
      <c r="K519" s="44">
        <v>0</v>
      </c>
      <c r="L519" s="44">
        <v>0</v>
      </c>
      <c r="M519" s="44">
        <v>0</v>
      </c>
      <c r="N519" s="44">
        <v>0</v>
      </c>
      <c r="O519" s="44">
        <v>0</v>
      </c>
      <c r="P519" s="44">
        <v>0</v>
      </c>
      <c r="Q519" s="44">
        <v>0</v>
      </c>
      <c r="R519" s="44">
        <v>0</v>
      </c>
      <c r="S519" s="44">
        <v>0</v>
      </c>
      <c r="T519" s="44">
        <v>0</v>
      </c>
      <c r="U519" s="44">
        <v>0</v>
      </c>
      <c r="V519" s="44">
        <v>0</v>
      </c>
      <c r="W519" s="44">
        <v>0</v>
      </c>
      <c r="X519" s="44">
        <v>0</v>
      </c>
      <c r="Y519" s="44">
        <v>0</v>
      </c>
      <c r="Z519" s="39"/>
      <c r="AA519" s="41"/>
      <c r="AB519" s="42"/>
      <c r="AC519" s="42"/>
      <c r="AD519" s="43"/>
    </row>
    <row r="520" spans="1:30" ht="69.75" x14ac:dyDescent="0.25">
      <c r="A520" s="37" t="s">
        <v>1450</v>
      </c>
      <c r="B520" s="38" t="s">
        <v>1451</v>
      </c>
      <c r="C520" s="39" t="s">
        <v>693</v>
      </c>
      <c r="D520" s="39" t="s">
        <v>694</v>
      </c>
      <c r="E520" s="39" t="s">
        <v>17</v>
      </c>
      <c r="F520" s="40">
        <f>SUM(F521:F521)+1000</f>
        <v>1000</v>
      </c>
      <c r="G520" s="40">
        <f t="shared" ref="G520:N520" si="392">SUM(G521:G521)</f>
        <v>0</v>
      </c>
      <c r="H520" s="40">
        <f t="shared" si="392"/>
        <v>0</v>
      </c>
      <c r="I520" s="40">
        <f t="shared" si="392"/>
        <v>0</v>
      </c>
      <c r="J520" s="40">
        <f t="shared" si="392"/>
        <v>0</v>
      </c>
      <c r="K520" s="40">
        <f t="shared" si="392"/>
        <v>0</v>
      </c>
      <c r="L520" s="40">
        <f t="shared" si="392"/>
        <v>0</v>
      </c>
      <c r="M520" s="40">
        <f t="shared" si="392"/>
        <v>0</v>
      </c>
      <c r="N520" s="40">
        <f t="shared" si="392"/>
        <v>0</v>
      </c>
      <c r="O520" s="40">
        <f>SUM(O521:O521)+1000</f>
        <v>1000</v>
      </c>
      <c r="P520" s="40">
        <f>SUM(P521:P521)+1000</f>
        <v>1000</v>
      </c>
      <c r="Q520" s="40">
        <f t="shared" ref="Q520:X520" si="393">SUM(Q521:Q521)</f>
        <v>0</v>
      </c>
      <c r="R520" s="40">
        <f t="shared" si="393"/>
        <v>0</v>
      </c>
      <c r="S520" s="40">
        <f t="shared" si="393"/>
        <v>0</v>
      </c>
      <c r="T520" s="40">
        <f t="shared" si="393"/>
        <v>0</v>
      </c>
      <c r="U520" s="40">
        <f t="shared" si="393"/>
        <v>0</v>
      </c>
      <c r="V520" s="40">
        <f t="shared" si="393"/>
        <v>0</v>
      </c>
      <c r="W520" s="40">
        <f t="shared" si="393"/>
        <v>0</v>
      </c>
      <c r="X520" s="40">
        <f t="shared" si="393"/>
        <v>0</v>
      </c>
      <c r="Y520" s="40">
        <f>SUM(Y521:Y521)+1000</f>
        <v>1000</v>
      </c>
      <c r="Z520" s="39" t="s">
        <v>1452</v>
      </c>
      <c r="AA520" s="41" t="s">
        <v>41</v>
      </c>
      <c r="AB520" s="42" t="s">
        <v>56</v>
      </c>
      <c r="AC520" s="42" t="s">
        <v>56</v>
      </c>
      <c r="AD520" s="43"/>
    </row>
    <row r="521" spans="1:30" ht="69.75" x14ac:dyDescent="0.25">
      <c r="A521" s="37" t="s">
        <v>1453</v>
      </c>
      <c r="B521" s="38" t="s">
        <v>1454</v>
      </c>
      <c r="C521" s="39"/>
      <c r="D521" s="39"/>
      <c r="E521" s="39"/>
      <c r="F521" s="44">
        <v>0</v>
      </c>
      <c r="G521" s="44">
        <v>0</v>
      </c>
      <c r="H521" s="44">
        <v>0</v>
      </c>
      <c r="I521" s="44">
        <v>0</v>
      </c>
      <c r="J521" s="44">
        <v>0</v>
      </c>
      <c r="K521" s="44">
        <v>0</v>
      </c>
      <c r="L521" s="44">
        <v>0</v>
      </c>
      <c r="M521" s="44">
        <v>0</v>
      </c>
      <c r="N521" s="44">
        <v>0</v>
      </c>
      <c r="O521" s="44">
        <v>0</v>
      </c>
      <c r="P521" s="44">
        <v>0</v>
      </c>
      <c r="Q521" s="44">
        <v>0</v>
      </c>
      <c r="R521" s="44">
        <v>0</v>
      </c>
      <c r="S521" s="44">
        <v>0</v>
      </c>
      <c r="T521" s="44">
        <v>0</v>
      </c>
      <c r="U521" s="44">
        <v>0</v>
      </c>
      <c r="V521" s="44">
        <v>0</v>
      </c>
      <c r="W521" s="44">
        <v>0</v>
      </c>
      <c r="X521" s="44">
        <v>0</v>
      </c>
      <c r="Y521" s="44">
        <v>0</v>
      </c>
      <c r="Z521" s="39"/>
      <c r="AA521" s="41"/>
      <c r="AB521" s="42"/>
      <c r="AC521" s="42"/>
      <c r="AD521" s="43"/>
    </row>
    <row r="522" spans="1:30" ht="90" x14ac:dyDescent="0.25">
      <c r="A522" s="30" t="s">
        <v>1455</v>
      </c>
      <c r="B522" s="31" t="s">
        <v>1456</v>
      </c>
      <c r="C522" s="32" t="s">
        <v>693</v>
      </c>
      <c r="D522" s="32" t="s">
        <v>694</v>
      </c>
      <c r="E522" s="32" t="s">
        <v>39</v>
      </c>
      <c r="F522" s="33">
        <f t="shared" ref="F522:Y522" si="394">SUM(F523:F523)</f>
        <v>1000</v>
      </c>
      <c r="G522" s="33">
        <f t="shared" si="394"/>
        <v>0</v>
      </c>
      <c r="H522" s="33">
        <f t="shared" si="394"/>
        <v>0</v>
      </c>
      <c r="I522" s="33">
        <f t="shared" si="394"/>
        <v>0</v>
      </c>
      <c r="J522" s="33">
        <f t="shared" si="394"/>
        <v>0</v>
      </c>
      <c r="K522" s="33">
        <f t="shared" si="394"/>
        <v>0</v>
      </c>
      <c r="L522" s="33">
        <f t="shared" si="394"/>
        <v>0</v>
      </c>
      <c r="M522" s="33">
        <f t="shared" si="394"/>
        <v>0</v>
      </c>
      <c r="N522" s="33">
        <f t="shared" si="394"/>
        <v>0</v>
      </c>
      <c r="O522" s="33">
        <f t="shared" si="394"/>
        <v>1000</v>
      </c>
      <c r="P522" s="33">
        <f t="shared" si="394"/>
        <v>1000</v>
      </c>
      <c r="Q522" s="33">
        <f t="shared" si="394"/>
        <v>0</v>
      </c>
      <c r="R522" s="33">
        <f t="shared" si="394"/>
        <v>0</v>
      </c>
      <c r="S522" s="33">
        <f t="shared" si="394"/>
        <v>0</v>
      </c>
      <c r="T522" s="33">
        <f t="shared" si="394"/>
        <v>0</v>
      </c>
      <c r="U522" s="33">
        <f t="shared" si="394"/>
        <v>0</v>
      </c>
      <c r="V522" s="33">
        <f t="shared" si="394"/>
        <v>0</v>
      </c>
      <c r="W522" s="33">
        <f t="shared" si="394"/>
        <v>0</v>
      </c>
      <c r="X522" s="33">
        <f t="shared" si="394"/>
        <v>0</v>
      </c>
      <c r="Y522" s="33">
        <f t="shared" si="394"/>
        <v>1000</v>
      </c>
      <c r="Z522" s="32" t="s">
        <v>1457</v>
      </c>
      <c r="AA522" s="34" t="s">
        <v>41</v>
      </c>
      <c r="AB522" s="35" t="s">
        <v>83</v>
      </c>
      <c r="AC522" s="35" t="s">
        <v>83</v>
      </c>
      <c r="AD522" s="36"/>
    </row>
    <row r="523" spans="1:30" ht="69.75" x14ac:dyDescent="0.25">
      <c r="A523" s="37" t="s">
        <v>1458</v>
      </c>
      <c r="B523" s="38" t="s">
        <v>1459</v>
      </c>
      <c r="C523" s="39" t="s">
        <v>693</v>
      </c>
      <c r="D523" s="39" t="s">
        <v>694</v>
      </c>
      <c r="E523" s="39" t="s">
        <v>17</v>
      </c>
      <c r="F523" s="40">
        <f>SUM(F524:F524)+1000</f>
        <v>1000</v>
      </c>
      <c r="G523" s="40">
        <f t="shared" ref="G523:N523" si="395">SUM(G524:G524)</f>
        <v>0</v>
      </c>
      <c r="H523" s="40">
        <f t="shared" si="395"/>
        <v>0</v>
      </c>
      <c r="I523" s="40">
        <f t="shared" si="395"/>
        <v>0</v>
      </c>
      <c r="J523" s="40">
        <f t="shared" si="395"/>
        <v>0</v>
      </c>
      <c r="K523" s="40">
        <f t="shared" si="395"/>
        <v>0</v>
      </c>
      <c r="L523" s="40">
        <f t="shared" si="395"/>
        <v>0</v>
      </c>
      <c r="M523" s="40">
        <f t="shared" si="395"/>
        <v>0</v>
      </c>
      <c r="N523" s="40">
        <f t="shared" si="395"/>
        <v>0</v>
      </c>
      <c r="O523" s="40">
        <f>SUM(O524:O524)+1000</f>
        <v>1000</v>
      </c>
      <c r="P523" s="40">
        <f>SUM(P524:P524)+1000</f>
        <v>1000</v>
      </c>
      <c r="Q523" s="40">
        <f t="shared" ref="Q523:X523" si="396">SUM(Q524:Q524)</f>
        <v>0</v>
      </c>
      <c r="R523" s="40">
        <f t="shared" si="396"/>
        <v>0</v>
      </c>
      <c r="S523" s="40">
        <f t="shared" si="396"/>
        <v>0</v>
      </c>
      <c r="T523" s="40">
        <f t="shared" si="396"/>
        <v>0</v>
      </c>
      <c r="U523" s="40">
        <f t="shared" si="396"/>
        <v>0</v>
      </c>
      <c r="V523" s="40">
        <f t="shared" si="396"/>
        <v>0</v>
      </c>
      <c r="W523" s="40">
        <f t="shared" si="396"/>
        <v>0</v>
      </c>
      <c r="X523" s="40">
        <f t="shared" si="396"/>
        <v>0</v>
      </c>
      <c r="Y523" s="40">
        <f>SUM(Y524:Y524)+1000</f>
        <v>1000</v>
      </c>
      <c r="Z523" s="39" t="s">
        <v>1460</v>
      </c>
      <c r="AA523" s="41" t="s">
        <v>41</v>
      </c>
      <c r="AB523" s="42" t="s">
        <v>80</v>
      </c>
      <c r="AC523" s="42" t="s">
        <v>80</v>
      </c>
      <c r="AD523" s="43"/>
    </row>
    <row r="524" spans="1:30" ht="69.75" x14ac:dyDescent="0.25">
      <c r="A524" s="37" t="s">
        <v>1461</v>
      </c>
      <c r="B524" s="38" t="s">
        <v>1462</v>
      </c>
      <c r="C524" s="39"/>
      <c r="D524" s="39"/>
      <c r="E524" s="39"/>
      <c r="F524" s="44">
        <v>0</v>
      </c>
      <c r="G524" s="44">
        <v>0</v>
      </c>
      <c r="H524" s="44">
        <v>0</v>
      </c>
      <c r="I524" s="44">
        <v>0</v>
      </c>
      <c r="J524" s="44">
        <v>0</v>
      </c>
      <c r="K524" s="44">
        <v>0</v>
      </c>
      <c r="L524" s="44">
        <v>0</v>
      </c>
      <c r="M524" s="44">
        <v>0</v>
      </c>
      <c r="N524" s="44">
        <v>0</v>
      </c>
      <c r="O524" s="44">
        <v>0</v>
      </c>
      <c r="P524" s="44">
        <v>0</v>
      </c>
      <c r="Q524" s="44">
        <v>0</v>
      </c>
      <c r="R524" s="44">
        <v>0</v>
      </c>
      <c r="S524" s="44">
        <v>0</v>
      </c>
      <c r="T524" s="44">
        <v>0</v>
      </c>
      <c r="U524" s="44">
        <v>0</v>
      </c>
      <c r="V524" s="44">
        <v>0</v>
      </c>
      <c r="W524" s="44">
        <v>0</v>
      </c>
      <c r="X524" s="44">
        <v>0</v>
      </c>
      <c r="Y524" s="44">
        <v>0</v>
      </c>
      <c r="Z524" s="39"/>
      <c r="AA524" s="41"/>
      <c r="AB524" s="42"/>
      <c r="AC524" s="42"/>
      <c r="AD524" s="43"/>
    </row>
    <row r="525" spans="1:30" ht="90" x14ac:dyDescent="0.25">
      <c r="A525" s="23" t="s">
        <v>1463</v>
      </c>
      <c r="B525" s="24" t="s">
        <v>1464</v>
      </c>
      <c r="C525" s="25" t="s">
        <v>693</v>
      </c>
      <c r="D525" s="25" t="s">
        <v>694</v>
      </c>
      <c r="E525" s="25"/>
      <c r="F525" s="26">
        <f t="shared" ref="F525:Y525" si="397">F526+F531</f>
        <v>10000</v>
      </c>
      <c r="G525" s="26">
        <f t="shared" si="397"/>
        <v>10000</v>
      </c>
      <c r="H525" s="26">
        <f t="shared" si="397"/>
        <v>0</v>
      </c>
      <c r="I525" s="26">
        <f t="shared" si="397"/>
        <v>0</v>
      </c>
      <c r="J525" s="26">
        <f t="shared" si="397"/>
        <v>0</v>
      </c>
      <c r="K525" s="26">
        <f t="shared" si="397"/>
        <v>0</v>
      </c>
      <c r="L525" s="26">
        <f t="shared" si="397"/>
        <v>0</v>
      </c>
      <c r="M525" s="26">
        <f t="shared" si="397"/>
        <v>0</v>
      </c>
      <c r="N525" s="26">
        <f t="shared" si="397"/>
        <v>0</v>
      </c>
      <c r="O525" s="26">
        <f t="shared" si="397"/>
        <v>0</v>
      </c>
      <c r="P525" s="26">
        <f t="shared" si="397"/>
        <v>10000</v>
      </c>
      <c r="Q525" s="26">
        <f t="shared" si="397"/>
        <v>10000</v>
      </c>
      <c r="R525" s="26">
        <f t="shared" si="397"/>
        <v>0</v>
      </c>
      <c r="S525" s="26">
        <f t="shared" si="397"/>
        <v>0</v>
      </c>
      <c r="T525" s="26">
        <f t="shared" si="397"/>
        <v>0</v>
      </c>
      <c r="U525" s="26">
        <f t="shared" si="397"/>
        <v>0</v>
      </c>
      <c r="V525" s="26">
        <f t="shared" si="397"/>
        <v>0</v>
      </c>
      <c r="W525" s="26">
        <f t="shared" si="397"/>
        <v>0</v>
      </c>
      <c r="X525" s="26">
        <f t="shared" si="397"/>
        <v>0</v>
      </c>
      <c r="Y525" s="26">
        <f t="shared" si="397"/>
        <v>0</v>
      </c>
      <c r="Z525" s="25" t="s">
        <v>1465</v>
      </c>
      <c r="AA525" s="27" t="s">
        <v>1466</v>
      </c>
      <c r="AB525" s="28" t="s">
        <v>1467</v>
      </c>
      <c r="AC525" s="28" t="s">
        <v>1467</v>
      </c>
      <c r="AD525" s="29" t="s">
        <v>1468</v>
      </c>
    </row>
    <row r="526" spans="1:30" ht="112.5" x14ac:dyDescent="0.25">
      <c r="A526" s="30" t="s">
        <v>1469</v>
      </c>
      <c r="B526" s="31" t="s">
        <v>1470</v>
      </c>
      <c r="C526" s="32" t="s">
        <v>693</v>
      </c>
      <c r="D526" s="32" t="s">
        <v>694</v>
      </c>
      <c r="E526" s="32" t="s">
        <v>39</v>
      </c>
      <c r="F526" s="33">
        <f t="shared" ref="F526:Y526" si="398">SUM(F527:F527)</f>
        <v>3500</v>
      </c>
      <c r="G526" s="33">
        <f t="shared" si="398"/>
        <v>3500</v>
      </c>
      <c r="H526" s="33">
        <f t="shared" si="398"/>
        <v>0</v>
      </c>
      <c r="I526" s="33">
        <f t="shared" si="398"/>
        <v>0</v>
      </c>
      <c r="J526" s="33">
        <f t="shared" si="398"/>
        <v>0</v>
      </c>
      <c r="K526" s="33">
        <f t="shared" si="398"/>
        <v>0</v>
      </c>
      <c r="L526" s="33">
        <f t="shared" si="398"/>
        <v>0</v>
      </c>
      <c r="M526" s="33">
        <f t="shared" si="398"/>
        <v>0</v>
      </c>
      <c r="N526" s="33">
        <f t="shared" si="398"/>
        <v>0</v>
      </c>
      <c r="O526" s="33">
        <f t="shared" si="398"/>
        <v>0</v>
      </c>
      <c r="P526" s="33">
        <f t="shared" si="398"/>
        <v>3500</v>
      </c>
      <c r="Q526" s="33">
        <f t="shared" si="398"/>
        <v>3500</v>
      </c>
      <c r="R526" s="33">
        <f t="shared" si="398"/>
        <v>0</v>
      </c>
      <c r="S526" s="33">
        <f t="shared" si="398"/>
        <v>0</v>
      </c>
      <c r="T526" s="33">
        <f t="shared" si="398"/>
        <v>0</v>
      </c>
      <c r="U526" s="33">
        <f t="shared" si="398"/>
        <v>0</v>
      </c>
      <c r="V526" s="33">
        <f t="shared" si="398"/>
        <v>0</v>
      </c>
      <c r="W526" s="33">
        <f t="shared" si="398"/>
        <v>0</v>
      </c>
      <c r="X526" s="33">
        <f t="shared" si="398"/>
        <v>0</v>
      </c>
      <c r="Y526" s="33">
        <f t="shared" si="398"/>
        <v>0</v>
      </c>
      <c r="Z526" s="32" t="s">
        <v>1457</v>
      </c>
      <c r="AA526" s="34" t="s">
        <v>41</v>
      </c>
      <c r="AB526" s="35" t="s">
        <v>83</v>
      </c>
      <c r="AC526" s="35" t="s">
        <v>83</v>
      </c>
      <c r="AD526" s="36"/>
    </row>
    <row r="527" spans="1:30" ht="69.75" x14ac:dyDescent="0.25">
      <c r="A527" s="37" t="s">
        <v>1471</v>
      </c>
      <c r="B527" s="38" t="s">
        <v>1472</v>
      </c>
      <c r="C527" s="39" t="s">
        <v>693</v>
      </c>
      <c r="D527" s="39" t="s">
        <v>694</v>
      </c>
      <c r="E527" s="39" t="s">
        <v>1473</v>
      </c>
      <c r="F527" s="40">
        <f>SUM(F528:F530)+3500</f>
        <v>3500</v>
      </c>
      <c r="G527" s="40">
        <f>SUM(G528:G530)+3500</f>
        <v>3500</v>
      </c>
      <c r="H527" s="40">
        <f t="shared" ref="H527:O527" si="399">SUM(H528:H530)</f>
        <v>0</v>
      </c>
      <c r="I527" s="40">
        <f t="shared" si="399"/>
        <v>0</v>
      </c>
      <c r="J527" s="40">
        <f t="shared" si="399"/>
        <v>0</v>
      </c>
      <c r="K527" s="40">
        <f t="shared" si="399"/>
        <v>0</v>
      </c>
      <c r="L527" s="40">
        <f t="shared" si="399"/>
        <v>0</v>
      </c>
      <c r="M527" s="40">
        <f t="shared" si="399"/>
        <v>0</v>
      </c>
      <c r="N527" s="40">
        <f t="shared" si="399"/>
        <v>0</v>
      </c>
      <c r="O527" s="40">
        <f t="shared" si="399"/>
        <v>0</v>
      </c>
      <c r="P527" s="40">
        <f>SUM(P528:P530)+3500</f>
        <v>3500</v>
      </c>
      <c r="Q527" s="40">
        <f>SUM(Q528:Q530)+3500</f>
        <v>3500</v>
      </c>
      <c r="R527" s="40">
        <f t="shared" ref="R527:Y527" si="400">SUM(R528:R530)</f>
        <v>0</v>
      </c>
      <c r="S527" s="40">
        <f t="shared" si="400"/>
        <v>0</v>
      </c>
      <c r="T527" s="40">
        <f t="shared" si="400"/>
        <v>0</v>
      </c>
      <c r="U527" s="40">
        <f t="shared" si="400"/>
        <v>0</v>
      </c>
      <c r="V527" s="40">
        <f t="shared" si="400"/>
        <v>0</v>
      </c>
      <c r="W527" s="40">
        <f t="shared" si="400"/>
        <v>0</v>
      </c>
      <c r="X527" s="40">
        <f t="shared" si="400"/>
        <v>0</v>
      </c>
      <c r="Y527" s="40">
        <f t="shared" si="400"/>
        <v>0</v>
      </c>
      <c r="Z527" s="39" t="s">
        <v>1474</v>
      </c>
      <c r="AA527" s="41" t="s">
        <v>41</v>
      </c>
      <c r="AB527" s="42" t="s">
        <v>178</v>
      </c>
      <c r="AC527" s="42" t="s">
        <v>178</v>
      </c>
      <c r="AD527" s="43"/>
    </row>
    <row r="528" spans="1:30" x14ac:dyDescent="0.25">
      <c r="A528" s="45"/>
      <c r="B528" s="46"/>
      <c r="C528" s="47"/>
      <c r="D528" s="47"/>
      <c r="E528" s="47"/>
      <c r="F528" s="48">
        <v>0</v>
      </c>
      <c r="G528" s="48">
        <v>0</v>
      </c>
      <c r="H528" s="48">
        <v>0</v>
      </c>
      <c r="I528" s="48">
        <v>0</v>
      </c>
      <c r="J528" s="48">
        <v>0</v>
      </c>
      <c r="K528" s="48">
        <v>0</v>
      </c>
      <c r="L528" s="48">
        <v>0</v>
      </c>
      <c r="M528" s="48">
        <v>0</v>
      </c>
      <c r="N528" s="48">
        <v>0</v>
      </c>
      <c r="O528" s="48">
        <v>0</v>
      </c>
      <c r="P528" s="48">
        <v>0</v>
      </c>
      <c r="Q528" s="48">
        <v>0</v>
      </c>
      <c r="R528" s="48">
        <v>0</v>
      </c>
      <c r="S528" s="48">
        <v>0</v>
      </c>
      <c r="T528" s="48">
        <v>0</v>
      </c>
      <c r="U528" s="48">
        <v>0</v>
      </c>
      <c r="V528" s="48">
        <v>0</v>
      </c>
      <c r="W528" s="48">
        <v>0</v>
      </c>
      <c r="X528" s="48">
        <v>0</v>
      </c>
      <c r="Y528" s="48">
        <v>0</v>
      </c>
      <c r="Z528" s="47" t="s">
        <v>1475</v>
      </c>
      <c r="AA528" s="49" t="s">
        <v>41</v>
      </c>
      <c r="AB528" s="50" t="s">
        <v>178</v>
      </c>
      <c r="AC528" s="50" t="s">
        <v>178</v>
      </c>
      <c r="AD528" s="51"/>
    </row>
    <row r="529" spans="1:30" ht="69.75" x14ac:dyDescent="0.25">
      <c r="A529" s="37" t="s">
        <v>1476</v>
      </c>
      <c r="B529" s="38" t="s">
        <v>1477</v>
      </c>
      <c r="C529" s="39"/>
      <c r="D529" s="39"/>
      <c r="E529" s="39"/>
      <c r="F529" s="44">
        <v>0</v>
      </c>
      <c r="G529" s="44">
        <v>0</v>
      </c>
      <c r="H529" s="44">
        <v>0</v>
      </c>
      <c r="I529" s="44">
        <v>0</v>
      </c>
      <c r="J529" s="44">
        <v>0</v>
      </c>
      <c r="K529" s="44">
        <v>0</v>
      </c>
      <c r="L529" s="44">
        <v>0</v>
      </c>
      <c r="M529" s="44">
        <v>0</v>
      </c>
      <c r="N529" s="44">
        <v>0</v>
      </c>
      <c r="O529" s="44">
        <v>0</v>
      </c>
      <c r="P529" s="44">
        <v>0</v>
      </c>
      <c r="Q529" s="44">
        <v>0</v>
      </c>
      <c r="R529" s="44">
        <v>0</v>
      </c>
      <c r="S529" s="44">
        <v>0</v>
      </c>
      <c r="T529" s="44">
        <v>0</v>
      </c>
      <c r="U529" s="44">
        <v>0</v>
      </c>
      <c r="V529" s="44">
        <v>0</v>
      </c>
      <c r="W529" s="44">
        <v>0</v>
      </c>
      <c r="X529" s="44">
        <v>0</v>
      </c>
      <c r="Y529" s="44">
        <v>0</v>
      </c>
      <c r="Z529" s="39"/>
      <c r="AA529" s="41"/>
      <c r="AB529" s="42"/>
      <c r="AC529" s="42"/>
      <c r="AD529" s="43"/>
    </row>
    <row r="530" spans="1:30" ht="69.75" x14ac:dyDescent="0.25">
      <c r="A530" s="37" t="s">
        <v>1478</v>
      </c>
      <c r="B530" s="38" t="s">
        <v>1479</v>
      </c>
      <c r="C530" s="39"/>
      <c r="D530" s="39"/>
      <c r="E530" s="39"/>
      <c r="F530" s="44">
        <v>0</v>
      </c>
      <c r="G530" s="44">
        <v>0</v>
      </c>
      <c r="H530" s="44">
        <v>0</v>
      </c>
      <c r="I530" s="44">
        <v>0</v>
      </c>
      <c r="J530" s="44">
        <v>0</v>
      </c>
      <c r="K530" s="44">
        <v>0</v>
      </c>
      <c r="L530" s="44">
        <v>0</v>
      </c>
      <c r="M530" s="44">
        <v>0</v>
      </c>
      <c r="N530" s="44">
        <v>0</v>
      </c>
      <c r="O530" s="44">
        <v>0</v>
      </c>
      <c r="P530" s="44">
        <v>0</v>
      </c>
      <c r="Q530" s="44">
        <v>0</v>
      </c>
      <c r="R530" s="44">
        <v>0</v>
      </c>
      <c r="S530" s="44">
        <v>0</v>
      </c>
      <c r="T530" s="44">
        <v>0</v>
      </c>
      <c r="U530" s="44">
        <v>0</v>
      </c>
      <c r="V530" s="44">
        <v>0</v>
      </c>
      <c r="W530" s="44">
        <v>0</v>
      </c>
      <c r="X530" s="44">
        <v>0</v>
      </c>
      <c r="Y530" s="44">
        <v>0</v>
      </c>
      <c r="Z530" s="39"/>
      <c r="AA530" s="41"/>
      <c r="AB530" s="42"/>
      <c r="AC530" s="42"/>
      <c r="AD530" s="43"/>
    </row>
    <row r="531" spans="1:30" ht="90" x14ac:dyDescent="0.25">
      <c r="A531" s="30" t="s">
        <v>1480</v>
      </c>
      <c r="B531" s="31" t="s">
        <v>1481</v>
      </c>
      <c r="C531" s="32" t="s">
        <v>693</v>
      </c>
      <c r="D531" s="32" t="s">
        <v>694</v>
      </c>
      <c r="E531" s="32" t="s">
        <v>39</v>
      </c>
      <c r="F531" s="33">
        <f t="shared" ref="F531:Y531" si="401">SUM(F532:F532)</f>
        <v>6500</v>
      </c>
      <c r="G531" s="33">
        <f t="shared" si="401"/>
        <v>6500</v>
      </c>
      <c r="H531" s="33">
        <f t="shared" si="401"/>
        <v>0</v>
      </c>
      <c r="I531" s="33">
        <f t="shared" si="401"/>
        <v>0</v>
      </c>
      <c r="J531" s="33">
        <f t="shared" si="401"/>
        <v>0</v>
      </c>
      <c r="K531" s="33">
        <f t="shared" si="401"/>
        <v>0</v>
      </c>
      <c r="L531" s="33">
        <f t="shared" si="401"/>
        <v>0</v>
      </c>
      <c r="M531" s="33">
        <f t="shared" si="401"/>
        <v>0</v>
      </c>
      <c r="N531" s="33">
        <f t="shared" si="401"/>
        <v>0</v>
      </c>
      <c r="O531" s="33">
        <f t="shared" si="401"/>
        <v>0</v>
      </c>
      <c r="P531" s="33">
        <f t="shared" si="401"/>
        <v>6500</v>
      </c>
      <c r="Q531" s="33">
        <f t="shared" si="401"/>
        <v>6500</v>
      </c>
      <c r="R531" s="33">
        <f t="shared" si="401"/>
        <v>0</v>
      </c>
      <c r="S531" s="33">
        <f t="shared" si="401"/>
        <v>0</v>
      </c>
      <c r="T531" s="33">
        <f t="shared" si="401"/>
        <v>0</v>
      </c>
      <c r="U531" s="33">
        <f t="shared" si="401"/>
        <v>0</v>
      </c>
      <c r="V531" s="33">
        <f t="shared" si="401"/>
        <v>0</v>
      </c>
      <c r="W531" s="33">
        <f t="shared" si="401"/>
        <v>0</v>
      </c>
      <c r="X531" s="33">
        <f t="shared" si="401"/>
        <v>0</v>
      </c>
      <c r="Y531" s="33">
        <f t="shared" si="401"/>
        <v>0</v>
      </c>
      <c r="Z531" s="32" t="s">
        <v>1482</v>
      </c>
      <c r="AA531" s="34" t="s">
        <v>41</v>
      </c>
      <c r="AB531" s="35" t="s">
        <v>82</v>
      </c>
      <c r="AC531" s="35" t="s">
        <v>82</v>
      </c>
      <c r="AD531" s="36"/>
    </row>
    <row r="532" spans="1:30" ht="69.75" x14ac:dyDescent="0.25">
      <c r="A532" s="37" t="s">
        <v>1483</v>
      </c>
      <c r="B532" s="38" t="s">
        <v>1484</v>
      </c>
      <c r="C532" s="39" t="s">
        <v>693</v>
      </c>
      <c r="D532" s="39" t="s">
        <v>694</v>
      </c>
      <c r="E532" s="39" t="s">
        <v>1473</v>
      </c>
      <c r="F532" s="40">
        <f>SUM(F533:F536)+6500</f>
        <v>6500</v>
      </c>
      <c r="G532" s="40">
        <f>SUM(G533:G536)+6500</f>
        <v>6500</v>
      </c>
      <c r="H532" s="40">
        <f t="shared" ref="H532:O532" si="402">SUM(H533:H536)</f>
        <v>0</v>
      </c>
      <c r="I532" s="40">
        <f t="shared" si="402"/>
        <v>0</v>
      </c>
      <c r="J532" s="40">
        <f t="shared" si="402"/>
        <v>0</v>
      </c>
      <c r="K532" s="40">
        <f t="shared" si="402"/>
        <v>0</v>
      </c>
      <c r="L532" s="40">
        <f t="shared" si="402"/>
        <v>0</v>
      </c>
      <c r="M532" s="40">
        <f t="shared" si="402"/>
        <v>0</v>
      </c>
      <c r="N532" s="40">
        <f t="shared" si="402"/>
        <v>0</v>
      </c>
      <c r="O532" s="40">
        <f t="shared" si="402"/>
        <v>0</v>
      </c>
      <c r="P532" s="40">
        <f>SUM(P533:P536)+6500</f>
        <v>6500</v>
      </c>
      <c r="Q532" s="40">
        <f>SUM(Q533:Q536)+6500</f>
        <v>6500</v>
      </c>
      <c r="R532" s="40">
        <f t="shared" ref="R532:Y532" si="403">SUM(R533:R536)</f>
        <v>0</v>
      </c>
      <c r="S532" s="40">
        <f t="shared" si="403"/>
        <v>0</v>
      </c>
      <c r="T532" s="40">
        <f t="shared" si="403"/>
        <v>0</v>
      </c>
      <c r="U532" s="40">
        <f t="shared" si="403"/>
        <v>0</v>
      </c>
      <c r="V532" s="40">
        <f t="shared" si="403"/>
        <v>0</v>
      </c>
      <c r="W532" s="40">
        <f t="shared" si="403"/>
        <v>0</v>
      </c>
      <c r="X532" s="40">
        <f t="shared" si="403"/>
        <v>0</v>
      </c>
      <c r="Y532" s="40">
        <f t="shared" si="403"/>
        <v>0</v>
      </c>
      <c r="Z532" s="39" t="s">
        <v>1485</v>
      </c>
      <c r="AA532" s="41" t="s">
        <v>41</v>
      </c>
      <c r="AB532" s="42" t="s">
        <v>82</v>
      </c>
      <c r="AC532" s="42" t="s">
        <v>82</v>
      </c>
      <c r="AD532" s="43"/>
    </row>
    <row r="533" spans="1:30" x14ac:dyDescent="0.25">
      <c r="A533" s="45"/>
      <c r="B533" s="46"/>
      <c r="C533" s="47"/>
      <c r="D533" s="47"/>
      <c r="E533" s="47"/>
      <c r="F533" s="48">
        <v>0</v>
      </c>
      <c r="G533" s="48">
        <v>0</v>
      </c>
      <c r="H533" s="48">
        <v>0</v>
      </c>
      <c r="I533" s="48">
        <v>0</v>
      </c>
      <c r="J533" s="48">
        <v>0</v>
      </c>
      <c r="K533" s="48">
        <v>0</v>
      </c>
      <c r="L533" s="48">
        <v>0</v>
      </c>
      <c r="M533" s="48">
        <v>0</v>
      </c>
      <c r="N533" s="48">
        <v>0</v>
      </c>
      <c r="O533" s="48">
        <v>0</v>
      </c>
      <c r="P533" s="48">
        <v>0</v>
      </c>
      <c r="Q533" s="48">
        <v>0</v>
      </c>
      <c r="R533" s="48">
        <v>0</v>
      </c>
      <c r="S533" s="48">
        <v>0</v>
      </c>
      <c r="T533" s="48">
        <v>0</v>
      </c>
      <c r="U533" s="48">
        <v>0</v>
      </c>
      <c r="V533" s="48">
        <v>0</v>
      </c>
      <c r="W533" s="48">
        <v>0</v>
      </c>
      <c r="X533" s="48">
        <v>0</v>
      </c>
      <c r="Y533" s="48">
        <v>0</v>
      </c>
      <c r="Z533" s="47" t="s">
        <v>1486</v>
      </c>
      <c r="AA533" s="49" t="s">
        <v>41</v>
      </c>
      <c r="AB533" s="50" t="s">
        <v>225</v>
      </c>
      <c r="AC533" s="50" t="s">
        <v>225</v>
      </c>
      <c r="AD533" s="51"/>
    </row>
    <row r="534" spans="1:30" ht="46.5" x14ac:dyDescent="0.25">
      <c r="A534" s="37" t="s">
        <v>1487</v>
      </c>
      <c r="B534" s="38" t="s">
        <v>1488</v>
      </c>
      <c r="C534" s="39"/>
      <c r="D534" s="39"/>
      <c r="E534" s="39"/>
      <c r="F534" s="44">
        <v>0</v>
      </c>
      <c r="G534" s="44">
        <v>0</v>
      </c>
      <c r="H534" s="44">
        <v>0</v>
      </c>
      <c r="I534" s="44">
        <v>0</v>
      </c>
      <c r="J534" s="44">
        <v>0</v>
      </c>
      <c r="K534" s="44">
        <v>0</v>
      </c>
      <c r="L534" s="44">
        <v>0</v>
      </c>
      <c r="M534" s="44">
        <v>0</v>
      </c>
      <c r="N534" s="44">
        <v>0</v>
      </c>
      <c r="O534" s="44">
        <v>0</v>
      </c>
      <c r="P534" s="44">
        <v>0</v>
      </c>
      <c r="Q534" s="44">
        <v>0</v>
      </c>
      <c r="R534" s="44">
        <v>0</v>
      </c>
      <c r="S534" s="44">
        <v>0</v>
      </c>
      <c r="T534" s="44">
        <v>0</v>
      </c>
      <c r="U534" s="44">
        <v>0</v>
      </c>
      <c r="V534" s="44">
        <v>0</v>
      </c>
      <c r="W534" s="44">
        <v>0</v>
      </c>
      <c r="X534" s="44">
        <v>0</v>
      </c>
      <c r="Y534" s="44">
        <v>0</v>
      </c>
      <c r="Z534" s="39"/>
      <c r="AA534" s="41"/>
      <c r="AB534" s="42"/>
      <c r="AC534" s="42"/>
      <c r="AD534" s="43"/>
    </row>
    <row r="535" spans="1:30" ht="46.5" x14ac:dyDescent="0.25">
      <c r="A535" s="37" t="s">
        <v>1489</v>
      </c>
      <c r="B535" s="38" t="s">
        <v>1490</v>
      </c>
      <c r="C535" s="39"/>
      <c r="D535" s="39"/>
      <c r="E535" s="39"/>
      <c r="F535" s="44">
        <v>0</v>
      </c>
      <c r="G535" s="44">
        <v>0</v>
      </c>
      <c r="H535" s="44">
        <v>0</v>
      </c>
      <c r="I535" s="44">
        <v>0</v>
      </c>
      <c r="J535" s="44">
        <v>0</v>
      </c>
      <c r="K535" s="44">
        <v>0</v>
      </c>
      <c r="L535" s="44">
        <v>0</v>
      </c>
      <c r="M535" s="44">
        <v>0</v>
      </c>
      <c r="N535" s="44">
        <v>0</v>
      </c>
      <c r="O535" s="44">
        <v>0</v>
      </c>
      <c r="P535" s="44">
        <v>0</v>
      </c>
      <c r="Q535" s="44">
        <v>0</v>
      </c>
      <c r="R535" s="44">
        <v>0</v>
      </c>
      <c r="S535" s="44">
        <v>0</v>
      </c>
      <c r="T535" s="44">
        <v>0</v>
      </c>
      <c r="U535" s="44">
        <v>0</v>
      </c>
      <c r="V535" s="44">
        <v>0</v>
      </c>
      <c r="W535" s="44">
        <v>0</v>
      </c>
      <c r="X535" s="44">
        <v>0</v>
      </c>
      <c r="Y535" s="44">
        <v>0</v>
      </c>
      <c r="Z535" s="39"/>
      <c r="AA535" s="41"/>
      <c r="AB535" s="42"/>
      <c r="AC535" s="42"/>
      <c r="AD535" s="43"/>
    </row>
    <row r="536" spans="1:30" x14ac:dyDescent="0.25">
      <c r="A536" s="37" t="s">
        <v>1491</v>
      </c>
      <c r="B536" s="38" t="s">
        <v>1492</v>
      </c>
      <c r="C536" s="39"/>
      <c r="D536" s="39"/>
      <c r="E536" s="39"/>
      <c r="F536" s="44">
        <v>0</v>
      </c>
      <c r="G536" s="44">
        <v>0</v>
      </c>
      <c r="H536" s="44">
        <v>0</v>
      </c>
      <c r="I536" s="44">
        <v>0</v>
      </c>
      <c r="J536" s="44">
        <v>0</v>
      </c>
      <c r="K536" s="44">
        <v>0</v>
      </c>
      <c r="L536" s="44">
        <v>0</v>
      </c>
      <c r="M536" s="44">
        <v>0</v>
      </c>
      <c r="N536" s="44">
        <v>0</v>
      </c>
      <c r="O536" s="44">
        <v>0</v>
      </c>
      <c r="P536" s="44">
        <v>0</v>
      </c>
      <c r="Q536" s="44">
        <v>0</v>
      </c>
      <c r="R536" s="44">
        <v>0</v>
      </c>
      <c r="S536" s="44">
        <v>0</v>
      </c>
      <c r="T536" s="44">
        <v>0</v>
      </c>
      <c r="U536" s="44">
        <v>0</v>
      </c>
      <c r="V536" s="44">
        <v>0</v>
      </c>
      <c r="W536" s="44">
        <v>0</v>
      </c>
      <c r="X536" s="44">
        <v>0</v>
      </c>
      <c r="Y536" s="44">
        <v>0</v>
      </c>
      <c r="Z536" s="39"/>
      <c r="AA536" s="41"/>
      <c r="AB536" s="42"/>
      <c r="AC536" s="42"/>
      <c r="AD536" s="43"/>
    </row>
    <row r="537" spans="1:30" ht="135" x14ac:dyDescent="0.25">
      <c r="A537" s="23" t="s">
        <v>1493</v>
      </c>
      <c r="B537" s="24" t="s">
        <v>1494</v>
      </c>
      <c r="C537" s="25" t="s">
        <v>693</v>
      </c>
      <c r="D537" s="25" t="s">
        <v>694</v>
      </c>
      <c r="E537" s="25"/>
      <c r="F537" s="26">
        <f t="shared" ref="F537:Y537" si="404">F538+F545</f>
        <v>75000</v>
      </c>
      <c r="G537" s="26">
        <f t="shared" si="404"/>
        <v>68000</v>
      </c>
      <c r="H537" s="26">
        <f t="shared" si="404"/>
        <v>0</v>
      </c>
      <c r="I537" s="26">
        <f t="shared" si="404"/>
        <v>0</v>
      </c>
      <c r="J537" s="26">
        <f t="shared" si="404"/>
        <v>0</v>
      </c>
      <c r="K537" s="26">
        <f t="shared" si="404"/>
        <v>0</v>
      </c>
      <c r="L537" s="26">
        <f t="shared" si="404"/>
        <v>0</v>
      </c>
      <c r="M537" s="26">
        <f t="shared" si="404"/>
        <v>0</v>
      </c>
      <c r="N537" s="26">
        <f t="shared" si="404"/>
        <v>0</v>
      </c>
      <c r="O537" s="26">
        <f t="shared" si="404"/>
        <v>7000</v>
      </c>
      <c r="P537" s="26">
        <f t="shared" si="404"/>
        <v>75000</v>
      </c>
      <c r="Q537" s="26">
        <f t="shared" si="404"/>
        <v>68000</v>
      </c>
      <c r="R537" s="26">
        <f t="shared" si="404"/>
        <v>0</v>
      </c>
      <c r="S537" s="26">
        <f t="shared" si="404"/>
        <v>0</v>
      </c>
      <c r="T537" s="26">
        <f t="shared" si="404"/>
        <v>0</v>
      </c>
      <c r="U537" s="26">
        <f t="shared" si="404"/>
        <v>0</v>
      </c>
      <c r="V537" s="26">
        <f t="shared" si="404"/>
        <v>0</v>
      </c>
      <c r="W537" s="26">
        <f t="shared" si="404"/>
        <v>0</v>
      </c>
      <c r="X537" s="26">
        <f t="shared" si="404"/>
        <v>0</v>
      </c>
      <c r="Y537" s="26">
        <f t="shared" si="404"/>
        <v>7000</v>
      </c>
      <c r="Z537" s="25" t="s">
        <v>1495</v>
      </c>
      <c r="AA537" s="27" t="s">
        <v>35</v>
      </c>
      <c r="AB537" s="28" t="s">
        <v>1496</v>
      </c>
      <c r="AC537" s="28" t="s">
        <v>1497</v>
      </c>
      <c r="AD537" s="29" t="s">
        <v>1498</v>
      </c>
    </row>
    <row r="538" spans="1:30" ht="90" x14ac:dyDescent="0.25">
      <c r="A538" s="30" t="s">
        <v>1499</v>
      </c>
      <c r="B538" s="31" t="s">
        <v>1500</v>
      </c>
      <c r="C538" s="32" t="s">
        <v>693</v>
      </c>
      <c r="D538" s="32" t="s">
        <v>694</v>
      </c>
      <c r="E538" s="32" t="s">
        <v>39</v>
      </c>
      <c r="F538" s="33">
        <f t="shared" ref="F538:Y538" si="405">SUM(F539:F539)</f>
        <v>38000</v>
      </c>
      <c r="G538" s="33">
        <f t="shared" si="405"/>
        <v>38000</v>
      </c>
      <c r="H538" s="33">
        <f t="shared" si="405"/>
        <v>0</v>
      </c>
      <c r="I538" s="33">
        <f t="shared" si="405"/>
        <v>0</v>
      </c>
      <c r="J538" s="33">
        <f t="shared" si="405"/>
        <v>0</v>
      </c>
      <c r="K538" s="33">
        <f t="shared" si="405"/>
        <v>0</v>
      </c>
      <c r="L538" s="33">
        <f t="shared" si="405"/>
        <v>0</v>
      </c>
      <c r="M538" s="33">
        <f t="shared" si="405"/>
        <v>0</v>
      </c>
      <c r="N538" s="33">
        <f t="shared" si="405"/>
        <v>0</v>
      </c>
      <c r="O538" s="33">
        <f t="shared" si="405"/>
        <v>0</v>
      </c>
      <c r="P538" s="33">
        <f t="shared" si="405"/>
        <v>38000</v>
      </c>
      <c r="Q538" s="33">
        <f t="shared" si="405"/>
        <v>38000</v>
      </c>
      <c r="R538" s="33">
        <f t="shared" si="405"/>
        <v>0</v>
      </c>
      <c r="S538" s="33">
        <f t="shared" si="405"/>
        <v>0</v>
      </c>
      <c r="T538" s="33">
        <f t="shared" si="405"/>
        <v>0</v>
      </c>
      <c r="U538" s="33">
        <f t="shared" si="405"/>
        <v>0</v>
      </c>
      <c r="V538" s="33">
        <f t="shared" si="405"/>
        <v>0</v>
      </c>
      <c r="W538" s="33">
        <f t="shared" si="405"/>
        <v>0</v>
      </c>
      <c r="X538" s="33">
        <f t="shared" si="405"/>
        <v>0</v>
      </c>
      <c r="Y538" s="33">
        <f t="shared" si="405"/>
        <v>0</v>
      </c>
      <c r="Z538" s="32" t="s">
        <v>1501</v>
      </c>
      <c r="AA538" s="34" t="s">
        <v>35</v>
      </c>
      <c r="AB538" s="35" t="s">
        <v>185</v>
      </c>
      <c r="AC538" s="35" t="s">
        <v>185</v>
      </c>
      <c r="AD538" s="36"/>
    </row>
    <row r="539" spans="1:30" ht="46.5" x14ac:dyDescent="0.25">
      <c r="A539" s="37" t="s">
        <v>1502</v>
      </c>
      <c r="B539" s="38" t="s">
        <v>1503</v>
      </c>
      <c r="C539" s="39" t="s">
        <v>693</v>
      </c>
      <c r="D539" s="39"/>
      <c r="E539" s="39" t="s">
        <v>46</v>
      </c>
      <c r="F539" s="40">
        <f>SUM(F540:F544)+38000</f>
        <v>38000</v>
      </c>
      <c r="G539" s="40">
        <f>SUM(G540:G544)+38000</f>
        <v>38000</v>
      </c>
      <c r="H539" s="40">
        <f t="shared" ref="H539:O539" si="406">SUM(H540:H544)</f>
        <v>0</v>
      </c>
      <c r="I539" s="40">
        <f t="shared" si="406"/>
        <v>0</v>
      </c>
      <c r="J539" s="40">
        <f t="shared" si="406"/>
        <v>0</v>
      </c>
      <c r="K539" s="40">
        <f t="shared" si="406"/>
        <v>0</v>
      </c>
      <c r="L539" s="40">
        <f t="shared" si="406"/>
        <v>0</v>
      </c>
      <c r="M539" s="40">
        <f t="shared" si="406"/>
        <v>0</v>
      </c>
      <c r="N539" s="40">
        <f t="shared" si="406"/>
        <v>0</v>
      </c>
      <c r="O539" s="40">
        <f t="shared" si="406"/>
        <v>0</v>
      </c>
      <c r="P539" s="40">
        <f>SUM(P540:P544)+38000</f>
        <v>38000</v>
      </c>
      <c r="Q539" s="40">
        <f>SUM(Q540:Q544)+38000</f>
        <v>38000</v>
      </c>
      <c r="R539" s="40">
        <f t="shared" ref="R539:Y539" si="407">SUM(R540:R544)</f>
        <v>0</v>
      </c>
      <c r="S539" s="40">
        <f t="shared" si="407"/>
        <v>0</v>
      </c>
      <c r="T539" s="40">
        <f t="shared" si="407"/>
        <v>0</v>
      </c>
      <c r="U539" s="40">
        <f t="shared" si="407"/>
        <v>0</v>
      </c>
      <c r="V539" s="40">
        <f t="shared" si="407"/>
        <v>0</v>
      </c>
      <c r="W539" s="40">
        <f t="shared" si="407"/>
        <v>0</v>
      </c>
      <c r="X539" s="40">
        <f t="shared" si="407"/>
        <v>0</v>
      </c>
      <c r="Y539" s="40">
        <f t="shared" si="407"/>
        <v>0</v>
      </c>
      <c r="Z539" s="39" t="s">
        <v>1504</v>
      </c>
      <c r="AA539" s="41" t="s">
        <v>41</v>
      </c>
      <c r="AB539" s="42" t="s">
        <v>107</v>
      </c>
      <c r="AC539" s="42" t="s">
        <v>434</v>
      </c>
      <c r="AD539" s="43" t="s">
        <v>1505</v>
      </c>
    </row>
    <row r="540" spans="1:30" x14ac:dyDescent="0.25">
      <c r="A540" s="45"/>
      <c r="B540" s="46"/>
      <c r="C540" s="47"/>
      <c r="D540" s="47"/>
      <c r="E540" s="47"/>
      <c r="F540" s="48">
        <v>0</v>
      </c>
      <c r="G540" s="48">
        <v>0</v>
      </c>
      <c r="H540" s="48">
        <v>0</v>
      </c>
      <c r="I540" s="48">
        <v>0</v>
      </c>
      <c r="J540" s="48">
        <v>0</v>
      </c>
      <c r="K540" s="48">
        <v>0</v>
      </c>
      <c r="L540" s="48">
        <v>0</v>
      </c>
      <c r="M540" s="48">
        <v>0</v>
      </c>
      <c r="N540" s="48">
        <v>0</v>
      </c>
      <c r="O540" s="48">
        <v>0</v>
      </c>
      <c r="P540" s="48">
        <v>0</v>
      </c>
      <c r="Q540" s="48">
        <v>0</v>
      </c>
      <c r="R540" s="48">
        <v>0</v>
      </c>
      <c r="S540" s="48">
        <v>0</v>
      </c>
      <c r="T540" s="48">
        <v>0</v>
      </c>
      <c r="U540" s="48">
        <v>0</v>
      </c>
      <c r="V540" s="48">
        <v>0</v>
      </c>
      <c r="W540" s="48">
        <v>0</v>
      </c>
      <c r="X540" s="48">
        <v>0</v>
      </c>
      <c r="Y540" s="48">
        <v>0</v>
      </c>
      <c r="Z540" s="47" t="s">
        <v>1506</v>
      </c>
      <c r="AA540" s="49" t="s">
        <v>41</v>
      </c>
      <c r="AB540" s="50" t="s">
        <v>107</v>
      </c>
      <c r="AC540" s="50" t="s">
        <v>434</v>
      </c>
      <c r="AD540" s="51" t="s">
        <v>1505</v>
      </c>
    </row>
    <row r="541" spans="1:30" ht="46.5" x14ac:dyDescent="0.25">
      <c r="A541" s="37" t="s">
        <v>1507</v>
      </c>
      <c r="B541" s="38" t="s">
        <v>1508</v>
      </c>
      <c r="C541" s="39"/>
      <c r="D541" s="39"/>
      <c r="E541" s="39"/>
      <c r="F541" s="44">
        <v>0</v>
      </c>
      <c r="G541" s="44">
        <v>0</v>
      </c>
      <c r="H541" s="44">
        <v>0</v>
      </c>
      <c r="I541" s="44">
        <v>0</v>
      </c>
      <c r="J541" s="44">
        <v>0</v>
      </c>
      <c r="K541" s="44">
        <v>0</v>
      </c>
      <c r="L541" s="44">
        <v>0</v>
      </c>
      <c r="M541" s="44">
        <v>0</v>
      </c>
      <c r="N541" s="44">
        <v>0</v>
      </c>
      <c r="O541" s="44">
        <v>0</v>
      </c>
      <c r="P541" s="44">
        <v>0</v>
      </c>
      <c r="Q541" s="44">
        <v>0</v>
      </c>
      <c r="R541" s="44">
        <v>0</v>
      </c>
      <c r="S541" s="44">
        <v>0</v>
      </c>
      <c r="T541" s="44">
        <v>0</v>
      </c>
      <c r="U541" s="44">
        <v>0</v>
      </c>
      <c r="V541" s="44">
        <v>0</v>
      </c>
      <c r="W541" s="44">
        <v>0</v>
      </c>
      <c r="X541" s="44">
        <v>0</v>
      </c>
      <c r="Y541" s="44">
        <v>0</v>
      </c>
      <c r="Z541" s="39"/>
      <c r="AA541" s="41"/>
      <c r="AB541" s="42"/>
      <c r="AC541" s="42"/>
      <c r="AD541" s="43"/>
    </row>
    <row r="542" spans="1:30" ht="46.5" x14ac:dyDescent="0.25">
      <c r="A542" s="37" t="s">
        <v>1509</v>
      </c>
      <c r="B542" s="38" t="s">
        <v>1510</v>
      </c>
      <c r="C542" s="39"/>
      <c r="D542" s="39"/>
      <c r="E542" s="39"/>
      <c r="F542" s="44">
        <v>0</v>
      </c>
      <c r="G542" s="44">
        <v>0</v>
      </c>
      <c r="H542" s="44">
        <v>0</v>
      </c>
      <c r="I542" s="44">
        <v>0</v>
      </c>
      <c r="J542" s="44">
        <v>0</v>
      </c>
      <c r="K542" s="44">
        <v>0</v>
      </c>
      <c r="L542" s="44">
        <v>0</v>
      </c>
      <c r="M542" s="44">
        <v>0</v>
      </c>
      <c r="N542" s="44">
        <v>0</v>
      </c>
      <c r="O542" s="44">
        <v>0</v>
      </c>
      <c r="P542" s="44">
        <v>0</v>
      </c>
      <c r="Q542" s="44">
        <v>0</v>
      </c>
      <c r="R542" s="44">
        <v>0</v>
      </c>
      <c r="S542" s="44">
        <v>0</v>
      </c>
      <c r="T542" s="44">
        <v>0</v>
      </c>
      <c r="U542" s="44">
        <v>0</v>
      </c>
      <c r="V542" s="44">
        <v>0</v>
      </c>
      <c r="W542" s="44">
        <v>0</v>
      </c>
      <c r="X542" s="44">
        <v>0</v>
      </c>
      <c r="Y542" s="44">
        <v>0</v>
      </c>
      <c r="Z542" s="39"/>
      <c r="AA542" s="41"/>
      <c r="AB542" s="42"/>
      <c r="AC542" s="42"/>
      <c r="AD542" s="43"/>
    </row>
    <row r="543" spans="1:30" ht="69.75" x14ac:dyDescent="0.25">
      <c r="A543" s="37" t="s">
        <v>1511</v>
      </c>
      <c r="B543" s="38" t="s">
        <v>1512</v>
      </c>
      <c r="C543" s="39"/>
      <c r="D543" s="39"/>
      <c r="E543" s="39"/>
      <c r="F543" s="44">
        <v>0</v>
      </c>
      <c r="G543" s="44">
        <v>0</v>
      </c>
      <c r="H543" s="44">
        <v>0</v>
      </c>
      <c r="I543" s="44">
        <v>0</v>
      </c>
      <c r="J543" s="44">
        <v>0</v>
      </c>
      <c r="K543" s="44">
        <v>0</v>
      </c>
      <c r="L543" s="44">
        <v>0</v>
      </c>
      <c r="M543" s="44">
        <v>0</v>
      </c>
      <c r="N543" s="44">
        <v>0</v>
      </c>
      <c r="O543" s="44">
        <v>0</v>
      </c>
      <c r="P543" s="44">
        <v>0</v>
      </c>
      <c r="Q543" s="44">
        <v>0</v>
      </c>
      <c r="R543" s="44">
        <v>0</v>
      </c>
      <c r="S543" s="44">
        <v>0</v>
      </c>
      <c r="T543" s="44">
        <v>0</v>
      </c>
      <c r="U543" s="44">
        <v>0</v>
      </c>
      <c r="V543" s="44">
        <v>0</v>
      </c>
      <c r="W543" s="44">
        <v>0</v>
      </c>
      <c r="X543" s="44">
        <v>0</v>
      </c>
      <c r="Y543" s="44">
        <v>0</v>
      </c>
      <c r="Z543" s="39"/>
      <c r="AA543" s="41"/>
      <c r="AB543" s="42"/>
      <c r="AC543" s="42"/>
      <c r="AD543" s="43"/>
    </row>
    <row r="544" spans="1:30" ht="69.75" x14ac:dyDescent="0.25">
      <c r="A544" s="37" t="s">
        <v>1513</v>
      </c>
      <c r="B544" s="38" t="s">
        <v>1514</v>
      </c>
      <c r="C544" s="39"/>
      <c r="D544" s="39"/>
      <c r="E544" s="39"/>
      <c r="F544" s="44">
        <v>0</v>
      </c>
      <c r="G544" s="44">
        <v>0</v>
      </c>
      <c r="H544" s="44">
        <v>0</v>
      </c>
      <c r="I544" s="44">
        <v>0</v>
      </c>
      <c r="J544" s="44">
        <v>0</v>
      </c>
      <c r="K544" s="44">
        <v>0</v>
      </c>
      <c r="L544" s="44">
        <v>0</v>
      </c>
      <c r="M544" s="44">
        <v>0</v>
      </c>
      <c r="N544" s="44">
        <v>0</v>
      </c>
      <c r="O544" s="44">
        <v>0</v>
      </c>
      <c r="P544" s="44">
        <v>0</v>
      </c>
      <c r="Q544" s="44">
        <v>0</v>
      </c>
      <c r="R544" s="44">
        <v>0</v>
      </c>
      <c r="S544" s="44">
        <v>0</v>
      </c>
      <c r="T544" s="44">
        <v>0</v>
      </c>
      <c r="U544" s="44">
        <v>0</v>
      </c>
      <c r="V544" s="44">
        <v>0</v>
      </c>
      <c r="W544" s="44">
        <v>0</v>
      </c>
      <c r="X544" s="44">
        <v>0</v>
      </c>
      <c r="Y544" s="44">
        <v>0</v>
      </c>
      <c r="Z544" s="39"/>
      <c r="AA544" s="41"/>
      <c r="AB544" s="42"/>
      <c r="AC544" s="42"/>
      <c r="AD544" s="43"/>
    </row>
    <row r="545" spans="1:30" ht="45" x14ac:dyDescent="0.25">
      <c r="A545" s="30" t="s">
        <v>1515</v>
      </c>
      <c r="B545" s="31" t="s">
        <v>1516</v>
      </c>
      <c r="C545" s="32" t="s">
        <v>693</v>
      </c>
      <c r="D545" s="32" t="s">
        <v>694</v>
      </c>
      <c r="E545" s="32" t="s">
        <v>39</v>
      </c>
      <c r="F545" s="33">
        <f t="shared" ref="F545:Y545" si="408">F546+F547+F554</f>
        <v>37000</v>
      </c>
      <c r="G545" s="33">
        <f t="shared" si="408"/>
        <v>30000</v>
      </c>
      <c r="H545" s="33">
        <f t="shared" si="408"/>
        <v>0</v>
      </c>
      <c r="I545" s="33">
        <f t="shared" si="408"/>
        <v>0</v>
      </c>
      <c r="J545" s="33">
        <f t="shared" si="408"/>
        <v>0</v>
      </c>
      <c r="K545" s="33">
        <f t="shared" si="408"/>
        <v>0</v>
      </c>
      <c r="L545" s="33">
        <f t="shared" si="408"/>
        <v>0</v>
      </c>
      <c r="M545" s="33">
        <f t="shared" si="408"/>
        <v>0</v>
      </c>
      <c r="N545" s="33">
        <f t="shared" si="408"/>
        <v>0</v>
      </c>
      <c r="O545" s="33">
        <f t="shared" si="408"/>
        <v>7000</v>
      </c>
      <c r="P545" s="33">
        <f t="shared" si="408"/>
        <v>37000</v>
      </c>
      <c r="Q545" s="33">
        <f t="shared" si="408"/>
        <v>30000</v>
      </c>
      <c r="R545" s="33">
        <f t="shared" si="408"/>
        <v>0</v>
      </c>
      <c r="S545" s="33">
        <f t="shared" si="408"/>
        <v>0</v>
      </c>
      <c r="T545" s="33">
        <f t="shared" si="408"/>
        <v>0</v>
      </c>
      <c r="U545" s="33">
        <f t="shared" si="408"/>
        <v>0</v>
      </c>
      <c r="V545" s="33">
        <f t="shared" si="408"/>
        <v>0</v>
      </c>
      <c r="W545" s="33">
        <f t="shared" si="408"/>
        <v>0</v>
      </c>
      <c r="X545" s="33">
        <f t="shared" si="408"/>
        <v>0</v>
      </c>
      <c r="Y545" s="33">
        <f t="shared" si="408"/>
        <v>7000</v>
      </c>
      <c r="Z545" s="32" t="s">
        <v>1517</v>
      </c>
      <c r="AA545" s="34" t="s">
        <v>41</v>
      </c>
      <c r="AB545" s="35" t="s">
        <v>1148</v>
      </c>
      <c r="AC545" s="35" t="s">
        <v>1148</v>
      </c>
      <c r="AD545" s="36"/>
    </row>
    <row r="546" spans="1:30" x14ac:dyDescent="0.25">
      <c r="A546" s="45"/>
      <c r="B546" s="46"/>
      <c r="C546" s="47"/>
      <c r="D546" s="47"/>
      <c r="E546" s="47"/>
      <c r="F546" s="48">
        <v>0</v>
      </c>
      <c r="G546" s="48">
        <v>0</v>
      </c>
      <c r="H546" s="48">
        <v>0</v>
      </c>
      <c r="I546" s="48">
        <v>0</v>
      </c>
      <c r="J546" s="48">
        <v>0</v>
      </c>
      <c r="K546" s="48">
        <v>0</v>
      </c>
      <c r="L546" s="48">
        <v>0</v>
      </c>
      <c r="M546" s="48">
        <v>0</v>
      </c>
      <c r="N546" s="48">
        <v>0</v>
      </c>
      <c r="O546" s="48">
        <v>0</v>
      </c>
      <c r="P546" s="48">
        <v>0</v>
      </c>
      <c r="Q546" s="48">
        <v>0</v>
      </c>
      <c r="R546" s="48">
        <v>0</v>
      </c>
      <c r="S546" s="48">
        <v>0</v>
      </c>
      <c r="T546" s="48">
        <v>0</v>
      </c>
      <c r="U546" s="48">
        <v>0</v>
      </c>
      <c r="V546" s="48">
        <v>0</v>
      </c>
      <c r="W546" s="48">
        <v>0</v>
      </c>
      <c r="X546" s="48">
        <v>0</v>
      </c>
      <c r="Y546" s="48">
        <v>0</v>
      </c>
      <c r="Z546" s="47" t="s">
        <v>1518</v>
      </c>
      <c r="AA546" s="49" t="s">
        <v>41</v>
      </c>
      <c r="AB546" s="50" t="s">
        <v>1519</v>
      </c>
      <c r="AC546" s="50" t="s">
        <v>1129</v>
      </c>
      <c r="AD546" s="51" t="s">
        <v>1520</v>
      </c>
    </row>
    <row r="547" spans="1:30" ht="93" x14ac:dyDescent="0.25">
      <c r="A547" s="37" t="s">
        <v>1521</v>
      </c>
      <c r="B547" s="38" t="s">
        <v>1522</v>
      </c>
      <c r="C547" s="39" t="s">
        <v>693</v>
      </c>
      <c r="D547" s="39" t="s">
        <v>694</v>
      </c>
      <c r="E547" s="39" t="s">
        <v>1473</v>
      </c>
      <c r="F547" s="40">
        <f>SUM(F548:F553)+34500</f>
        <v>34500</v>
      </c>
      <c r="G547" s="40">
        <f>SUM(G548:G553)+30000</f>
        <v>30000</v>
      </c>
      <c r="H547" s="40">
        <f t="shared" ref="H547:N547" si="409">SUM(H548:H553)</f>
        <v>0</v>
      </c>
      <c r="I547" s="40">
        <f t="shared" si="409"/>
        <v>0</v>
      </c>
      <c r="J547" s="40">
        <f t="shared" si="409"/>
        <v>0</v>
      </c>
      <c r="K547" s="40">
        <f t="shared" si="409"/>
        <v>0</v>
      </c>
      <c r="L547" s="40">
        <f t="shared" si="409"/>
        <v>0</v>
      </c>
      <c r="M547" s="40">
        <f t="shared" si="409"/>
        <v>0</v>
      </c>
      <c r="N547" s="40">
        <f t="shared" si="409"/>
        <v>0</v>
      </c>
      <c r="O547" s="40">
        <f>SUM(O548:O553)+4500</f>
        <v>4500</v>
      </c>
      <c r="P547" s="40">
        <f>SUM(P548:P553)+34500</f>
        <v>34500</v>
      </c>
      <c r="Q547" s="40">
        <f>SUM(Q548:Q553)+30000</f>
        <v>30000</v>
      </c>
      <c r="R547" s="40">
        <f t="shared" ref="R547:X547" si="410">SUM(R548:R553)</f>
        <v>0</v>
      </c>
      <c r="S547" s="40">
        <f t="shared" si="410"/>
        <v>0</v>
      </c>
      <c r="T547" s="40">
        <f t="shared" si="410"/>
        <v>0</v>
      </c>
      <c r="U547" s="40">
        <f t="shared" si="410"/>
        <v>0</v>
      </c>
      <c r="V547" s="40">
        <f t="shared" si="410"/>
        <v>0</v>
      </c>
      <c r="W547" s="40">
        <f t="shared" si="410"/>
        <v>0</v>
      </c>
      <c r="X547" s="40">
        <f t="shared" si="410"/>
        <v>0</v>
      </c>
      <c r="Y547" s="40">
        <f>SUM(Y548:Y553)+4500</f>
        <v>4500</v>
      </c>
      <c r="Z547" s="39" t="s">
        <v>1523</v>
      </c>
      <c r="AA547" s="41" t="s">
        <v>41</v>
      </c>
      <c r="AB547" s="42" t="s">
        <v>107</v>
      </c>
      <c r="AC547" s="42" t="s">
        <v>107</v>
      </c>
      <c r="AD547" s="43"/>
    </row>
    <row r="548" spans="1:30" ht="46.5" x14ac:dyDescent="0.25">
      <c r="A548" s="45"/>
      <c r="B548" s="46"/>
      <c r="C548" s="47"/>
      <c r="D548" s="47"/>
      <c r="E548" s="47"/>
      <c r="F548" s="48">
        <v>0</v>
      </c>
      <c r="G548" s="48">
        <v>0</v>
      </c>
      <c r="H548" s="48">
        <v>0</v>
      </c>
      <c r="I548" s="48">
        <v>0</v>
      </c>
      <c r="J548" s="48">
        <v>0</v>
      </c>
      <c r="K548" s="48">
        <v>0</v>
      </c>
      <c r="L548" s="48">
        <v>0</v>
      </c>
      <c r="M548" s="48">
        <v>0</v>
      </c>
      <c r="N548" s="48">
        <v>0</v>
      </c>
      <c r="O548" s="48">
        <v>0</v>
      </c>
      <c r="P548" s="48">
        <v>0</v>
      </c>
      <c r="Q548" s="48">
        <v>0</v>
      </c>
      <c r="R548" s="48">
        <v>0</v>
      </c>
      <c r="S548" s="48">
        <v>0</v>
      </c>
      <c r="T548" s="48">
        <v>0</v>
      </c>
      <c r="U548" s="48">
        <v>0</v>
      </c>
      <c r="V548" s="48">
        <v>0</v>
      </c>
      <c r="W548" s="48">
        <v>0</v>
      </c>
      <c r="X548" s="48">
        <v>0</v>
      </c>
      <c r="Y548" s="48">
        <v>0</v>
      </c>
      <c r="Z548" s="47" t="s">
        <v>1524</v>
      </c>
      <c r="AA548" s="49" t="s">
        <v>1525</v>
      </c>
      <c r="AB548" s="50" t="s">
        <v>884</v>
      </c>
      <c r="AC548" s="50" t="s">
        <v>884</v>
      </c>
      <c r="AD548" s="51"/>
    </row>
    <row r="549" spans="1:30" x14ac:dyDescent="0.25">
      <c r="A549" s="45"/>
      <c r="B549" s="46"/>
      <c r="C549" s="47"/>
      <c r="D549" s="47"/>
      <c r="E549" s="47"/>
      <c r="F549" s="48">
        <v>0</v>
      </c>
      <c r="G549" s="48">
        <v>0</v>
      </c>
      <c r="H549" s="48">
        <v>0</v>
      </c>
      <c r="I549" s="48">
        <v>0</v>
      </c>
      <c r="J549" s="48">
        <v>0</v>
      </c>
      <c r="K549" s="48">
        <v>0</v>
      </c>
      <c r="L549" s="48">
        <v>0</v>
      </c>
      <c r="M549" s="48">
        <v>0</v>
      </c>
      <c r="N549" s="48">
        <v>0</v>
      </c>
      <c r="O549" s="48">
        <v>0</v>
      </c>
      <c r="P549" s="48">
        <v>0</v>
      </c>
      <c r="Q549" s="48">
        <v>0</v>
      </c>
      <c r="R549" s="48">
        <v>0</v>
      </c>
      <c r="S549" s="48">
        <v>0</v>
      </c>
      <c r="T549" s="48">
        <v>0</v>
      </c>
      <c r="U549" s="48">
        <v>0</v>
      </c>
      <c r="V549" s="48">
        <v>0</v>
      </c>
      <c r="W549" s="48">
        <v>0</v>
      </c>
      <c r="X549" s="48">
        <v>0</v>
      </c>
      <c r="Y549" s="48">
        <v>0</v>
      </c>
      <c r="Z549" s="47" t="s">
        <v>1526</v>
      </c>
      <c r="AA549" s="49" t="s">
        <v>41</v>
      </c>
      <c r="AB549" s="50" t="s">
        <v>107</v>
      </c>
      <c r="AC549" s="50" t="s">
        <v>107</v>
      </c>
      <c r="AD549" s="51"/>
    </row>
    <row r="550" spans="1:30" ht="46.5" x14ac:dyDescent="0.25">
      <c r="A550" s="45"/>
      <c r="B550" s="46"/>
      <c r="C550" s="47"/>
      <c r="D550" s="47"/>
      <c r="E550" s="47"/>
      <c r="F550" s="48">
        <v>0</v>
      </c>
      <c r="G550" s="48">
        <v>0</v>
      </c>
      <c r="H550" s="48">
        <v>0</v>
      </c>
      <c r="I550" s="48">
        <v>0</v>
      </c>
      <c r="J550" s="48">
        <v>0</v>
      </c>
      <c r="K550" s="48">
        <v>0</v>
      </c>
      <c r="L550" s="48">
        <v>0</v>
      </c>
      <c r="M550" s="48">
        <v>0</v>
      </c>
      <c r="N550" s="48">
        <v>0</v>
      </c>
      <c r="O550" s="48">
        <v>0</v>
      </c>
      <c r="P550" s="48">
        <v>0</v>
      </c>
      <c r="Q550" s="48">
        <v>0</v>
      </c>
      <c r="R550" s="48">
        <v>0</v>
      </c>
      <c r="S550" s="48">
        <v>0</v>
      </c>
      <c r="T550" s="48">
        <v>0</v>
      </c>
      <c r="U550" s="48">
        <v>0</v>
      </c>
      <c r="V550" s="48">
        <v>0</v>
      </c>
      <c r="W550" s="48">
        <v>0</v>
      </c>
      <c r="X550" s="48">
        <v>0</v>
      </c>
      <c r="Y550" s="48">
        <v>0</v>
      </c>
      <c r="Z550" s="47" t="s">
        <v>1527</v>
      </c>
      <c r="AA550" s="49" t="s">
        <v>41</v>
      </c>
      <c r="AB550" s="50" t="s">
        <v>82</v>
      </c>
      <c r="AC550" s="50" t="s">
        <v>82</v>
      </c>
      <c r="AD550" s="51"/>
    </row>
    <row r="551" spans="1:30" ht="46.5" x14ac:dyDescent="0.25">
      <c r="A551" s="37" t="s">
        <v>1528</v>
      </c>
      <c r="B551" s="38" t="s">
        <v>1529</v>
      </c>
      <c r="C551" s="39"/>
      <c r="D551" s="39"/>
      <c r="E551" s="39"/>
      <c r="F551" s="44">
        <v>0</v>
      </c>
      <c r="G551" s="44">
        <v>0</v>
      </c>
      <c r="H551" s="44">
        <v>0</v>
      </c>
      <c r="I551" s="44">
        <v>0</v>
      </c>
      <c r="J551" s="44">
        <v>0</v>
      </c>
      <c r="K551" s="44">
        <v>0</v>
      </c>
      <c r="L551" s="44">
        <v>0</v>
      </c>
      <c r="M551" s="44">
        <v>0</v>
      </c>
      <c r="N551" s="44">
        <v>0</v>
      </c>
      <c r="O551" s="44">
        <v>0</v>
      </c>
      <c r="P551" s="44">
        <v>0</v>
      </c>
      <c r="Q551" s="44">
        <v>0</v>
      </c>
      <c r="R551" s="44">
        <v>0</v>
      </c>
      <c r="S551" s="44">
        <v>0</v>
      </c>
      <c r="T551" s="44">
        <v>0</v>
      </c>
      <c r="U551" s="44">
        <v>0</v>
      </c>
      <c r="V551" s="44">
        <v>0</v>
      </c>
      <c r="W551" s="44">
        <v>0</v>
      </c>
      <c r="X551" s="44">
        <v>0</v>
      </c>
      <c r="Y551" s="44">
        <v>0</v>
      </c>
      <c r="Z551" s="39"/>
      <c r="AA551" s="41"/>
      <c r="AB551" s="42"/>
      <c r="AC551" s="42"/>
      <c r="AD551" s="43"/>
    </row>
    <row r="552" spans="1:30" ht="69.75" x14ac:dyDescent="0.25">
      <c r="A552" s="37" t="s">
        <v>1530</v>
      </c>
      <c r="B552" s="38" t="s">
        <v>1531</v>
      </c>
      <c r="C552" s="39"/>
      <c r="D552" s="39"/>
      <c r="E552" s="39"/>
      <c r="F552" s="44">
        <v>0</v>
      </c>
      <c r="G552" s="44">
        <v>0</v>
      </c>
      <c r="H552" s="44">
        <v>0</v>
      </c>
      <c r="I552" s="44">
        <v>0</v>
      </c>
      <c r="J552" s="44">
        <v>0</v>
      </c>
      <c r="K552" s="44">
        <v>0</v>
      </c>
      <c r="L552" s="44">
        <v>0</v>
      </c>
      <c r="M552" s="44">
        <v>0</v>
      </c>
      <c r="N552" s="44">
        <v>0</v>
      </c>
      <c r="O552" s="44">
        <v>0</v>
      </c>
      <c r="P552" s="44">
        <v>0</v>
      </c>
      <c r="Q552" s="44">
        <v>0</v>
      </c>
      <c r="R552" s="44">
        <v>0</v>
      </c>
      <c r="S552" s="44">
        <v>0</v>
      </c>
      <c r="T552" s="44">
        <v>0</v>
      </c>
      <c r="U552" s="44">
        <v>0</v>
      </c>
      <c r="V552" s="44">
        <v>0</v>
      </c>
      <c r="W552" s="44">
        <v>0</v>
      </c>
      <c r="X552" s="44">
        <v>0</v>
      </c>
      <c r="Y552" s="44">
        <v>0</v>
      </c>
      <c r="Z552" s="39"/>
      <c r="AA552" s="41"/>
      <c r="AB552" s="42"/>
      <c r="AC552" s="42"/>
      <c r="AD552" s="43"/>
    </row>
    <row r="553" spans="1:30" ht="69.75" x14ac:dyDescent="0.25">
      <c r="A553" s="37" t="s">
        <v>1532</v>
      </c>
      <c r="B553" s="38" t="s">
        <v>1533</v>
      </c>
      <c r="C553" s="39"/>
      <c r="D553" s="39"/>
      <c r="E553" s="39"/>
      <c r="F553" s="44">
        <v>0</v>
      </c>
      <c r="G553" s="44">
        <v>0</v>
      </c>
      <c r="H553" s="44">
        <v>0</v>
      </c>
      <c r="I553" s="44">
        <v>0</v>
      </c>
      <c r="J553" s="44">
        <v>0</v>
      </c>
      <c r="K553" s="44">
        <v>0</v>
      </c>
      <c r="L553" s="44">
        <v>0</v>
      </c>
      <c r="M553" s="44">
        <v>0</v>
      </c>
      <c r="N553" s="44">
        <v>0</v>
      </c>
      <c r="O553" s="44">
        <v>0</v>
      </c>
      <c r="P553" s="44">
        <v>0</v>
      </c>
      <c r="Q553" s="44">
        <v>0</v>
      </c>
      <c r="R553" s="44">
        <v>0</v>
      </c>
      <c r="S553" s="44">
        <v>0</v>
      </c>
      <c r="T553" s="44">
        <v>0</v>
      </c>
      <c r="U553" s="44">
        <v>0</v>
      </c>
      <c r="V553" s="44">
        <v>0</v>
      </c>
      <c r="W553" s="44">
        <v>0</v>
      </c>
      <c r="X553" s="44">
        <v>0</v>
      </c>
      <c r="Y553" s="44">
        <v>0</v>
      </c>
      <c r="Z553" s="39"/>
      <c r="AA553" s="41"/>
      <c r="AB553" s="42"/>
      <c r="AC553" s="42"/>
      <c r="AD553" s="43"/>
    </row>
    <row r="554" spans="1:30" ht="93" x14ac:dyDescent="0.25">
      <c r="A554" s="37" t="s">
        <v>1534</v>
      </c>
      <c r="B554" s="38" t="s">
        <v>1535</v>
      </c>
      <c r="C554" s="39" t="s">
        <v>693</v>
      </c>
      <c r="D554" s="39" t="s">
        <v>694</v>
      </c>
      <c r="E554" s="39" t="s">
        <v>46</v>
      </c>
      <c r="F554" s="40">
        <f>SUM(F555:F555)+2500</f>
        <v>2500</v>
      </c>
      <c r="G554" s="40">
        <f t="shared" ref="G554:N554" si="411">SUM(G555:G555)</f>
        <v>0</v>
      </c>
      <c r="H554" s="40">
        <f t="shared" si="411"/>
        <v>0</v>
      </c>
      <c r="I554" s="40">
        <f t="shared" si="411"/>
        <v>0</v>
      </c>
      <c r="J554" s="40">
        <f t="shared" si="411"/>
        <v>0</v>
      </c>
      <c r="K554" s="40">
        <f t="shared" si="411"/>
        <v>0</v>
      </c>
      <c r="L554" s="40">
        <f t="shared" si="411"/>
        <v>0</v>
      </c>
      <c r="M554" s="40">
        <f t="shared" si="411"/>
        <v>0</v>
      </c>
      <c r="N554" s="40">
        <f t="shared" si="411"/>
        <v>0</v>
      </c>
      <c r="O554" s="40">
        <f>SUM(O555:O555)+2500</f>
        <v>2500</v>
      </c>
      <c r="P554" s="40">
        <f>SUM(P555:P555)+2500</f>
        <v>2500</v>
      </c>
      <c r="Q554" s="40">
        <f t="shared" ref="Q554:X554" si="412">SUM(Q555:Q555)</f>
        <v>0</v>
      </c>
      <c r="R554" s="40">
        <f t="shared" si="412"/>
        <v>0</v>
      </c>
      <c r="S554" s="40">
        <f t="shared" si="412"/>
        <v>0</v>
      </c>
      <c r="T554" s="40">
        <f t="shared" si="412"/>
        <v>0</v>
      </c>
      <c r="U554" s="40">
        <f t="shared" si="412"/>
        <v>0</v>
      </c>
      <c r="V554" s="40">
        <f t="shared" si="412"/>
        <v>0</v>
      </c>
      <c r="W554" s="40">
        <f t="shared" si="412"/>
        <v>0</v>
      </c>
      <c r="X554" s="40">
        <f t="shared" si="412"/>
        <v>0</v>
      </c>
      <c r="Y554" s="40">
        <f>SUM(Y555:Y555)+2500</f>
        <v>2500</v>
      </c>
      <c r="Z554" s="39" t="s">
        <v>1536</v>
      </c>
      <c r="AA554" s="41" t="s">
        <v>41</v>
      </c>
      <c r="AB554" s="42" t="s">
        <v>751</v>
      </c>
      <c r="AC554" s="42" t="s">
        <v>751</v>
      </c>
      <c r="AD554" s="43"/>
    </row>
    <row r="555" spans="1:30" ht="69.75" x14ac:dyDescent="0.25">
      <c r="A555" s="37" t="s">
        <v>1537</v>
      </c>
      <c r="B555" s="38" t="s">
        <v>1538</v>
      </c>
      <c r="C555" s="39"/>
      <c r="D555" s="39"/>
      <c r="E555" s="39"/>
      <c r="F555" s="44">
        <v>0</v>
      </c>
      <c r="G555" s="44">
        <v>0</v>
      </c>
      <c r="H555" s="44">
        <v>0</v>
      </c>
      <c r="I555" s="44">
        <v>0</v>
      </c>
      <c r="J555" s="44">
        <v>0</v>
      </c>
      <c r="K555" s="44">
        <v>0</v>
      </c>
      <c r="L555" s="44">
        <v>0</v>
      </c>
      <c r="M555" s="44">
        <v>0</v>
      </c>
      <c r="N555" s="44">
        <v>0</v>
      </c>
      <c r="O555" s="44">
        <v>0</v>
      </c>
      <c r="P555" s="44">
        <v>0</v>
      </c>
      <c r="Q555" s="44">
        <v>0</v>
      </c>
      <c r="R555" s="44">
        <v>0</v>
      </c>
      <c r="S555" s="44">
        <v>0</v>
      </c>
      <c r="T555" s="44">
        <v>0</v>
      </c>
      <c r="U555" s="44">
        <v>0</v>
      </c>
      <c r="V555" s="44">
        <v>0</v>
      </c>
      <c r="W555" s="44">
        <v>0</v>
      </c>
      <c r="X555" s="44">
        <v>0</v>
      </c>
      <c r="Y555" s="44">
        <v>0</v>
      </c>
      <c r="Z555" s="39"/>
      <c r="AA555" s="41"/>
      <c r="AB555" s="42"/>
      <c r="AC555" s="42"/>
      <c r="AD555" s="43"/>
    </row>
    <row r="556" spans="1:30" ht="45" x14ac:dyDescent="0.25">
      <c r="A556" s="16" t="s">
        <v>1539</v>
      </c>
      <c r="B556" s="17" t="s">
        <v>1540</v>
      </c>
      <c r="C556" s="18" t="s">
        <v>1541</v>
      </c>
      <c r="D556" s="18" t="s">
        <v>1542</v>
      </c>
      <c r="E556" s="18"/>
      <c r="F556" s="19">
        <f t="shared" ref="F556:Y556" si="413">F557+F604+F744+F763+F767+F776+F810+F819</f>
        <v>21591874.729999997</v>
      </c>
      <c r="G556" s="19">
        <f t="shared" si="413"/>
        <v>5260490.7800000012</v>
      </c>
      <c r="H556" s="19">
        <f t="shared" si="413"/>
        <v>130032.82</v>
      </c>
      <c r="I556" s="19">
        <f t="shared" si="413"/>
        <v>0</v>
      </c>
      <c r="J556" s="19">
        <f t="shared" si="413"/>
        <v>3039490.93</v>
      </c>
      <c r="K556" s="19">
        <f t="shared" si="413"/>
        <v>0</v>
      </c>
      <c r="L556" s="19">
        <f t="shared" si="413"/>
        <v>788433.99</v>
      </c>
      <c r="M556" s="19">
        <f t="shared" si="413"/>
        <v>11272090.209999999</v>
      </c>
      <c r="N556" s="19">
        <f t="shared" si="413"/>
        <v>0</v>
      </c>
      <c r="O556" s="19">
        <f t="shared" si="413"/>
        <v>0</v>
      </c>
      <c r="P556" s="19">
        <f t="shared" si="413"/>
        <v>21080297.399999999</v>
      </c>
      <c r="Q556" s="19">
        <f t="shared" si="413"/>
        <v>2455310.2900000005</v>
      </c>
      <c r="R556" s="19">
        <f t="shared" si="413"/>
        <v>52531.31</v>
      </c>
      <c r="S556" s="19">
        <f t="shared" si="413"/>
        <v>0</v>
      </c>
      <c r="T556" s="19">
        <f t="shared" si="413"/>
        <v>0</v>
      </c>
      <c r="U556" s="19">
        <f t="shared" si="413"/>
        <v>0</v>
      </c>
      <c r="V556" s="19">
        <f t="shared" si="413"/>
        <v>0</v>
      </c>
      <c r="W556" s="19">
        <f t="shared" si="413"/>
        <v>10128028.209999999</v>
      </c>
      <c r="X556" s="19">
        <f t="shared" si="413"/>
        <v>0</v>
      </c>
      <c r="Y556" s="19">
        <f t="shared" si="413"/>
        <v>0</v>
      </c>
      <c r="Z556" s="18"/>
      <c r="AA556" s="20"/>
      <c r="AB556" s="21"/>
      <c r="AC556" s="21"/>
      <c r="AD556" s="22"/>
    </row>
    <row r="557" spans="1:30" ht="67.5" x14ac:dyDescent="0.25">
      <c r="A557" s="23" t="s">
        <v>1543</v>
      </c>
      <c r="B557" s="24" t="s">
        <v>548</v>
      </c>
      <c r="C557" s="25" t="s">
        <v>1541</v>
      </c>
      <c r="D557" s="25" t="s">
        <v>1544</v>
      </c>
      <c r="E557" s="25"/>
      <c r="F557" s="26">
        <f t="shared" ref="F557:Y557" si="414">F558+F576+F585+F601</f>
        <v>3126448.42</v>
      </c>
      <c r="G557" s="26">
        <f t="shared" si="414"/>
        <v>1195337.3599999999</v>
      </c>
      <c r="H557" s="26">
        <f t="shared" si="414"/>
        <v>15613.58</v>
      </c>
      <c r="I557" s="26">
        <f t="shared" si="414"/>
        <v>0</v>
      </c>
      <c r="J557" s="26">
        <f t="shared" si="414"/>
        <v>963536.93</v>
      </c>
      <c r="K557" s="26">
        <f t="shared" si="414"/>
        <v>0</v>
      </c>
      <c r="L557" s="26">
        <f t="shared" si="414"/>
        <v>0</v>
      </c>
      <c r="M557" s="26">
        <f t="shared" si="414"/>
        <v>950790.55</v>
      </c>
      <c r="N557" s="26">
        <f t="shared" si="414"/>
        <v>0</v>
      </c>
      <c r="O557" s="26">
        <f t="shared" si="414"/>
        <v>0</v>
      </c>
      <c r="P557" s="26">
        <f t="shared" si="414"/>
        <v>3114298.1500000004</v>
      </c>
      <c r="Q557" s="26">
        <f t="shared" si="414"/>
        <v>1116005.97</v>
      </c>
      <c r="R557" s="26">
        <f t="shared" si="414"/>
        <v>12426</v>
      </c>
      <c r="S557" s="26">
        <f t="shared" si="414"/>
        <v>0</v>
      </c>
      <c r="T557" s="26">
        <f t="shared" si="414"/>
        <v>0</v>
      </c>
      <c r="U557" s="26">
        <f t="shared" si="414"/>
        <v>0</v>
      </c>
      <c r="V557" s="26">
        <f t="shared" si="414"/>
        <v>0</v>
      </c>
      <c r="W557" s="26">
        <f t="shared" si="414"/>
        <v>0</v>
      </c>
      <c r="X557" s="26">
        <f t="shared" si="414"/>
        <v>0</v>
      </c>
      <c r="Y557" s="26">
        <f t="shared" si="414"/>
        <v>0</v>
      </c>
      <c r="Z557" s="25" t="s">
        <v>549</v>
      </c>
      <c r="AA557" s="27" t="s">
        <v>35</v>
      </c>
      <c r="AB557" s="28" t="s">
        <v>1315</v>
      </c>
      <c r="AC557" s="28" t="s">
        <v>1545</v>
      </c>
      <c r="AD557" s="29"/>
    </row>
    <row r="558" spans="1:30" ht="67.5" x14ac:dyDescent="0.25">
      <c r="A558" s="30" t="s">
        <v>1546</v>
      </c>
      <c r="B558" s="31" t="s">
        <v>1547</v>
      </c>
      <c r="C558" s="32" t="s">
        <v>1541</v>
      </c>
      <c r="D558" s="32" t="s">
        <v>1544</v>
      </c>
      <c r="E558" s="32" t="s">
        <v>39</v>
      </c>
      <c r="F558" s="33">
        <f t="shared" ref="F558:Y558" si="415">F559+F564+F566+F568+F572+F574</f>
        <v>1940219.6600000001</v>
      </c>
      <c r="G558" s="33">
        <f t="shared" si="415"/>
        <v>956068.15</v>
      </c>
      <c r="H558" s="33">
        <f t="shared" si="415"/>
        <v>15613.58</v>
      </c>
      <c r="I558" s="33">
        <f t="shared" si="415"/>
        <v>0</v>
      </c>
      <c r="J558" s="33">
        <f t="shared" si="415"/>
        <v>961136.93</v>
      </c>
      <c r="K558" s="33">
        <f t="shared" si="415"/>
        <v>0</v>
      </c>
      <c r="L558" s="33">
        <f t="shared" si="415"/>
        <v>0</v>
      </c>
      <c r="M558" s="33">
        <f t="shared" si="415"/>
        <v>7401</v>
      </c>
      <c r="N558" s="33">
        <f t="shared" si="415"/>
        <v>0</v>
      </c>
      <c r="O558" s="33">
        <f t="shared" si="415"/>
        <v>0</v>
      </c>
      <c r="P558" s="33">
        <f t="shared" si="415"/>
        <v>1937104.58</v>
      </c>
      <c r="Q558" s="33">
        <f t="shared" si="415"/>
        <v>877527.07000000007</v>
      </c>
      <c r="R558" s="33">
        <f t="shared" si="415"/>
        <v>12426</v>
      </c>
      <c r="S558" s="33">
        <f t="shared" si="415"/>
        <v>0</v>
      </c>
      <c r="T558" s="33">
        <f t="shared" si="415"/>
        <v>0</v>
      </c>
      <c r="U558" s="33">
        <f t="shared" si="415"/>
        <v>0</v>
      </c>
      <c r="V558" s="33">
        <f t="shared" si="415"/>
        <v>0</v>
      </c>
      <c r="W558" s="33">
        <f t="shared" si="415"/>
        <v>0</v>
      </c>
      <c r="X558" s="33">
        <f t="shared" si="415"/>
        <v>0</v>
      </c>
      <c r="Y558" s="33">
        <f t="shared" si="415"/>
        <v>0</v>
      </c>
      <c r="Z558" s="32" t="s">
        <v>552</v>
      </c>
      <c r="AA558" s="34" t="s">
        <v>41</v>
      </c>
      <c r="AB558" s="35" t="s">
        <v>1548</v>
      </c>
      <c r="AC558" s="35" t="s">
        <v>1549</v>
      </c>
      <c r="AD558" s="36" t="s">
        <v>1550</v>
      </c>
    </row>
    <row r="559" spans="1:30" ht="69.75" x14ac:dyDescent="0.25">
      <c r="A559" s="37" t="s">
        <v>1551</v>
      </c>
      <c r="B559" s="38" t="s">
        <v>1552</v>
      </c>
      <c r="C559" s="39" t="s">
        <v>1541</v>
      </c>
      <c r="D559" s="39" t="s">
        <v>1553</v>
      </c>
      <c r="E559" s="39" t="s">
        <v>46</v>
      </c>
      <c r="F559" s="40">
        <f>SUM(F560:F563)+169727.58</f>
        <v>169727.58</v>
      </c>
      <c r="G559" s="40">
        <f>SUM(G560:G563)+85713</f>
        <v>85713</v>
      </c>
      <c r="H559" s="40">
        <f>SUM(H560:H563)+15613.58</f>
        <v>15613.58</v>
      </c>
      <c r="I559" s="40">
        <f>SUM(I560:I563)</f>
        <v>0</v>
      </c>
      <c r="J559" s="40">
        <f>SUM(J560:J563)+61000</f>
        <v>61000</v>
      </c>
      <c r="K559" s="40">
        <f>SUM(K560:K563)</f>
        <v>0</v>
      </c>
      <c r="L559" s="40">
        <f>SUM(L560:L563)</f>
        <v>0</v>
      </c>
      <c r="M559" s="40">
        <f>SUM(M560:M563)+7401</f>
        <v>7401</v>
      </c>
      <c r="N559" s="40">
        <f>SUM(N560:N563)</f>
        <v>0</v>
      </c>
      <c r="O559" s="40">
        <f>SUM(O560:O563)</f>
        <v>0</v>
      </c>
      <c r="P559" s="40">
        <f>SUM(P560:P563)+166941.74</f>
        <v>166941.74</v>
      </c>
      <c r="Q559" s="40">
        <f>SUM(Q560:Q563)+85501.16</f>
        <v>85501.16</v>
      </c>
      <c r="R559" s="40">
        <f>SUM(R560:R563)+12426</f>
        <v>12426</v>
      </c>
      <c r="S559" s="40">
        <f t="shared" ref="S559:Y559" si="416">SUM(S560:S563)</f>
        <v>0</v>
      </c>
      <c r="T559" s="40">
        <f t="shared" si="416"/>
        <v>0</v>
      </c>
      <c r="U559" s="40">
        <f t="shared" si="416"/>
        <v>0</v>
      </c>
      <c r="V559" s="40">
        <f t="shared" si="416"/>
        <v>0</v>
      </c>
      <c r="W559" s="40">
        <f t="shared" si="416"/>
        <v>0</v>
      </c>
      <c r="X559" s="40">
        <f t="shared" si="416"/>
        <v>0</v>
      </c>
      <c r="Y559" s="40">
        <f t="shared" si="416"/>
        <v>0</v>
      </c>
      <c r="Z559" s="39" t="s">
        <v>1554</v>
      </c>
      <c r="AA559" s="41" t="s">
        <v>41</v>
      </c>
      <c r="AB559" s="42" t="s">
        <v>162</v>
      </c>
      <c r="AC559" s="42" t="s">
        <v>162</v>
      </c>
      <c r="AD559" s="43"/>
    </row>
    <row r="560" spans="1:30" ht="69.75" x14ac:dyDescent="0.25">
      <c r="A560" s="45"/>
      <c r="B560" s="46"/>
      <c r="C560" s="47"/>
      <c r="D560" s="47"/>
      <c r="E560" s="47"/>
      <c r="F560" s="48">
        <v>0</v>
      </c>
      <c r="G560" s="48">
        <v>0</v>
      </c>
      <c r="H560" s="48">
        <v>0</v>
      </c>
      <c r="I560" s="48">
        <v>0</v>
      </c>
      <c r="J560" s="48">
        <v>0</v>
      </c>
      <c r="K560" s="48">
        <v>0</v>
      </c>
      <c r="L560" s="48">
        <v>0</v>
      </c>
      <c r="M560" s="48">
        <v>0</v>
      </c>
      <c r="N560" s="48">
        <v>0</v>
      </c>
      <c r="O560" s="48">
        <v>0</v>
      </c>
      <c r="P560" s="48">
        <v>0</v>
      </c>
      <c r="Q560" s="48">
        <v>0</v>
      </c>
      <c r="R560" s="48">
        <v>0</v>
      </c>
      <c r="S560" s="48">
        <v>0</v>
      </c>
      <c r="T560" s="48">
        <v>0</v>
      </c>
      <c r="U560" s="48">
        <v>0</v>
      </c>
      <c r="V560" s="48">
        <v>0</v>
      </c>
      <c r="W560" s="48">
        <v>0</v>
      </c>
      <c r="X560" s="48">
        <v>0</v>
      </c>
      <c r="Y560" s="48">
        <v>0</v>
      </c>
      <c r="Z560" s="47" t="s">
        <v>1555</v>
      </c>
      <c r="AA560" s="49" t="s">
        <v>41</v>
      </c>
      <c r="AB560" s="50" t="s">
        <v>162</v>
      </c>
      <c r="AC560" s="50" t="s">
        <v>162</v>
      </c>
      <c r="AD560" s="51"/>
    </row>
    <row r="561" spans="1:30" ht="69.75" x14ac:dyDescent="0.25">
      <c r="A561" s="37" t="s">
        <v>1556</v>
      </c>
      <c r="B561" s="38" t="s">
        <v>1557</v>
      </c>
      <c r="C561" s="39"/>
      <c r="D561" s="39"/>
      <c r="E561" s="39"/>
      <c r="F561" s="44">
        <v>0</v>
      </c>
      <c r="G561" s="44">
        <v>0</v>
      </c>
      <c r="H561" s="44">
        <v>0</v>
      </c>
      <c r="I561" s="44">
        <v>0</v>
      </c>
      <c r="J561" s="44">
        <v>0</v>
      </c>
      <c r="K561" s="44">
        <v>0</v>
      </c>
      <c r="L561" s="44">
        <v>0</v>
      </c>
      <c r="M561" s="44">
        <v>0</v>
      </c>
      <c r="N561" s="44">
        <v>0</v>
      </c>
      <c r="O561" s="44">
        <v>0</v>
      </c>
      <c r="P561" s="44">
        <v>0</v>
      </c>
      <c r="Q561" s="44">
        <v>0</v>
      </c>
      <c r="R561" s="44">
        <v>0</v>
      </c>
      <c r="S561" s="44">
        <v>0</v>
      </c>
      <c r="T561" s="44">
        <v>0</v>
      </c>
      <c r="U561" s="44">
        <v>0</v>
      </c>
      <c r="V561" s="44">
        <v>0</v>
      </c>
      <c r="W561" s="44">
        <v>0</v>
      </c>
      <c r="X561" s="44">
        <v>0</v>
      </c>
      <c r="Y561" s="44">
        <v>0</v>
      </c>
      <c r="Z561" s="39"/>
      <c r="AA561" s="41"/>
      <c r="AB561" s="42"/>
      <c r="AC561" s="42"/>
      <c r="AD561" s="43"/>
    </row>
    <row r="562" spans="1:30" ht="69.75" x14ac:dyDescent="0.25">
      <c r="A562" s="37" t="s">
        <v>1558</v>
      </c>
      <c r="B562" s="38" t="s">
        <v>1559</v>
      </c>
      <c r="C562" s="39"/>
      <c r="D562" s="39"/>
      <c r="E562" s="39"/>
      <c r="F562" s="44">
        <v>0</v>
      </c>
      <c r="G562" s="44">
        <v>0</v>
      </c>
      <c r="H562" s="44">
        <v>0</v>
      </c>
      <c r="I562" s="44">
        <v>0</v>
      </c>
      <c r="J562" s="44">
        <v>0</v>
      </c>
      <c r="K562" s="44">
        <v>0</v>
      </c>
      <c r="L562" s="44">
        <v>0</v>
      </c>
      <c r="M562" s="44">
        <v>0</v>
      </c>
      <c r="N562" s="44">
        <v>0</v>
      </c>
      <c r="O562" s="44">
        <v>0</v>
      </c>
      <c r="P562" s="44">
        <v>0</v>
      </c>
      <c r="Q562" s="44">
        <v>0</v>
      </c>
      <c r="R562" s="44">
        <v>0</v>
      </c>
      <c r="S562" s="44">
        <v>0</v>
      </c>
      <c r="T562" s="44">
        <v>0</v>
      </c>
      <c r="U562" s="44">
        <v>0</v>
      </c>
      <c r="V562" s="44">
        <v>0</v>
      </c>
      <c r="W562" s="44">
        <v>0</v>
      </c>
      <c r="X562" s="44">
        <v>0</v>
      </c>
      <c r="Y562" s="44">
        <v>0</v>
      </c>
      <c r="Z562" s="39"/>
      <c r="AA562" s="41"/>
      <c r="AB562" s="42"/>
      <c r="AC562" s="42"/>
      <c r="AD562" s="43"/>
    </row>
    <row r="563" spans="1:30" ht="93" x14ac:dyDescent="0.25">
      <c r="A563" s="37" t="s">
        <v>1560</v>
      </c>
      <c r="B563" s="38" t="s">
        <v>1561</v>
      </c>
      <c r="C563" s="39"/>
      <c r="D563" s="39"/>
      <c r="E563" s="39"/>
      <c r="F563" s="44">
        <v>0</v>
      </c>
      <c r="G563" s="44">
        <v>0</v>
      </c>
      <c r="H563" s="44">
        <v>0</v>
      </c>
      <c r="I563" s="44">
        <v>0</v>
      </c>
      <c r="J563" s="44">
        <v>0</v>
      </c>
      <c r="K563" s="44">
        <v>0</v>
      </c>
      <c r="L563" s="44">
        <v>0</v>
      </c>
      <c r="M563" s="44">
        <v>0</v>
      </c>
      <c r="N563" s="44">
        <v>0</v>
      </c>
      <c r="O563" s="44">
        <v>0</v>
      </c>
      <c r="P563" s="44">
        <v>0</v>
      </c>
      <c r="Q563" s="44">
        <v>0</v>
      </c>
      <c r="R563" s="44">
        <v>0</v>
      </c>
      <c r="S563" s="44">
        <v>0</v>
      </c>
      <c r="T563" s="44">
        <v>0</v>
      </c>
      <c r="U563" s="44">
        <v>0</v>
      </c>
      <c r="V563" s="44">
        <v>0</v>
      </c>
      <c r="W563" s="44">
        <v>0</v>
      </c>
      <c r="X563" s="44">
        <v>0</v>
      </c>
      <c r="Y563" s="44">
        <v>0</v>
      </c>
      <c r="Z563" s="39"/>
      <c r="AA563" s="41"/>
      <c r="AB563" s="42"/>
      <c r="AC563" s="42"/>
      <c r="AD563" s="43"/>
    </row>
    <row r="564" spans="1:30" ht="69.75" x14ac:dyDescent="0.25">
      <c r="A564" s="37" t="s">
        <v>1562</v>
      </c>
      <c r="B564" s="38" t="s">
        <v>1563</v>
      </c>
      <c r="C564" s="39" t="s">
        <v>1541</v>
      </c>
      <c r="D564" s="39" t="s">
        <v>1564</v>
      </c>
      <c r="E564" s="39" t="s">
        <v>46</v>
      </c>
      <c r="F564" s="40">
        <f>SUM(F565:F565)+143208.15</f>
        <v>143208.15</v>
      </c>
      <c r="G564" s="40">
        <f>SUM(G565:G565)+143208.15</f>
        <v>143208.15</v>
      </c>
      <c r="H564" s="40">
        <f t="shared" ref="H564:O564" si="417">SUM(H565:H565)</f>
        <v>0</v>
      </c>
      <c r="I564" s="40">
        <f t="shared" si="417"/>
        <v>0</v>
      </c>
      <c r="J564" s="40">
        <f t="shared" si="417"/>
        <v>0</v>
      </c>
      <c r="K564" s="40">
        <f t="shared" si="417"/>
        <v>0</v>
      </c>
      <c r="L564" s="40">
        <f t="shared" si="417"/>
        <v>0</v>
      </c>
      <c r="M564" s="40">
        <f t="shared" si="417"/>
        <v>0</v>
      </c>
      <c r="N564" s="40">
        <f t="shared" si="417"/>
        <v>0</v>
      </c>
      <c r="O564" s="40">
        <f t="shared" si="417"/>
        <v>0</v>
      </c>
      <c r="P564" s="40">
        <f>SUM(P565:P565)+143208.15</f>
        <v>143208.15</v>
      </c>
      <c r="Q564" s="40">
        <f>SUM(Q565:Q565)+65208.15</f>
        <v>65208.15</v>
      </c>
      <c r="R564" s="40">
        <f t="shared" ref="R564:Y564" si="418">SUM(R565:R565)</f>
        <v>0</v>
      </c>
      <c r="S564" s="40">
        <f t="shared" si="418"/>
        <v>0</v>
      </c>
      <c r="T564" s="40">
        <f t="shared" si="418"/>
        <v>0</v>
      </c>
      <c r="U564" s="40">
        <f t="shared" si="418"/>
        <v>0</v>
      </c>
      <c r="V564" s="40">
        <f t="shared" si="418"/>
        <v>0</v>
      </c>
      <c r="W564" s="40">
        <f t="shared" si="418"/>
        <v>0</v>
      </c>
      <c r="X564" s="40">
        <f t="shared" si="418"/>
        <v>0</v>
      </c>
      <c r="Y564" s="40">
        <f t="shared" si="418"/>
        <v>0</v>
      </c>
      <c r="Z564" s="39" t="s">
        <v>1565</v>
      </c>
      <c r="AA564" s="41" t="s">
        <v>41</v>
      </c>
      <c r="AB564" s="42" t="s">
        <v>1566</v>
      </c>
      <c r="AC564" s="42" t="s">
        <v>1567</v>
      </c>
      <c r="AD564" s="43" t="s">
        <v>1568</v>
      </c>
    </row>
    <row r="565" spans="1:30" ht="46.5" x14ac:dyDescent="0.25">
      <c r="A565" s="37" t="s">
        <v>1569</v>
      </c>
      <c r="B565" s="38" t="s">
        <v>1570</v>
      </c>
      <c r="C565" s="39"/>
      <c r="D565" s="39"/>
      <c r="E565" s="39"/>
      <c r="F565" s="44">
        <v>0</v>
      </c>
      <c r="G565" s="44">
        <v>0</v>
      </c>
      <c r="H565" s="44">
        <v>0</v>
      </c>
      <c r="I565" s="44">
        <v>0</v>
      </c>
      <c r="J565" s="44">
        <v>0</v>
      </c>
      <c r="K565" s="44">
        <v>0</v>
      </c>
      <c r="L565" s="44">
        <v>0</v>
      </c>
      <c r="M565" s="44">
        <v>0</v>
      </c>
      <c r="N565" s="44">
        <v>0</v>
      </c>
      <c r="O565" s="44">
        <v>0</v>
      </c>
      <c r="P565" s="44">
        <v>0</v>
      </c>
      <c r="Q565" s="44">
        <v>0</v>
      </c>
      <c r="R565" s="44">
        <v>0</v>
      </c>
      <c r="S565" s="44">
        <v>0</v>
      </c>
      <c r="T565" s="44">
        <v>0</v>
      </c>
      <c r="U565" s="44">
        <v>0</v>
      </c>
      <c r="V565" s="44">
        <v>0</v>
      </c>
      <c r="W565" s="44">
        <v>0</v>
      </c>
      <c r="X565" s="44">
        <v>0</v>
      </c>
      <c r="Y565" s="44">
        <v>0</v>
      </c>
      <c r="Z565" s="39"/>
      <c r="AA565" s="41"/>
      <c r="AB565" s="42"/>
      <c r="AC565" s="42"/>
      <c r="AD565" s="43"/>
    </row>
    <row r="566" spans="1:30" ht="139.5" x14ac:dyDescent="0.25">
      <c r="A566" s="37" t="s">
        <v>1571</v>
      </c>
      <c r="B566" s="38" t="s">
        <v>1572</v>
      </c>
      <c r="C566" s="39" t="s">
        <v>1541</v>
      </c>
      <c r="D566" s="39" t="s">
        <v>1573</v>
      </c>
      <c r="E566" s="39" t="s">
        <v>46</v>
      </c>
      <c r="F566" s="40">
        <f>SUM(F567:F567)+86261</f>
        <v>86261</v>
      </c>
      <c r="G566" s="40">
        <f>SUM(G567:G567)+86261</f>
        <v>86261</v>
      </c>
      <c r="H566" s="40">
        <f t="shared" ref="H566:O566" si="419">SUM(H567:H567)</f>
        <v>0</v>
      </c>
      <c r="I566" s="40">
        <f t="shared" si="419"/>
        <v>0</v>
      </c>
      <c r="J566" s="40">
        <f t="shared" si="419"/>
        <v>0</v>
      </c>
      <c r="K566" s="40">
        <f t="shared" si="419"/>
        <v>0</v>
      </c>
      <c r="L566" s="40">
        <f t="shared" si="419"/>
        <v>0</v>
      </c>
      <c r="M566" s="40">
        <f t="shared" si="419"/>
        <v>0</v>
      </c>
      <c r="N566" s="40">
        <f t="shared" si="419"/>
        <v>0</v>
      </c>
      <c r="O566" s="40">
        <f t="shared" si="419"/>
        <v>0</v>
      </c>
      <c r="P566" s="40">
        <f>SUM(P567:P567)+86219.75</f>
        <v>86219.75</v>
      </c>
      <c r="Q566" s="40">
        <f>SUM(Q567:Q567)+86219.75</f>
        <v>86219.75</v>
      </c>
      <c r="R566" s="40">
        <f t="shared" ref="R566:Y566" si="420">SUM(R567:R567)</f>
        <v>0</v>
      </c>
      <c r="S566" s="40">
        <f t="shared" si="420"/>
        <v>0</v>
      </c>
      <c r="T566" s="40">
        <f t="shared" si="420"/>
        <v>0</v>
      </c>
      <c r="U566" s="40">
        <f t="shared" si="420"/>
        <v>0</v>
      </c>
      <c r="V566" s="40">
        <f t="shared" si="420"/>
        <v>0</v>
      </c>
      <c r="W566" s="40">
        <f t="shared" si="420"/>
        <v>0</v>
      </c>
      <c r="X566" s="40">
        <f t="shared" si="420"/>
        <v>0</v>
      </c>
      <c r="Y566" s="40">
        <f t="shared" si="420"/>
        <v>0</v>
      </c>
      <c r="Z566" s="39" t="s">
        <v>1574</v>
      </c>
      <c r="AA566" s="41" t="s">
        <v>41</v>
      </c>
      <c r="AB566" s="42" t="s">
        <v>49</v>
      </c>
      <c r="AC566" s="42" t="s">
        <v>434</v>
      </c>
      <c r="AD566" s="43" t="s">
        <v>1575</v>
      </c>
    </row>
    <row r="567" spans="1:30" ht="93" x14ac:dyDescent="0.25">
      <c r="A567" s="37" t="s">
        <v>1576</v>
      </c>
      <c r="B567" s="38" t="s">
        <v>1577</v>
      </c>
      <c r="C567" s="39"/>
      <c r="D567" s="39"/>
      <c r="E567" s="39"/>
      <c r="F567" s="44">
        <v>0</v>
      </c>
      <c r="G567" s="44">
        <v>0</v>
      </c>
      <c r="H567" s="44">
        <v>0</v>
      </c>
      <c r="I567" s="44">
        <v>0</v>
      </c>
      <c r="J567" s="44">
        <v>0</v>
      </c>
      <c r="K567" s="44">
        <v>0</v>
      </c>
      <c r="L567" s="44">
        <v>0</v>
      </c>
      <c r="M567" s="44">
        <v>0</v>
      </c>
      <c r="N567" s="44">
        <v>0</v>
      </c>
      <c r="O567" s="44">
        <v>0</v>
      </c>
      <c r="P567" s="44">
        <v>0</v>
      </c>
      <c r="Q567" s="44">
        <v>0</v>
      </c>
      <c r="R567" s="44">
        <v>0</v>
      </c>
      <c r="S567" s="44">
        <v>0</v>
      </c>
      <c r="T567" s="44">
        <v>0</v>
      </c>
      <c r="U567" s="44">
        <v>0</v>
      </c>
      <c r="V567" s="44">
        <v>0</v>
      </c>
      <c r="W567" s="44">
        <v>0</v>
      </c>
      <c r="X567" s="44">
        <v>0</v>
      </c>
      <c r="Y567" s="44">
        <v>0</v>
      </c>
      <c r="Z567" s="39"/>
      <c r="AA567" s="41"/>
      <c r="AB567" s="42"/>
      <c r="AC567" s="42"/>
      <c r="AD567" s="43"/>
    </row>
    <row r="568" spans="1:30" ht="69.75" x14ac:dyDescent="0.25">
      <c r="A568" s="37" t="s">
        <v>1578</v>
      </c>
      <c r="B568" s="38" t="s">
        <v>1579</v>
      </c>
      <c r="C568" s="39" t="s">
        <v>1541</v>
      </c>
      <c r="D568" s="39" t="s">
        <v>1564</v>
      </c>
      <c r="E568" s="39" t="s">
        <v>46</v>
      </c>
      <c r="F568" s="40">
        <f>SUM(F569:F571)+89082</f>
        <v>89082</v>
      </c>
      <c r="G568" s="40">
        <f>SUM(G569:G571)+89082</f>
        <v>89082</v>
      </c>
      <c r="H568" s="40">
        <f t="shared" ref="H568:O568" si="421">SUM(H569:H571)</f>
        <v>0</v>
      </c>
      <c r="I568" s="40">
        <f t="shared" si="421"/>
        <v>0</v>
      </c>
      <c r="J568" s="40">
        <f t="shared" si="421"/>
        <v>0</v>
      </c>
      <c r="K568" s="40">
        <f t="shared" si="421"/>
        <v>0</v>
      </c>
      <c r="L568" s="40">
        <f t="shared" si="421"/>
        <v>0</v>
      </c>
      <c r="M568" s="40">
        <f t="shared" si="421"/>
        <v>0</v>
      </c>
      <c r="N568" s="40">
        <f t="shared" si="421"/>
        <v>0</v>
      </c>
      <c r="O568" s="40">
        <f t="shared" si="421"/>
        <v>0</v>
      </c>
      <c r="P568" s="40">
        <f>SUM(P569:P571)+89082</f>
        <v>89082</v>
      </c>
      <c r="Q568" s="40">
        <f>SUM(Q569:Q571)+89082</f>
        <v>89082</v>
      </c>
      <c r="R568" s="40">
        <f t="shared" ref="R568:Y568" si="422">SUM(R569:R571)</f>
        <v>0</v>
      </c>
      <c r="S568" s="40">
        <f t="shared" si="422"/>
        <v>0</v>
      </c>
      <c r="T568" s="40">
        <f t="shared" si="422"/>
        <v>0</v>
      </c>
      <c r="U568" s="40">
        <f t="shared" si="422"/>
        <v>0</v>
      </c>
      <c r="V568" s="40">
        <f t="shared" si="422"/>
        <v>0</v>
      </c>
      <c r="W568" s="40">
        <f t="shared" si="422"/>
        <v>0</v>
      </c>
      <c r="X568" s="40">
        <f t="shared" si="422"/>
        <v>0</v>
      </c>
      <c r="Y568" s="40">
        <f t="shared" si="422"/>
        <v>0</v>
      </c>
      <c r="Z568" s="39" t="s">
        <v>1580</v>
      </c>
      <c r="AA568" s="41" t="s">
        <v>41</v>
      </c>
      <c r="AB568" s="42" t="s">
        <v>139</v>
      </c>
      <c r="AC568" s="42" t="s">
        <v>139</v>
      </c>
      <c r="AD568" s="43"/>
    </row>
    <row r="569" spans="1:30" ht="46.5" x14ac:dyDescent="0.25">
      <c r="A569" s="37" t="s">
        <v>1581</v>
      </c>
      <c r="B569" s="38" t="s">
        <v>1582</v>
      </c>
      <c r="C569" s="39"/>
      <c r="D569" s="39"/>
      <c r="E569" s="39"/>
      <c r="F569" s="44">
        <v>0</v>
      </c>
      <c r="G569" s="44">
        <v>0</v>
      </c>
      <c r="H569" s="44">
        <v>0</v>
      </c>
      <c r="I569" s="44">
        <v>0</v>
      </c>
      <c r="J569" s="44">
        <v>0</v>
      </c>
      <c r="K569" s="44">
        <v>0</v>
      </c>
      <c r="L569" s="44">
        <v>0</v>
      </c>
      <c r="M569" s="44">
        <v>0</v>
      </c>
      <c r="N569" s="44">
        <v>0</v>
      </c>
      <c r="O569" s="44">
        <v>0</v>
      </c>
      <c r="P569" s="44">
        <v>0</v>
      </c>
      <c r="Q569" s="44">
        <v>0</v>
      </c>
      <c r="R569" s="44">
        <v>0</v>
      </c>
      <c r="S569" s="44">
        <v>0</v>
      </c>
      <c r="T569" s="44">
        <v>0</v>
      </c>
      <c r="U569" s="44">
        <v>0</v>
      </c>
      <c r="V569" s="44">
        <v>0</v>
      </c>
      <c r="W569" s="44">
        <v>0</v>
      </c>
      <c r="X569" s="44">
        <v>0</v>
      </c>
      <c r="Y569" s="44">
        <v>0</v>
      </c>
      <c r="Z569" s="39"/>
      <c r="AA569" s="41"/>
      <c r="AB569" s="42"/>
      <c r="AC569" s="42"/>
      <c r="AD569" s="43"/>
    </row>
    <row r="570" spans="1:30" ht="69.75" x14ac:dyDescent="0.25">
      <c r="A570" s="37" t="s">
        <v>1583</v>
      </c>
      <c r="B570" s="38" t="s">
        <v>1584</v>
      </c>
      <c r="C570" s="39"/>
      <c r="D570" s="39"/>
      <c r="E570" s="39"/>
      <c r="F570" s="44">
        <v>0</v>
      </c>
      <c r="G570" s="44">
        <v>0</v>
      </c>
      <c r="H570" s="44">
        <v>0</v>
      </c>
      <c r="I570" s="44">
        <v>0</v>
      </c>
      <c r="J570" s="44">
        <v>0</v>
      </c>
      <c r="K570" s="44">
        <v>0</v>
      </c>
      <c r="L570" s="44">
        <v>0</v>
      </c>
      <c r="M570" s="44">
        <v>0</v>
      </c>
      <c r="N570" s="44">
        <v>0</v>
      </c>
      <c r="O570" s="44">
        <v>0</v>
      </c>
      <c r="P570" s="44">
        <v>0</v>
      </c>
      <c r="Q570" s="44">
        <v>0</v>
      </c>
      <c r="R570" s="44">
        <v>0</v>
      </c>
      <c r="S570" s="44">
        <v>0</v>
      </c>
      <c r="T570" s="44">
        <v>0</v>
      </c>
      <c r="U570" s="44">
        <v>0</v>
      </c>
      <c r="V570" s="44">
        <v>0</v>
      </c>
      <c r="W570" s="44">
        <v>0</v>
      </c>
      <c r="X570" s="44">
        <v>0</v>
      </c>
      <c r="Y570" s="44">
        <v>0</v>
      </c>
      <c r="Z570" s="39"/>
      <c r="AA570" s="41"/>
      <c r="AB570" s="42"/>
      <c r="AC570" s="42"/>
      <c r="AD570" s="43"/>
    </row>
    <row r="571" spans="1:30" ht="46.5" x14ac:dyDescent="0.25">
      <c r="A571" s="37" t="s">
        <v>1585</v>
      </c>
      <c r="B571" s="38" t="s">
        <v>1586</v>
      </c>
      <c r="C571" s="39"/>
      <c r="D571" s="39"/>
      <c r="E571" s="39"/>
      <c r="F571" s="44">
        <v>0</v>
      </c>
      <c r="G571" s="44">
        <v>0</v>
      </c>
      <c r="H571" s="44">
        <v>0</v>
      </c>
      <c r="I571" s="44">
        <v>0</v>
      </c>
      <c r="J571" s="44">
        <v>0</v>
      </c>
      <c r="K571" s="44">
        <v>0</v>
      </c>
      <c r="L571" s="44">
        <v>0</v>
      </c>
      <c r="M571" s="44">
        <v>0</v>
      </c>
      <c r="N571" s="44">
        <v>0</v>
      </c>
      <c r="O571" s="44">
        <v>0</v>
      </c>
      <c r="P571" s="44">
        <v>0</v>
      </c>
      <c r="Q571" s="44">
        <v>0</v>
      </c>
      <c r="R571" s="44">
        <v>0</v>
      </c>
      <c r="S571" s="44">
        <v>0</v>
      </c>
      <c r="T571" s="44">
        <v>0</v>
      </c>
      <c r="U571" s="44">
        <v>0</v>
      </c>
      <c r="V571" s="44">
        <v>0</v>
      </c>
      <c r="W571" s="44">
        <v>0</v>
      </c>
      <c r="X571" s="44">
        <v>0</v>
      </c>
      <c r="Y571" s="44">
        <v>0</v>
      </c>
      <c r="Z571" s="39"/>
      <c r="AA571" s="41"/>
      <c r="AB571" s="42"/>
      <c r="AC571" s="42"/>
      <c r="AD571" s="43"/>
    </row>
    <row r="572" spans="1:30" ht="116.25" x14ac:dyDescent="0.25">
      <c r="A572" s="37" t="s">
        <v>1587</v>
      </c>
      <c r="B572" s="38" t="s">
        <v>1588</v>
      </c>
      <c r="C572" s="39" t="s">
        <v>1541</v>
      </c>
      <c r="D572" s="39" t="s">
        <v>1553</v>
      </c>
      <c r="E572" s="39" t="s">
        <v>46</v>
      </c>
      <c r="F572" s="40">
        <f>SUM(F573:F573)+551804</f>
        <v>551804</v>
      </c>
      <c r="G572" s="40">
        <f>SUM(G573:G573)+551804</f>
        <v>551804</v>
      </c>
      <c r="H572" s="40">
        <f t="shared" ref="H572:O572" si="423">SUM(H573:H573)</f>
        <v>0</v>
      </c>
      <c r="I572" s="40">
        <f t="shared" si="423"/>
        <v>0</v>
      </c>
      <c r="J572" s="40">
        <f t="shared" si="423"/>
        <v>0</v>
      </c>
      <c r="K572" s="40">
        <f t="shared" si="423"/>
        <v>0</v>
      </c>
      <c r="L572" s="40">
        <f t="shared" si="423"/>
        <v>0</v>
      </c>
      <c r="M572" s="40">
        <f t="shared" si="423"/>
        <v>0</v>
      </c>
      <c r="N572" s="40">
        <f t="shared" si="423"/>
        <v>0</v>
      </c>
      <c r="O572" s="40">
        <f t="shared" si="423"/>
        <v>0</v>
      </c>
      <c r="P572" s="40">
        <f>SUM(P573:P573)+551516.01</f>
        <v>551516.01</v>
      </c>
      <c r="Q572" s="40">
        <f>SUM(Q573:Q573)+551516.01</f>
        <v>551516.01</v>
      </c>
      <c r="R572" s="40">
        <f t="shared" ref="R572:Y572" si="424">SUM(R573:R573)</f>
        <v>0</v>
      </c>
      <c r="S572" s="40">
        <f t="shared" si="424"/>
        <v>0</v>
      </c>
      <c r="T572" s="40">
        <f t="shared" si="424"/>
        <v>0</v>
      </c>
      <c r="U572" s="40">
        <f t="shared" si="424"/>
        <v>0</v>
      </c>
      <c r="V572" s="40">
        <f t="shared" si="424"/>
        <v>0</v>
      </c>
      <c r="W572" s="40">
        <f t="shared" si="424"/>
        <v>0</v>
      </c>
      <c r="X572" s="40">
        <f t="shared" si="424"/>
        <v>0</v>
      </c>
      <c r="Y572" s="40">
        <f t="shared" si="424"/>
        <v>0</v>
      </c>
      <c r="Z572" s="39" t="s">
        <v>1589</v>
      </c>
      <c r="AA572" s="41" t="s">
        <v>41</v>
      </c>
      <c r="AB572" s="42" t="s">
        <v>1148</v>
      </c>
      <c r="AC572" s="42" t="s">
        <v>1590</v>
      </c>
      <c r="AD572" s="43" t="s">
        <v>1550</v>
      </c>
    </row>
    <row r="573" spans="1:30" ht="93" x14ac:dyDescent="0.25">
      <c r="A573" s="37" t="s">
        <v>1591</v>
      </c>
      <c r="B573" s="38" t="s">
        <v>1592</v>
      </c>
      <c r="C573" s="39"/>
      <c r="D573" s="39"/>
      <c r="E573" s="39"/>
      <c r="F573" s="44">
        <v>0</v>
      </c>
      <c r="G573" s="44">
        <v>0</v>
      </c>
      <c r="H573" s="44">
        <v>0</v>
      </c>
      <c r="I573" s="44">
        <v>0</v>
      </c>
      <c r="J573" s="44">
        <v>0</v>
      </c>
      <c r="K573" s="44">
        <v>0</v>
      </c>
      <c r="L573" s="44">
        <v>0</v>
      </c>
      <c r="M573" s="44">
        <v>0</v>
      </c>
      <c r="N573" s="44">
        <v>0</v>
      </c>
      <c r="O573" s="44">
        <v>0</v>
      </c>
      <c r="P573" s="44">
        <v>0</v>
      </c>
      <c r="Q573" s="44">
        <v>0</v>
      </c>
      <c r="R573" s="44">
        <v>0</v>
      </c>
      <c r="S573" s="44">
        <v>0</v>
      </c>
      <c r="T573" s="44">
        <v>0</v>
      </c>
      <c r="U573" s="44">
        <v>0</v>
      </c>
      <c r="V573" s="44">
        <v>0</v>
      </c>
      <c r="W573" s="44">
        <v>0</v>
      </c>
      <c r="X573" s="44">
        <v>0</v>
      </c>
      <c r="Y573" s="44">
        <v>0</v>
      </c>
      <c r="Z573" s="39"/>
      <c r="AA573" s="41"/>
      <c r="AB573" s="42"/>
      <c r="AC573" s="42"/>
      <c r="AD573" s="43"/>
    </row>
    <row r="574" spans="1:30" ht="93" x14ac:dyDescent="0.25">
      <c r="A574" s="37" t="s">
        <v>1593</v>
      </c>
      <c r="B574" s="38" t="s">
        <v>1594</v>
      </c>
      <c r="C574" s="39" t="s">
        <v>1541</v>
      </c>
      <c r="D574" s="39" t="s">
        <v>1553</v>
      </c>
      <c r="E574" s="39" t="s">
        <v>46</v>
      </c>
      <c r="F574" s="40">
        <f>SUM(F575:F575)+900136.93</f>
        <v>900136.93</v>
      </c>
      <c r="G574" s="40">
        <f>SUM(G575:G575)</f>
        <v>0</v>
      </c>
      <c r="H574" s="40">
        <f>SUM(H575:H575)</f>
        <v>0</v>
      </c>
      <c r="I574" s="40">
        <f>SUM(I575:I575)</f>
        <v>0</v>
      </c>
      <c r="J574" s="40">
        <f>SUM(J575:J575)+900136.93</f>
        <v>900136.93</v>
      </c>
      <c r="K574" s="40">
        <f>SUM(K575:K575)</f>
        <v>0</v>
      </c>
      <c r="L574" s="40">
        <f>SUM(L575:L575)</f>
        <v>0</v>
      </c>
      <c r="M574" s="40">
        <f>SUM(M575:M575)</f>
        <v>0</v>
      </c>
      <c r="N574" s="40">
        <f>SUM(N575:N575)</f>
        <v>0</v>
      </c>
      <c r="O574" s="40">
        <f>SUM(O575:O575)</f>
        <v>0</v>
      </c>
      <c r="P574" s="40">
        <f>SUM(P575:P575)+900136.93</f>
        <v>900136.93</v>
      </c>
      <c r="Q574" s="40">
        <f t="shared" ref="Q574:Y574" si="425">SUM(Q575:Q575)</f>
        <v>0</v>
      </c>
      <c r="R574" s="40">
        <f t="shared" si="425"/>
        <v>0</v>
      </c>
      <c r="S574" s="40">
        <f t="shared" si="425"/>
        <v>0</v>
      </c>
      <c r="T574" s="40">
        <f t="shared" si="425"/>
        <v>0</v>
      </c>
      <c r="U574" s="40">
        <f t="shared" si="425"/>
        <v>0</v>
      </c>
      <c r="V574" s="40">
        <f t="shared" si="425"/>
        <v>0</v>
      </c>
      <c r="W574" s="40">
        <f t="shared" si="425"/>
        <v>0</v>
      </c>
      <c r="X574" s="40">
        <f t="shared" si="425"/>
        <v>0</v>
      </c>
      <c r="Y574" s="40">
        <f t="shared" si="425"/>
        <v>0</v>
      </c>
      <c r="Z574" s="39" t="s">
        <v>1595</v>
      </c>
      <c r="AA574" s="41" t="s">
        <v>41</v>
      </c>
      <c r="AB574" s="42" t="s">
        <v>185</v>
      </c>
      <c r="AC574" s="42" t="s">
        <v>1596</v>
      </c>
      <c r="AD574" s="43" t="s">
        <v>1597</v>
      </c>
    </row>
    <row r="575" spans="1:30" ht="69.75" x14ac:dyDescent="0.25">
      <c r="A575" s="37" t="s">
        <v>1598</v>
      </c>
      <c r="B575" s="38" t="s">
        <v>1599</v>
      </c>
      <c r="C575" s="39"/>
      <c r="D575" s="39"/>
      <c r="E575" s="39"/>
      <c r="F575" s="44">
        <v>0</v>
      </c>
      <c r="G575" s="44">
        <v>0</v>
      </c>
      <c r="H575" s="44">
        <v>0</v>
      </c>
      <c r="I575" s="44">
        <v>0</v>
      </c>
      <c r="J575" s="44">
        <v>0</v>
      </c>
      <c r="K575" s="44">
        <v>0</v>
      </c>
      <c r="L575" s="44">
        <v>0</v>
      </c>
      <c r="M575" s="44">
        <v>0</v>
      </c>
      <c r="N575" s="44">
        <v>0</v>
      </c>
      <c r="O575" s="44">
        <v>0</v>
      </c>
      <c r="P575" s="44">
        <v>0</v>
      </c>
      <c r="Q575" s="44">
        <v>0</v>
      </c>
      <c r="R575" s="44">
        <v>0</v>
      </c>
      <c r="S575" s="44">
        <v>0</v>
      </c>
      <c r="T575" s="44">
        <v>0</v>
      </c>
      <c r="U575" s="44">
        <v>0</v>
      </c>
      <c r="V575" s="44">
        <v>0</v>
      </c>
      <c r="W575" s="44">
        <v>0</v>
      </c>
      <c r="X575" s="44">
        <v>0</v>
      </c>
      <c r="Y575" s="44">
        <v>0</v>
      </c>
      <c r="Z575" s="39"/>
      <c r="AA575" s="41"/>
      <c r="AB575" s="42"/>
      <c r="AC575" s="42"/>
      <c r="AD575" s="43"/>
    </row>
    <row r="576" spans="1:30" ht="67.5" x14ac:dyDescent="0.25">
      <c r="A576" s="30" t="s">
        <v>1600</v>
      </c>
      <c r="B576" s="31" t="s">
        <v>1601</v>
      </c>
      <c r="C576" s="32" t="s">
        <v>1541</v>
      </c>
      <c r="D576" s="32" t="s">
        <v>1544</v>
      </c>
      <c r="E576" s="32" t="s">
        <v>39</v>
      </c>
      <c r="F576" s="33">
        <f t="shared" ref="F576:Y576" si="426">F577+F579+F581+F583</f>
        <v>523514</v>
      </c>
      <c r="G576" s="33">
        <f t="shared" si="426"/>
        <v>164871</v>
      </c>
      <c r="H576" s="33">
        <f t="shared" si="426"/>
        <v>0</v>
      </c>
      <c r="I576" s="33">
        <f t="shared" si="426"/>
        <v>0</v>
      </c>
      <c r="J576" s="33">
        <f t="shared" si="426"/>
        <v>0</v>
      </c>
      <c r="K576" s="33">
        <f t="shared" si="426"/>
        <v>0</v>
      </c>
      <c r="L576" s="33">
        <f t="shared" si="426"/>
        <v>0</v>
      </c>
      <c r="M576" s="33">
        <f t="shared" si="426"/>
        <v>357473</v>
      </c>
      <c r="N576" s="33">
        <f t="shared" si="426"/>
        <v>0</v>
      </c>
      <c r="O576" s="33">
        <f t="shared" si="426"/>
        <v>0</v>
      </c>
      <c r="P576" s="33">
        <f t="shared" si="426"/>
        <v>521762.89</v>
      </c>
      <c r="Q576" s="33">
        <f t="shared" si="426"/>
        <v>164362.79999999999</v>
      </c>
      <c r="R576" s="33">
        <f t="shared" si="426"/>
        <v>0</v>
      </c>
      <c r="S576" s="33">
        <f t="shared" si="426"/>
        <v>0</v>
      </c>
      <c r="T576" s="33">
        <f t="shared" si="426"/>
        <v>0</v>
      </c>
      <c r="U576" s="33">
        <f t="shared" si="426"/>
        <v>0</v>
      </c>
      <c r="V576" s="33">
        <f t="shared" si="426"/>
        <v>0</v>
      </c>
      <c r="W576" s="33">
        <f t="shared" si="426"/>
        <v>0</v>
      </c>
      <c r="X576" s="33">
        <f t="shared" si="426"/>
        <v>0</v>
      </c>
      <c r="Y576" s="33">
        <f t="shared" si="426"/>
        <v>0</v>
      </c>
      <c r="Z576" s="32" t="s">
        <v>1602</v>
      </c>
      <c r="AA576" s="34" t="s">
        <v>41</v>
      </c>
      <c r="AB576" s="35" t="s">
        <v>1603</v>
      </c>
      <c r="AC576" s="35" t="s">
        <v>1604</v>
      </c>
      <c r="AD576" s="36" t="s">
        <v>1605</v>
      </c>
    </row>
    <row r="577" spans="1:30" ht="46.5" x14ac:dyDescent="0.25">
      <c r="A577" s="37" t="s">
        <v>1606</v>
      </c>
      <c r="B577" s="38" t="s">
        <v>1607</v>
      </c>
      <c r="C577" s="39" t="s">
        <v>1541</v>
      </c>
      <c r="D577" s="39" t="s">
        <v>1564</v>
      </c>
      <c r="E577" s="39" t="s">
        <v>46</v>
      </c>
      <c r="F577" s="40">
        <f>SUM(F578:F578)+4200</f>
        <v>4200</v>
      </c>
      <c r="G577" s="40">
        <f t="shared" ref="G577:L577" si="427">SUM(G578:G578)</f>
        <v>0</v>
      </c>
      <c r="H577" s="40">
        <f t="shared" si="427"/>
        <v>0</v>
      </c>
      <c r="I577" s="40">
        <f t="shared" si="427"/>
        <v>0</v>
      </c>
      <c r="J577" s="40">
        <f t="shared" si="427"/>
        <v>0</v>
      </c>
      <c r="K577" s="40">
        <f t="shared" si="427"/>
        <v>0</v>
      </c>
      <c r="L577" s="40">
        <f t="shared" si="427"/>
        <v>0</v>
      </c>
      <c r="M577" s="40">
        <f>SUM(M578:M578)+4200</f>
        <v>4200</v>
      </c>
      <c r="N577" s="40">
        <f>SUM(N578:N578)</f>
        <v>0</v>
      </c>
      <c r="O577" s="40">
        <f>SUM(O578:O578)</f>
        <v>0</v>
      </c>
      <c r="P577" s="40">
        <f>SUM(P578:P578)+4200</f>
        <v>4200</v>
      </c>
      <c r="Q577" s="40">
        <f t="shared" ref="Q577:Y577" si="428">SUM(Q578:Q578)</f>
        <v>0</v>
      </c>
      <c r="R577" s="40">
        <f t="shared" si="428"/>
        <v>0</v>
      </c>
      <c r="S577" s="40">
        <f t="shared" si="428"/>
        <v>0</v>
      </c>
      <c r="T577" s="40">
        <f t="shared" si="428"/>
        <v>0</v>
      </c>
      <c r="U577" s="40">
        <f t="shared" si="428"/>
        <v>0</v>
      </c>
      <c r="V577" s="40">
        <f t="shared" si="428"/>
        <v>0</v>
      </c>
      <c r="W577" s="40">
        <f t="shared" si="428"/>
        <v>0</v>
      </c>
      <c r="X577" s="40">
        <f t="shared" si="428"/>
        <v>0</v>
      </c>
      <c r="Y577" s="40">
        <f t="shared" si="428"/>
        <v>0</v>
      </c>
      <c r="Z577" s="39" t="s">
        <v>1608</v>
      </c>
      <c r="AA577" s="41" t="s">
        <v>41</v>
      </c>
      <c r="AB577" s="42" t="s">
        <v>83</v>
      </c>
      <c r="AC577" s="42" t="s">
        <v>83</v>
      </c>
      <c r="AD577" s="43"/>
    </row>
    <row r="578" spans="1:30" ht="46.5" x14ac:dyDescent="0.25">
      <c r="A578" s="37" t="s">
        <v>1609</v>
      </c>
      <c r="B578" s="38" t="s">
        <v>1610</v>
      </c>
      <c r="C578" s="39"/>
      <c r="D578" s="39"/>
      <c r="E578" s="39"/>
      <c r="F578" s="44">
        <v>0</v>
      </c>
      <c r="G578" s="44">
        <v>0</v>
      </c>
      <c r="H578" s="44">
        <v>0</v>
      </c>
      <c r="I578" s="44">
        <v>0</v>
      </c>
      <c r="J578" s="44">
        <v>0</v>
      </c>
      <c r="K578" s="44">
        <v>0</v>
      </c>
      <c r="L578" s="44">
        <v>0</v>
      </c>
      <c r="M578" s="44">
        <v>0</v>
      </c>
      <c r="N578" s="44">
        <v>0</v>
      </c>
      <c r="O578" s="44">
        <v>0</v>
      </c>
      <c r="P578" s="44">
        <v>0</v>
      </c>
      <c r="Q578" s="44">
        <v>0</v>
      </c>
      <c r="R578" s="44">
        <v>0</v>
      </c>
      <c r="S578" s="44">
        <v>0</v>
      </c>
      <c r="T578" s="44">
        <v>0</v>
      </c>
      <c r="U578" s="44">
        <v>0</v>
      </c>
      <c r="V578" s="44">
        <v>0</v>
      </c>
      <c r="W578" s="44">
        <v>0</v>
      </c>
      <c r="X578" s="44">
        <v>0</v>
      </c>
      <c r="Y578" s="44">
        <v>0</v>
      </c>
      <c r="Z578" s="39"/>
      <c r="AA578" s="41"/>
      <c r="AB578" s="42"/>
      <c r="AC578" s="42"/>
      <c r="AD578" s="43"/>
    </row>
    <row r="579" spans="1:30" ht="46.5" x14ac:dyDescent="0.25">
      <c r="A579" s="37" t="s">
        <v>1611</v>
      </c>
      <c r="B579" s="38" t="s">
        <v>1612</v>
      </c>
      <c r="C579" s="39" t="s">
        <v>1541</v>
      </c>
      <c r="D579" s="39" t="s">
        <v>1564</v>
      </c>
      <c r="E579" s="39" t="s">
        <v>46</v>
      </c>
      <c r="F579" s="40">
        <f>SUM(F580:F580)+323012</f>
        <v>323012</v>
      </c>
      <c r="G579" s="40">
        <f>SUM(G580:G580)+109542</f>
        <v>109542</v>
      </c>
      <c r="H579" s="40">
        <f>SUM(H580:H580)</f>
        <v>0</v>
      </c>
      <c r="I579" s="40">
        <f>SUM(I580:I580)</f>
        <v>0</v>
      </c>
      <c r="J579" s="40">
        <f>SUM(J580:J580)</f>
        <v>0</v>
      </c>
      <c r="K579" s="40">
        <f>SUM(K580:K580)</f>
        <v>0</v>
      </c>
      <c r="L579" s="40">
        <f>SUM(L580:L580)</f>
        <v>0</v>
      </c>
      <c r="M579" s="40">
        <f>SUM(M580:M580)+212300</f>
        <v>212300</v>
      </c>
      <c r="N579" s="40">
        <f>SUM(N580:N580)</f>
        <v>0</v>
      </c>
      <c r="O579" s="40">
        <f>SUM(O580:O580)</f>
        <v>0</v>
      </c>
      <c r="P579" s="40">
        <f>SUM(P580:P580)+322747</f>
        <v>322747</v>
      </c>
      <c r="Q579" s="40">
        <f>SUM(Q580:Q580)+109277</f>
        <v>109277</v>
      </c>
      <c r="R579" s="40">
        <f t="shared" ref="R579:Y579" si="429">SUM(R580:R580)</f>
        <v>0</v>
      </c>
      <c r="S579" s="40">
        <f t="shared" si="429"/>
        <v>0</v>
      </c>
      <c r="T579" s="40">
        <f t="shared" si="429"/>
        <v>0</v>
      </c>
      <c r="U579" s="40">
        <f t="shared" si="429"/>
        <v>0</v>
      </c>
      <c r="V579" s="40">
        <f t="shared" si="429"/>
        <v>0</v>
      </c>
      <c r="W579" s="40">
        <f t="shared" si="429"/>
        <v>0</v>
      </c>
      <c r="X579" s="40">
        <f t="shared" si="429"/>
        <v>0</v>
      </c>
      <c r="Y579" s="40">
        <f t="shared" si="429"/>
        <v>0</v>
      </c>
      <c r="Z579" s="39" t="s">
        <v>1613</v>
      </c>
      <c r="AA579" s="41" t="s">
        <v>41</v>
      </c>
      <c r="AB579" s="42" t="s">
        <v>1614</v>
      </c>
      <c r="AC579" s="42" t="s">
        <v>1614</v>
      </c>
      <c r="AD579" s="43"/>
    </row>
    <row r="580" spans="1:30" ht="46.5" x14ac:dyDescent="0.25">
      <c r="A580" s="37" t="s">
        <v>1615</v>
      </c>
      <c r="B580" s="38" t="s">
        <v>1616</v>
      </c>
      <c r="C580" s="39"/>
      <c r="D580" s="39"/>
      <c r="E580" s="39"/>
      <c r="F580" s="44">
        <v>0</v>
      </c>
      <c r="G580" s="44">
        <v>0</v>
      </c>
      <c r="H580" s="44">
        <v>0</v>
      </c>
      <c r="I580" s="44">
        <v>0</v>
      </c>
      <c r="J580" s="44">
        <v>0</v>
      </c>
      <c r="K580" s="44">
        <v>0</v>
      </c>
      <c r="L580" s="44">
        <v>0</v>
      </c>
      <c r="M580" s="44">
        <v>0</v>
      </c>
      <c r="N580" s="44">
        <v>0</v>
      </c>
      <c r="O580" s="44">
        <v>0</v>
      </c>
      <c r="P580" s="44">
        <v>0</v>
      </c>
      <c r="Q580" s="44">
        <v>0</v>
      </c>
      <c r="R580" s="44">
        <v>0</v>
      </c>
      <c r="S580" s="44">
        <v>0</v>
      </c>
      <c r="T580" s="44">
        <v>0</v>
      </c>
      <c r="U580" s="44">
        <v>0</v>
      </c>
      <c r="V580" s="44">
        <v>0</v>
      </c>
      <c r="W580" s="44">
        <v>0</v>
      </c>
      <c r="X580" s="44">
        <v>0</v>
      </c>
      <c r="Y580" s="44">
        <v>0</v>
      </c>
      <c r="Z580" s="39"/>
      <c r="AA580" s="41"/>
      <c r="AB580" s="42"/>
      <c r="AC580" s="42"/>
      <c r="AD580" s="43"/>
    </row>
    <row r="581" spans="1:30" ht="46.5" x14ac:dyDescent="0.25">
      <c r="A581" s="37" t="s">
        <v>1617</v>
      </c>
      <c r="B581" s="38" t="s">
        <v>1618</v>
      </c>
      <c r="C581" s="39" t="s">
        <v>1541</v>
      </c>
      <c r="D581" s="39" t="s">
        <v>1619</v>
      </c>
      <c r="E581" s="39" t="s">
        <v>46</v>
      </c>
      <c r="F581" s="40">
        <f>SUM(F582:F582)+192196</f>
        <v>192196</v>
      </c>
      <c r="G581" s="40">
        <f>SUM(G582:G582)+55329</f>
        <v>55329</v>
      </c>
      <c r="H581" s="40">
        <f>SUM(H582:H582)</f>
        <v>0</v>
      </c>
      <c r="I581" s="40">
        <f>SUM(I582:I582)</f>
        <v>0</v>
      </c>
      <c r="J581" s="40">
        <f>SUM(J582:J582)</f>
        <v>0</v>
      </c>
      <c r="K581" s="40">
        <f>SUM(K582:K582)</f>
        <v>0</v>
      </c>
      <c r="L581" s="40">
        <f>SUM(L582:L582)</f>
        <v>0</v>
      </c>
      <c r="M581" s="40">
        <f>SUM(M582:M582)+136867</f>
        <v>136867</v>
      </c>
      <c r="N581" s="40">
        <f>SUM(N582:N582)</f>
        <v>0</v>
      </c>
      <c r="O581" s="40">
        <f>SUM(O582:O582)</f>
        <v>0</v>
      </c>
      <c r="P581" s="40">
        <f>SUM(P582:P582)+190749.3</f>
        <v>190749.3</v>
      </c>
      <c r="Q581" s="40">
        <f>SUM(Q582:Q582)+55085.8</f>
        <v>55085.8</v>
      </c>
      <c r="R581" s="40">
        <f t="shared" ref="R581:Y581" si="430">SUM(R582:R582)</f>
        <v>0</v>
      </c>
      <c r="S581" s="40">
        <f t="shared" si="430"/>
        <v>0</v>
      </c>
      <c r="T581" s="40">
        <f t="shared" si="430"/>
        <v>0</v>
      </c>
      <c r="U581" s="40">
        <f t="shared" si="430"/>
        <v>0</v>
      </c>
      <c r="V581" s="40">
        <f t="shared" si="430"/>
        <v>0</v>
      </c>
      <c r="W581" s="40">
        <f t="shared" si="430"/>
        <v>0</v>
      </c>
      <c r="X581" s="40">
        <f t="shared" si="430"/>
        <v>0</v>
      </c>
      <c r="Y581" s="40">
        <f t="shared" si="430"/>
        <v>0</v>
      </c>
      <c r="Z581" s="39" t="s">
        <v>1620</v>
      </c>
      <c r="AA581" s="41" t="s">
        <v>41</v>
      </c>
      <c r="AB581" s="42" t="s">
        <v>1621</v>
      </c>
      <c r="AC581" s="42" t="s">
        <v>1622</v>
      </c>
      <c r="AD581" s="43" t="s">
        <v>1623</v>
      </c>
    </row>
    <row r="582" spans="1:30" ht="46.5" x14ac:dyDescent="0.25">
      <c r="A582" s="37" t="s">
        <v>1624</v>
      </c>
      <c r="B582" s="38" t="s">
        <v>1625</v>
      </c>
      <c r="C582" s="39"/>
      <c r="D582" s="39"/>
      <c r="E582" s="39"/>
      <c r="F582" s="44">
        <v>0</v>
      </c>
      <c r="G582" s="44">
        <v>0</v>
      </c>
      <c r="H582" s="44">
        <v>0</v>
      </c>
      <c r="I582" s="44">
        <v>0</v>
      </c>
      <c r="J582" s="44">
        <v>0</v>
      </c>
      <c r="K582" s="44">
        <v>0</v>
      </c>
      <c r="L582" s="44">
        <v>0</v>
      </c>
      <c r="M582" s="44">
        <v>0</v>
      </c>
      <c r="N582" s="44">
        <v>0</v>
      </c>
      <c r="O582" s="44">
        <v>0</v>
      </c>
      <c r="P582" s="44">
        <v>0</v>
      </c>
      <c r="Q582" s="44">
        <v>0</v>
      </c>
      <c r="R582" s="44">
        <v>0</v>
      </c>
      <c r="S582" s="44">
        <v>0</v>
      </c>
      <c r="T582" s="44">
        <v>0</v>
      </c>
      <c r="U582" s="44">
        <v>0</v>
      </c>
      <c r="V582" s="44">
        <v>0</v>
      </c>
      <c r="W582" s="44">
        <v>0</v>
      </c>
      <c r="X582" s="44">
        <v>0</v>
      </c>
      <c r="Y582" s="44">
        <v>0</v>
      </c>
      <c r="Z582" s="39"/>
      <c r="AA582" s="41"/>
      <c r="AB582" s="42"/>
      <c r="AC582" s="42"/>
      <c r="AD582" s="43"/>
    </row>
    <row r="583" spans="1:30" ht="69.75" x14ac:dyDescent="0.25">
      <c r="A583" s="37" t="s">
        <v>1626</v>
      </c>
      <c r="B583" s="38" t="s">
        <v>1627</v>
      </c>
      <c r="C583" s="39" t="s">
        <v>1541</v>
      </c>
      <c r="D583" s="39" t="s">
        <v>1619</v>
      </c>
      <c r="E583" s="39" t="s">
        <v>46</v>
      </c>
      <c r="F583" s="40">
        <f>SUM(F584:F584)+4106</f>
        <v>4106</v>
      </c>
      <c r="G583" s="40">
        <f t="shared" ref="G583:L583" si="431">SUM(G584:G584)</f>
        <v>0</v>
      </c>
      <c r="H583" s="40">
        <f t="shared" si="431"/>
        <v>0</v>
      </c>
      <c r="I583" s="40">
        <f t="shared" si="431"/>
        <v>0</v>
      </c>
      <c r="J583" s="40">
        <f t="shared" si="431"/>
        <v>0</v>
      </c>
      <c r="K583" s="40">
        <f t="shared" si="431"/>
        <v>0</v>
      </c>
      <c r="L583" s="40">
        <f t="shared" si="431"/>
        <v>0</v>
      </c>
      <c r="M583" s="40">
        <f>SUM(M584:M584)+4106</f>
        <v>4106</v>
      </c>
      <c r="N583" s="40">
        <f>SUM(N584:N584)</f>
        <v>0</v>
      </c>
      <c r="O583" s="40">
        <f>SUM(O584:O584)</f>
        <v>0</v>
      </c>
      <c r="P583" s="40">
        <f>SUM(P584:P584)+4066.59</f>
        <v>4066.59</v>
      </c>
      <c r="Q583" s="40">
        <f t="shared" ref="Q583:Y583" si="432">SUM(Q584:Q584)</f>
        <v>0</v>
      </c>
      <c r="R583" s="40">
        <f t="shared" si="432"/>
        <v>0</v>
      </c>
      <c r="S583" s="40">
        <f t="shared" si="432"/>
        <v>0</v>
      </c>
      <c r="T583" s="40">
        <f t="shared" si="432"/>
        <v>0</v>
      </c>
      <c r="U583" s="40">
        <f t="shared" si="432"/>
        <v>0</v>
      </c>
      <c r="V583" s="40">
        <f t="shared" si="432"/>
        <v>0</v>
      </c>
      <c r="W583" s="40">
        <f t="shared" si="432"/>
        <v>0</v>
      </c>
      <c r="X583" s="40">
        <f t="shared" si="432"/>
        <v>0</v>
      </c>
      <c r="Y583" s="40">
        <f t="shared" si="432"/>
        <v>0</v>
      </c>
      <c r="Z583" s="39" t="s">
        <v>1628</v>
      </c>
      <c r="AA583" s="41" t="s">
        <v>41</v>
      </c>
      <c r="AB583" s="42" t="s">
        <v>42</v>
      </c>
      <c r="AC583" s="42" t="s">
        <v>42</v>
      </c>
      <c r="AD583" s="43"/>
    </row>
    <row r="584" spans="1:30" ht="69.75" x14ac:dyDescent="0.25">
      <c r="A584" s="37" t="s">
        <v>1629</v>
      </c>
      <c r="B584" s="38" t="s">
        <v>1630</v>
      </c>
      <c r="C584" s="39"/>
      <c r="D584" s="39"/>
      <c r="E584" s="39"/>
      <c r="F584" s="44">
        <v>0</v>
      </c>
      <c r="G584" s="44">
        <v>0</v>
      </c>
      <c r="H584" s="44">
        <v>0</v>
      </c>
      <c r="I584" s="44">
        <v>0</v>
      </c>
      <c r="J584" s="44">
        <v>0</v>
      </c>
      <c r="K584" s="44">
        <v>0</v>
      </c>
      <c r="L584" s="44">
        <v>0</v>
      </c>
      <c r="M584" s="44">
        <v>0</v>
      </c>
      <c r="N584" s="44">
        <v>0</v>
      </c>
      <c r="O584" s="44">
        <v>0</v>
      </c>
      <c r="P584" s="44">
        <v>0</v>
      </c>
      <c r="Q584" s="44">
        <v>0</v>
      </c>
      <c r="R584" s="44">
        <v>0</v>
      </c>
      <c r="S584" s="44">
        <v>0</v>
      </c>
      <c r="T584" s="44">
        <v>0</v>
      </c>
      <c r="U584" s="44">
        <v>0</v>
      </c>
      <c r="V584" s="44">
        <v>0</v>
      </c>
      <c r="W584" s="44">
        <v>0</v>
      </c>
      <c r="X584" s="44">
        <v>0</v>
      </c>
      <c r="Y584" s="44">
        <v>0</v>
      </c>
      <c r="Z584" s="39"/>
      <c r="AA584" s="41"/>
      <c r="AB584" s="42"/>
      <c r="AC584" s="42"/>
      <c r="AD584" s="43"/>
    </row>
    <row r="585" spans="1:30" ht="270" x14ac:dyDescent="0.25">
      <c r="A585" s="30" t="s">
        <v>1631</v>
      </c>
      <c r="B585" s="31" t="s">
        <v>1632</v>
      </c>
      <c r="C585" s="32" t="s">
        <v>1541</v>
      </c>
      <c r="D585" s="32" t="s">
        <v>1544</v>
      </c>
      <c r="E585" s="32" t="s">
        <v>39</v>
      </c>
      <c r="F585" s="33">
        <f t="shared" ref="F585:Y585" si="433">F586+F589+F591+F593+F595+F597+F599</f>
        <v>648814.76</v>
      </c>
      <c r="G585" s="33">
        <f t="shared" si="433"/>
        <v>60498.21</v>
      </c>
      <c r="H585" s="33">
        <f t="shared" si="433"/>
        <v>0</v>
      </c>
      <c r="I585" s="33">
        <f t="shared" si="433"/>
        <v>0</v>
      </c>
      <c r="J585" s="33">
        <f t="shared" si="433"/>
        <v>2400</v>
      </c>
      <c r="K585" s="33">
        <f t="shared" si="433"/>
        <v>0</v>
      </c>
      <c r="L585" s="33">
        <f t="shared" si="433"/>
        <v>0</v>
      </c>
      <c r="M585" s="33">
        <f t="shared" si="433"/>
        <v>585916.55000000005</v>
      </c>
      <c r="N585" s="33">
        <f t="shared" si="433"/>
        <v>0</v>
      </c>
      <c r="O585" s="33">
        <f t="shared" si="433"/>
        <v>0</v>
      </c>
      <c r="P585" s="33">
        <f t="shared" si="433"/>
        <v>641812.79</v>
      </c>
      <c r="Q585" s="33">
        <f t="shared" si="433"/>
        <v>60498.21</v>
      </c>
      <c r="R585" s="33">
        <f t="shared" si="433"/>
        <v>0</v>
      </c>
      <c r="S585" s="33">
        <f t="shared" si="433"/>
        <v>0</v>
      </c>
      <c r="T585" s="33">
        <f t="shared" si="433"/>
        <v>0</v>
      </c>
      <c r="U585" s="33">
        <f t="shared" si="433"/>
        <v>0</v>
      </c>
      <c r="V585" s="33">
        <f t="shared" si="433"/>
        <v>0</v>
      </c>
      <c r="W585" s="33">
        <f t="shared" si="433"/>
        <v>0</v>
      </c>
      <c r="X585" s="33">
        <f t="shared" si="433"/>
        <v>0</v>
      </c>
      <c r="Y585" s="33">
        <f t="shared" si="433"/>
        <v>0</v>
      </c>
      <c r="Z585" s="32" t="s">
        <v>188</v>
      </c>
      <c r="AA585" s="34" t="s">
        <v>41</v>
      </c>
      <c r="AB585" s="35" t="s">
        <v>751</v>
      </c>
      <c r="AC585" s="35" t="s">
        <v>178</v>
      </c>
      <c r="AD585" s="36" t="s">
        <v>1633</v>
      </c>
    </row>
    <row r="586" spans="1:30" ht="139.5" x14ac:dyDescent="0.25">
      <c r="A586" s="37" t="s">
        <v>1634</v>
      </c>
      <c r="B586" s="38" t="s">
        <v>1635</v>
      </c>
      <c r="C586" s="39" t="s">
        <v>1541</v>
      </c>
      <c r="D586" s="39" t="s">
        <v>1619</v>
      </c>
      <c r="E586" s="39" t="s">
        <v>46</v>
      </c>
      <c r="F586" s="40">
        <f t="shared" ref="F586:Y586" si="434">SUM(F587:F588)</f>
        <v>0</v>
      </c>
      <c r="G586" s="40">
        <f t="shared" si="434"/>
        <v>0</v>
      </c>
      <c r="H586" s="40">
        <f t="shared" si="434"/>
        <v>0</v>
      </c>
      <c r="I586" s="40">
        <f t="shared" si="434"/>
        <v>0</v>
      </c>
      <c r="J586" s="40">
        <f t="shared" si="434"/>
        <v>0</v>
      </c>
      <c r="K586" s="40">
        <f t="shared" si="434"/>
        <v>0</v>
      </c>
      <c r="L586" s="40">
        <f t="shared" si="434"/>
        <v>0</v>
      </c>
      <c r="M586" s="40">
        <f t="shared" si="434"/>
        <v>0</v>
      </c>
      <c r="N586" s="40">
        <f t="shared" si="434"/>
        <v>0</v>
      </c>
      <c r="O586" s="40">
        <f t="shared" si="434"/>
        <v>0</v>
      </c>
      <c r="P586" s="40">
        <f t="shared" si="434"/>
        <v>0</v>
      </c>
      <c r="Q586" s="40">
        <f t="shared" si="434"/>
        <v>0</v>
      </c>
      <c r="R586" s="40">
        <f t="shared" si="434"/>
        <v>0</v>
      </c>
      <c r="S586" s="40">
        <f t="shared" si="434"/>
        <v>0</v>
      </c>
      <c r="T586" s="40">
        <f t="shared" si="434"/>
        <v>0</v>
      </c>
      <c r="U586" s="40">
        <f t="shared" si="434"/>
        <v>0</v>
      </c>
      <c r="V586" s="40">
        <f t="shared" si="434"/>
        <v>0</v>
      </c>
      <c r="W586" s="40">
        <f t="shared" si="434"/>
        <v>0</v>
      </c>
      <c r="X586" s="40">
        <f t="shared" si="434"/>
        <v>0</v>
      </c>
      <c r="Y586" s="40">
        <f t="shared" si="434"/>
        <v>0</v>
      </c>
      <c r="Z586" s="39" t="s">
        <v>1636</v>
      </c>
      <c r="AA586" s="41" t="s">
        <v>41</v>
      </c>
      <c r="AB586" s="42" t="s">
        <v>724</v>
      </c>
      <c r="AC586" s="42" t="s">
        <v>1637</v>
      </c>
      <c r="AD586" s="43" t="s">
        <v>1638</v>
      </c>
    </row>
    <row r="587" spans="1:30" ht="69.75" x14ac:dyDescent="0.25">
      <c r="A587" s="37" t="s">
        <v>1639</v>
      </c>
      <c r="B587" s="38" t="s">
        <v>1640</v>
      </c>
      <c r="C587" s="39"/>
      <c r="D587" s="39"/>
      <c r="E587" s="39"/>
      <c r="F587" s="44">
        <v>0</v>
      </c>
      <c r="G587" s="44">
        <v>0</v>
      </c>
      <c r="H587" s="44">
        <v>0</v>
      </c>
      <c r="I587" s="44">
        <v>0</v>
      </c>
      <c r="J587" s="44">
        <v>0</v>
      </c>
      <c r="K587" s="44">
        <v>0</v>
      </c>
      <c r="L587" s="44">
        <v>0</v>
      </c>
      <c r="M587" s="44">
        <v>0</v>
      </c>
      <c r="N587" s="44">
        <v>0</v>
      </c>
      <c r="O587" s="44">
        <v>0</v>
      </c>
      <c r="P587" s="44">
        <v>0</v>
      </c>
      <c r="Q587" s="44">
        <v>0</v>
      </c>
      <c r="R587" s="44">
        <v>0</v>
      </c>
      <c r="S587" s="44">
        <v>0</v>
      </c>
      <c r="T587" s="44">
        <v>0</v>
      </c>
      <c r="U587" s="44">
        <v>0</v>
      </c>
      <c r="V587" s="44">
        <v>0</v>
      </c>
      <c r="W587" s="44">
        <v>0</v>
      </c>
      <c r="X587" s="44">
        <v>0</v>
      </c>
      <c r="Y587" s="44">
        <v>0</v>
      </c>
      <c r="Z587" s="39"/>
      <c r="AA587" s="41"/>
      <c r="AB587" s="42"/>
      <c r="AC587" s="42"/>
      <c r="AD587" s="43"/>
    </row>
    <row r="588" spans="1:30" ht="69.75" x14ac:dyDescent="0.25">
      <c r="A588" s="37" t="s">
        <v>1641</v>
      </c>
      <c r="B588" s="38" t="s">
        <v>1642</v>
      </c>
      <c r="C588" s="39"/>
      <c r="D588" s="39"/>
      <c r="E588" s="39"/>
      <c r="F588" s="44">
        <v>0</v>
      </c>
      <c r="G588" s="44">
        <v>0</v>
      </c>
      <c r="H588" s="44">
        <v>0</v>
      </c>
      <c r="I588" s="44">
        <v>0</v>
      </c>
      <c r="J588" s="44">
        <v>0</v>
      </c>
      <c r="K588" s="44">
        <v>0</v>
      </c>
      <c r="L588" s="44">
        <v>0</v>
      </c>
      <c r="M588" s="44">
        <v>0</v>
      </c>
      <c r="N588" s="44">
        <v>0</v>
      </c>
      <c r="O588" s="44">
        <v>0</v>
      </c>
      <c r="P588" s="44">
        <v>0</v>
      </c>
      <c r="Q588" s="44">
        <v>0</v>
      </c>
      <c r="R588" s="44">
        <v>0</v>
      </c>
      <c r="S588" s="44">
        <v>0</v>
      </c>
      <c r="T588" s="44">
        <v>0</v>
      </c>
      <c r="U588" s="44">
        <v>0</v>
      </c>
      <c r="V588" s="44">
        <v>0</v>
      </c>
      <c r="W588" s="44">
        <v>0</v>
      </c>
      <c r="X588" s="44">
        <v>0</v>
      </c>
      <c r="Y588" s="44">
        <v>0</v>
      </c>
      <c r="Z588" s="39"/>
      <c r="AA588" s="41"/>
      <c r="AB588" s="42"/>
      <c r="AC588" s="42"/>
      <c r="AD588" s="43"/>
    </row>
    <row r="589" spans="1:30" ht="46.5" x14ac:dyDescent="0.25">
      <c r="A589" s="37" t="s">
        <v>1643</v>
      </c>
      <c r="B589" s="38" t="s">
        <v>1644</v>
      </c>
      <c r="C589" s="39" t="s">
        <v>1541</v>
      </c>
      <c r="D589" s="39" t="s">
        <v>1645</v>
      </c>
      <c r="E589" s="39" t="s">
        <v>46</v>
      </c>
      <c r="F589" s="40">
        <f>SUM(F590:F590)+51639.12</f>
        <v>51639.12</v>
      </c>
      <c r="G589" s="40">
        <f>SUM(G590:G590)+27498.21</f>
        <v>27498.21</v>
      </c>
      <c r="H589" s="40">
        <f>SUM(H590:H590)</f>
        <v>0</v>
      </c>
      <c r="I589" s="40">
        <f>SUM(I590:I590)</f>
        <v>0</v>
      </c>
      <c r="J589" s="40">
        <f>SUM(J590:J590)</f>
        <v>0</v>
      </c>
      <c r="K589" s="40">
        <f>SUM(K590:K590)</f>
        <v>0</v>
      </c>
      <c r="L589" s="40">
        <f>SUM(L590:L590)</f>
        <v>0</v>
      </c>
      <c r="M589" s="40">
        <f>SUM(M590:M590)+24140.91</f>
        <v>24140.91</v>
      </c>
      <c r="N589" s="40">
        <f>SUM(N590:N590)</f>
        <v>0</v>
      </c>
      <c r="O589" s="40">
        <f>SUM(O590:O590)</f>
        <v>0</v>
      </c>
      <c r="P589" s="40">
        <f>SUM(P590:P590)+51639.12</f>
        <v>51639.12</v>
      </c>
      <c r="Q589" s="40">
        <f>SUM(Q590:Q590)+27498.21</f>
        <v>27498.21</v>
      </c>
      <c r="R589" s="40">
        <f t="shared" ref="R589:Y589" si="435">SUM(R590:R590)</f>
        <v>0</v>
      </c>
      <c r="S589" s="40">
        <f t="shared" si="435"/>
        <v>0</v>
      </c>
      <c r="T589" s="40">
        <f t="shared" si="435"/>
        <v>0</v>
      </c>
      <c r="U589" s="40">
        <f t="shared" si="435"/>
        <v>0</v>
      </c>
      <c r="V589" s="40">
        <f t="shared" si="435"/>
        <v>0</v>
      </c>
      <c r="W589" s="40">
        <f t="shared" si="435"/>
        <v>0</v>
      </c>
      <c r="X589" s="40">
        <f t="shared" si="435"/>
        <v>0</v>
      </c>
      <c r="Y589" s="40">
        <f t="shared" si="435"/>
        <v>0</v>
      </c>
      <c r="Z589" s="39" t="s">
        <v>1646</v>
      </c>
      <c r="AA589" s="41" t="s">
        <v>41</v>
      </c>
      <c r="AB589" s="42" t="s">
        <v>49</v>
      </c>
      <c r="AC589" s="42" t="s">
        <v>49</v>
      </c>
      <c r="AD589" s="43"/>
    </row>
    <row r="590" spans="1:30" ht="46.5" x14ac:dyDescent="0.25">
      <c r="A590" s="37" t="s">
        <v>1647</v>
      </c>
      <c r="B590" s="38" t="s">
        <v>1648</v>
      </c>
      <c r="C590" s="39"/>
      <c r="D590" s="39"/>
      <c r="E590" s="39"/>
      <c r="F590" s="44">
        <v>0</v>
      </c>
      <c r="G590" s="44">
        <v>0</v>
      </c>
      <c r="H590" s="44">
        <v>0</v>
      </c>
      <c r="I590" s="44">
        <v>0</v>
      </c>
      <c r="J590" s="44">
        <v>0</v>
      </c>
      <c r="K590" s="44">
        <v>0</v>
      </c>
      <c r="L590" s="44">
        <v>0</v>
      </c>
      <c r="M590" s="44">
        <v>0</v>
      </c>
      <c r="N590" s="44">
        <v>0</v>
      </c>
      <c r="O590" s="44">
        <v>0</v>
      </c>
      <c r="P590" s="44">
        <v>0</v>
      </c>
      <c r="Q590" s="44">
        <v>0</v>
      </c>
      <c r="R590" s="44">
        <v>0</v>
      </c>
      <c r="S590" s="44">
        <v>0</v>
      </c>
      <c r="T590" s="44">
        <v>0</v>
      </c>
      <c r="U590" s="44">
        <v>0</v>
      </c>
      <c r="V590" s="44">
        <v>0</v>
      </c>
      <c r="W590" s="44">
        <v>0</v>
      </c>
      <c r="X590" s="44">
        <v>0</v>
      </c>
      <c r="Y590" s="44">
        <v>0</v>
      </c>
      <c r="Z590" s="39"/>
      <c r="AA590" s="41"/>
      <c r="AB590" s="42"/>
      <c r="AC590" s="42"/>
      <c r="AD590" s="43"/>
    </row>
    <row r="591" spans="1:30" ht="46.5" x14ac:dyDescent="0.25">
      <c r="A591" s="37" t="s">
        <v>1649</v>
      </c>
      <c r="B591" s="38" t="s">
        <v>1650</v>
      </c>
      <c r="C591" s="39" t="s">
        <v>1541</v>
      </c>
      <c r="D591" s="39" t="s">
        <v>1645</v>
      </c>
      <c r="E591" s="39" t="s">
        <v>46</v>
      </c>
      <c r="F591" s="40">
        <f>SUM(F592:F592)+965.64</f>
        <v>965.64</v>
      </c>
      <c r="G591" s="40">
        <f t="shared" ref="G591:L591" si="436">SUM(G592:G592)</f>
        <v>0</v>
      </c>
      <c r="H591" s="40">
        <f t="shared" si="436"/>
        <v>0</v>
      </c>
      <c r="I591" s="40">
        <f t="shared" si="436"/>
        <v>0</v>
      </c>
      <c r="J591" s="40">
        <f t="shared" si="436"/>
        <v>0</v>
      </c>
      <c r="K591" s="40">
        <f t="shared" si="436"/>
        <v>0</v>
      </c>
      <c r="L591" s="40">
        <f t="shared" si="436"/>
        <v>0</v>
      </c>
      <c r="M591" s="40">
        <f>SUM(M592:M592)+965.64</f>
        <v>965.64</v>
      </c>
      <c r="N591" s="40">
        <f>SUM(N592:N592)</f>
        <v>0</v>
      </c>
      <c r="O591" s="40">
        <f>SUM(O592:O592)</f>
        <v>0</v>
      </c>
      <c r="P591" s="40">
        <f>SUM(P592:P592)+923.85</f>
        <v>923.85</v>
      </c>
      <c r="Q591" s="40">
        <f t="shared" ref="Q591:Y591" si="437">SUM(Q592:Q592)</f>
        <v>0</v>
      </c>
      <c r="R591" s="40">
        <f t="shared" si="437"/>
        <v>0</v>
      </c>
      <c r="S591" s="40">
        <f t="shared" si="437"/>
        <v>0</v>
      </c>
      <c r="T591" s="40">
        <f t="shared" si="437"/>
        <v>0</v>
      </c>
      <c r="U591" s="40">
        <f t="shared" si="437"/>
        <v>0</v>
      </c>
      <c r="V591" s="40">
        <f t="shared" si="437"/>
        <v>0</v>
      </c>
      <c r="W591" s="40">
        <f t="shared" si="437"/>
        <v>0</v>
      </c>
      <c r="X591" s="40">
        <f t="shared" si="437"/>
        <v>0</v>
      </c>
      <c r="Y591" s="40">
        <f t="shared" si="437"/>
        <v>0</v>
      </c>
      <c r="Z591" s="39" t="s">
        <v>1651</v>
      </c>
      <c r="AA591" s="41" t="s">
        <v>41</v>
      </c>
      <c r="AB591" s="42" t="s">
        <v>82</v>
      </c>
      <c r="AC591" s="42" t="s">
        <v>82</v>
      </c>
      <c r="AD591" s="43"/>
    </row>
    <row r="592" spans="1:30" ht="46.5" x14ac:dyDescent="0.25">
      <c r="A592" s="37" t="s">
        <v>1652</v>
      </c>
      <c r="B592" s="38" t="s">
        <v>1653</v>
      </c>
      <c r="C592" s="39"/>
      <c r="D592" s="39"/>
      <c r="E592" s="39"/>
      <c r="F592" s="44">
        <v>0</v>
      </c>
      <c r="G592" s="44">
        <v>0</v>
      </c>
      <c r="H592" s="44">
        <v>0</v>
      </c>
      <c r="I592" s="44">
        <v>0</v>
      </c>
      <c r="J592" s="44">
        <v>0</v>
      </c>
      <c r="K592" s="44">
        <v>0</v>
      </c>
      <c r="L592" s="44">
        <v>0</v>
      </c>
      <c r="M592" s="44">
        <v>0</v>
      </c>
      <c r="N592" s="44">
        <v>0</v>
      </c>
      <c r="O592" s="44">
        <v>0</v>
      </c>
      <c r="P592" s="44">
        <v>0</v>
      </c>
      <c r="Q592" s="44">
        <v>0</v>
      </c>
      <c r="R592" s="44">
        <v>0</v>
      </c>
      <c r="S592" s="44">
        <v>0</v>
      </c>
      <c r="T592" s="44">
        <v>0</v>
      </c>
      <c r="U592" s="44">
        <v>0</v>
      </c>
      <c r="V592" s="44">
        <v>0</v>
      </c>
      <c r="W592" s="44">
        <v>0</v>
      </c>
      <c r="X592" s="44">
        <v>0</v>
      </c>
      <c r="Y592" s="44">
        <v>0</v>
      </c>
      <c r="Z592" s="39"/>
      <c r="AA592" s="41"/>
      <c r="AB592" s="42"/>
      <c r="AC592" s="42"/>
      <c r="AD592" s="43"/>
    </row>
    <row r="593" spans="1:30" ht="69.75" x14ac:dyDescent="0.25">
      <c r="A593" s="37" t="s">
        <v>1654</v>
      </c>
      <c r="B593" s="38" t="s">
        <v>1655</v>
      </c>
      <c r="C593" s="39" t="s">
        <v>1541</v>
      </c>
      <c r="D593" s="39" t="s">
        <v>1619</v>
      </c>
      <c r="E593" s="39" t="s">
        <v>46</v>
      </c>
      <c r="F593" s="40">
        <f>SUM(F594:F594)+33000</f>
        <v>33000</v>
      </c>
      <c r="G593" s="40">
        <f>SUM(G594:G594)+33000</f>
        <v>33000</v>
      </c>
      <c r="H593" s="40">
        <f t="shared" ref="H593:O593" si="438">SUM(H594:H594)</f>
        <v>0</v>
      </c>
      <c r="I593" s="40">
        <f t="shared" si="438"/>
        <v>0</v>
      </c>
      <c r="J593" s="40">
        <f t="shared" si="438"/>
        <v>0</v>
      </c>
      <c r="K593" s="40">
        <f t="shared" si="438"/>
        <v>0</v>
      </c>
      <c r="L593" s="40">
        <f t="shared" si="438"/>
        <v>0</v>
      </c>
      <c r="M593" s="40">
        <f t="shared" si="438"/>
        <v>0</v>
      </c>
      <c r="N593" s="40">
        <f t="shared" si="438"/>
        <v>0</v>
      </c>
      <c r="O593" s="40">
        <f t="shared" si="438"/>
        <v>0</v>
      </c>
      <c r="P593" s="40">
        <f>SUM(P594:P594)+33000</f>
        <v>33000</v>
      </c>
      <c r="Q593" s="40">
        <f>SUM(Q594:Q594)+33000</f>
        <v>33000</v>
      </c>
      <c r="R593" s="40">
        <f t="shared" ref="R593:Y593" si="439">SUM(R594:R594)</f>
        <v>0</v>
      </c>
      <c r="S593" s="40">
        <f t="shared" si="439"/>
        <v>0</v>
      </c>
      <c r="T593" s="40">
        <f t="shared" si="439"/>
        <v>0</v>
      </c>
      <c r="U593" s="40">
        <f t="shared" si="439"/>
        <v>0</v>
      </c>
      <c r="V593" s="40">
        <f t="shared" si="439"/>
        <v>0</v>
      </c>
      <c r="W593" s="40">
        <f t="shared" si="439"/>
        <v>0</v>
      </c>
      <c r="X593" s="40">
        <f t="shared" si="439"/>
        <v>0</v>
      </c>
      <c r="Y593" s="40">
        <f t="shared" si="439"/>
        <v>0</v>
      </c>
      <c r="Z593" s="39" t="s">
        <v>1656</v>
      </c>
      <c r="AA593" s="41" t="s">
        <v>41</v>
      </c>
      <c r="AB593" s="42" t="s">
        <v>57</v>
      </c>
      <c r="AC593" s="42" t="s">
        <v>83</v>
      </c>
      <c r="AD593" s="43"/>
    </row>
    <row r="594" spans="1:30" x14ac:dyDescent="0.25">
      <c r="A594" s="37" t="s">
        <v>1657</v>
      </c>
      <c r="B594" s="38" t="s">
        <v>1658</v>
      </c>
      <c r="C594" s="39"/>
      <c r="D594" s="39"/>
      <c r="E594" s="39"/>
      <c r="F594" s="44">
        <v>0</v>
      </c>
      <c r="G594" s="44">
        <v>0</v>
      </c>
      <c r="H594" s="44">
        <v>0</v>
      </c>
      <c r="I594" s="44">
        <v>0</v>
      </c>
      <c r="J594" s="44">
        <v>0</v>
      </c>
      <c r="K594" s="44">
        <v>0</v>
      </c>
      <c r="L594" s="44">
        <v>0</v>
      </c>
      <c r="M594" s="44">
        <v>0</v>
      </c>
      <c r="N594" s="44">
        <v>0</v>
      </c>
      <c r="O594" s="44">
        <v>0</v>
      </c>
      <c r="P594" s="44">
        <v>0</v>
      </c>
      <c r="Q594" s="44">
        <v>0</v>
      </c>
      <c r="R594" s="44">
        <v>0</v>
      </c>
      <c r="S594" s="44">
        <v>0</v>
      </c>
      <c r="T594" s="44">
        <v>0</v>
      </c>
      <c r="U594" s="44">
        <v>0</v>
      </c>
      <c r="V594" s="44">
        <v>0</v>
      </c>
      <c r="W594" s="44">
        <v>0</v>
      </c>
      <c r="X594" s="44">
        <v>0</v>
      </c>
      <c r="Y594" s="44">
        <v>0</v>
      </c>
      <c r="Z594" s="39"/>
      <c r="AA594" s="41"/>
      <c r="AB594" s="42"/>
      <c r="AC594" s="42"/>
      <c r="AD594" s="43"/>
    </row>
    <row r="595" spans="1:30" ht="69.75" x14ac:dyDescent="0.25">
      <c r="A595" s="37" t="s">
        <v>1659</v>
      </c>
      <c r="B595" s="38" t="s">
        <v>1660</v>
      </c>
      <c r="C595" s="39" t="s">
        <v>1541</v>
      </c>
      <c r="D595" s="39" t="s">
        <v>1553</v>
      </c>
      <c r="E595" s="39" t="s">
        <v>46</v>
      </c>
      <c r="F595" s="40">
        <f>SUM(F596:F596)+549814</f>
        <v>549814</v>
      </c>
      <c r="G595" s="40">
        <f t="shared" ref="G595:L595" si="440">SUM(G596:G596)</f>
        <v>0</v>
      </c>
      <c r="H595" s="40">
        <f t="shared" si="440"/>
        <v>0</v>
      </c>
      <c r="I595" s="40">
        <f t="shared" si="440"/>
        <v>0</v>
      </c>
      <c r="J595" s="40">
        <f t="shared" si="440"/>
        <v>0</v>
      </c>
      <c r="K595" s="40">
        <f t="shared" si="440"/>
        <v>0</v>
      </c>
      <c r="L595" s="40">
        <f t="shared" si="440"/>
        <v>0</v>
      </c>
      <c r="M595" s="40">
        <f>SUM(M596:M596)+549814</f>
        <v>549814</v>
      </c>
      <c r="N595" s="40">
        <f>SUM(N596:N596)</f>
        <v>0</v>
      </c>
      <c r="O595" s="40">
        <f>SUM(O596:O596)</f>
        <v>0</v>
      </c>
      <c r="P595" s="40">
        <f>SUM(P596:P596)+543099.04</f>
        <v>543099.04</v>
      </c>
      <c r="Q595" s="40">
        <f t="shared" ref="Q595:Y595" si="441">SUM(Q596:Q596)</f>
        <v>0</v>
      </c>
      <c r="R595" s="40">
        <f t="shared" si="441"/>
        <v>0</v>
      </c>
      <c r="S595" s="40">
        <f t="shared" si="441"/>
        <v>0</v>
      </c>
      <c r="T595" s="40">
        <f t="shared" si="441"/>
        <v>0</v>
      </c>
      <c r="U595" s="40">
        <f t="shared" si="441"/>
        <v>0</v>
      </c>
      <c r="V595" s="40">
        <f t="shared" si="441"/>
        <v>0</v>
      </c>
      <c r="W595" s="40">
        <f t="shared" si="441"/>
        <v>0</v>
      </c>
      <c r="X595" s="40">
        <f t="shared" si="441"/>
        <v>0</v>
      </c>
      <c r="Y595" s="40">
        <f t="shared" si="441"/>
        <v>0</v>
      </c>
      <c r="Z595" s="39" t="s">
        <v>1661</v>
      </c>
      <c r="AA595" s="41" t="s">
        <v>41</v>
      </c>
      <c r="AB595" s="42" t="s">
        <v>897</v>
      </c>
      <c r="AC595" s="42" t="s">
        <v>1662</v>
      </c>
      <c r="AD595" s="43" t="s">
        <v>1663</v>
      </c>
    </row>
    <row r="596" spans="1:30" ht="69.75" x14ac:dyDescent="0.25">
      <c r="A596" s="37" t="s">
        <v>1664</v>
      </c>
      <c r="B596" s="38" t="s">
        <v>1665</v>
      </c>
      <c r="C596" s="39"/>
      <c r="D596" s="39"/>
      <c r="E596" s="39"/>
      <c r="F596" s="44">
        <v>0</v>
      </c>
      <c r="G596" s="44">
        <v>0</v>
      </c>
      <c r="H596" s="44">
        <v>0</v>
      </c>
      <c r="I596" s="44">
        <v>0</v>
      </c>
      <c r="J596" s="44">
        <v>0</v>
      </c>
      <c r="K596" s="44">
        <v>0</v>
      </c>
      <c r="L596" s="44">
        <v>0</v>
      </c>
      <c r="M596" s="44">
        <v>0</v>
      </c>
      <c r="N596" s="44">
        <v>0</v>
      </c>
      <c r="O596" s="44">
        <v>0</v>
      </c>
      <c r="P596" s="44">
        <v>0</v>
      </c>
      <c r="Q596" s="44">
        <v>0</v>
      </c>
      <c r="R596" s="44">
        <v>0</v>
      </c>
      <c r="S596" s="44">
        <v>0</v>
      </c>
      <c r="T596" s="44">
        <v>0</v>
      </c>
      <c r="U596" s="44">
        <v>0</v>
      </c>
      <c r="V596" s="44">
        <v>0</v>
      </c>
      <c r="W596" s="44">
        <v>0</v>
      </c>
      <c r="X596" s="44">
        <v>0</v>
      </c>
      <c r="Y596" s="44">
        <v>0</v>
      </c>
      <c r="Z596" s="39"/>
      <c r="AA596" s="41"/>
      <c r="AB596" s="42"/>
      <c r="AC596" s="42"/>
      <c r="AD596" s="43"/>
    </row>
    <row r="597" spans="1:30" ht="139.5" x14ac:dyDescent="0.25">
      <c r="A597" s="37" t="s">
        <v>1666</v>
      </c>
      <c r="B597" s="38" t="s">
        <v>1667</v>
      </c>
      <c r="C597" s="39" t="s">
        <v>1541</v>
      </c>
      <c r="D597" s="39" t="s">
        <v>1553</v>
      </c>
      <c r="E597" s="39" t="s">
        <v>46</v>
      </c>
      <c r="F597" s="40">
        <f>SUM(F598:F598)+10996</f>
        <v>10996</v>
      </c>
      <c r="G597" s="40">
        <f t="shared" ref="G597:L597" si="442">SUM(G598:G598)</f>
        <v>0</v>
      </c>
      <c r="H597" s="40">
        <f t="shared" si="442"/>
        <v>0</v>
      </c>
      <c r="I597" s="40">
        <f t="shared" si="442"/>
        <v>0</v>
      </c>
      <c r="J597" s="40">
        <f t="shared" si="442"/>
        <v>0</v>
      </c>
      <c r="K597" s="40">
        <f t="shared" si="442"/>
        <v>0</v>
      </c>
      <c r="L597" s="40">
        <f t="shared" si="442"/>
        <v>0</v>
      </c>
      <c r="M597" s="40">
        <f>SUM(M598:M598)+10996</f>
        <v>10996</v>
      </c>
      <c r="N597" s="40">
        <f>SUM(N598:N598)</f>
        <v>0</v>
      </c>
      <c r="O597" s="40">
        <f>SUM(O598:O598)</f>
        <v>0</v>
      </c>
      <c r="P597" s="40">
        <f>SUM(P598:P598)+10750.78</f>
        <v>10750.78</v>
      </c>
      <c r="Q597" s="40">
        <f t="shared" ref="Q597:Y597" si="443">SUM(Q598:Q598)</f>
        <v>0</v>
      </c>
      <c r="R597" s="40">
        <f t="shared" si="443"/>
        <v>0</v>
      </c>
      <c r="S597" s="40">
        <f t="shared" si="443"/>
        <v>0</v>
      </c>
      <c r="T597" s="40">
        <f t="shared" si="443"/>
        <v>0</v>
      </c>
      <c r="U597" s="40">
        <f t="shared" si="443"/>
        <v>0</v>
      </c>
      <c r="V597" s="40">
        <f t="shared" si="443"/>
        <v>0</v>
      </c>
      <c r="W597" s="40">
        <f t="shared" si="443"/>
        <v>0</v>
      </c>
      <c r="X597" s="40">
        <f t="shared" si="443"/>
        <v>0</v>
      </c>
      <c r="Y597" s="40">
        <f t="shared" si="443"/>
        <v>0</v>
      </c>
      <c r="Z597" s="39" t="s">
        <v>1668</v>
      </c>
      <c r="AA597" s="41" t="s">
        <v>41</v>
      </c>
      <c r="AB597" s="42" t="s">
        <v>83</v>
      </c>
      <c r="AC597" s="42" t="s">
        <v>544</v>
      </c>
      <c r="AD597" s="43" t="s">
        <v>1669</v>
      </c>
    </row>
    <row r="598" spans="1:30" ht="46.5" x14ac:dyDescent="0.25">
      <c r="A598" s="37" t="s">
        <v>1670</v>
      </c>
      <c r="B598" s="38" t="s">
        <v>1671</v>
      </c>
      <c r="C598" s="39"/>
      <c r="D598" s="39"/>
      <c r="E598" s="39"/>
      <c r="F598" s="44">
        <v>0</v>
      </c>
      <c r="G598" s="44">
        <v>0</v>
      </c>
      <c r="H598" s="44">
        <v>0</v>
      </c>
      <c r="I598" s="44">
        <v>0</v>
      </c>
      <c r="J598" s="44">
        <v>0</v>
      </c>
      <c r="K598" s="44">
        <v>0</v>
      </c>
      <c r="L598" s="44">
        <v>0</v>
      </c>
      <c r="M598" s="44">
        <v>0</v>
      </c>
      <c r="N598" s="44">
        <v>0</v>
      </c>
      <c r="O598" s="44">
        <v>0</v>
      </c>
      <c r="P598" s="44">
        <v>0</v>
      </c>
      <c r="Q598" s="44">
        <v>0</v>
      </c>
      <c r="R598" s="44">
        <v>0</v>
      </c>
      <c r="S598" s="44">
        <v>0</v>
      </c>
      <c r="T598" s="44">
        <v>0</v>
      </c>
      <c r="U598" s="44">
        <v>0</v>
      </c>
      <c r="V598" s="44">
        <v>0</v>
      </c>
      <c r="W598" s="44">
        <v>0</v>
      </c>
      <c r="X598" s="44">
        <v>0</v>
      </c>
      <c r="Y598" s="44">
        <v>0</v>
      </c>
      <c r="Z598" s="39"/>
      <c r="AA598" s="41"/>
      <c r="AB598" s="42"/>
      <c r="AC598" s="42"/>
      <c r="AD598" s="43"/>
    </row>
    <row r="599" spans="1:30" ht="46.5" x14ac:dyDescent="0.25">
      <c r="A599" s="37" t="s">
        <v>1672</v>
      </c>
      <c r="B599" s="38" t="s">
        <v>1673</v>
      </c>
      <c r="C599" s="39" t="s">
        <v>1541</v>
      </c>
      <c r="D599" s="39" t="s">
        <v>1674</v>
      </c>
      <c r="E599" s="39" t="s">
        <v>46</v>
      </c>
      <c r="F599" s="40">
        <f>SUM(F600:F600)+2400</f>
        <v>2400</v>
      </c>
      <c r="G599" s="40">
        <f>SUM(G600:G600)</f>
        <v>0</v>
      </c>
      <c r="H599" s="40">
        <f>SUM(H600:H600)</f>
        <v>0</v>
      </c>
      <c r="I599" s="40">
        <f>SUM(I600:I600)</f>
        <v>0</v>
      </c>
      <c r="J599" s="40">
        <f>SUM(J600:J600)+2400</f>
        <v>2400</v>
      </c>
      <c r="K599" s="40">
        <f>SUM(K600:K600)</f>
        <v>0</v>
      </c>
      <c r="L599" s="40">
        <f>SUM(L600:L600)</f>
        <v>0</v>
      </c>
      <c r="M599" s="40">
        <f>SUM(M600:M600)</f>
        <v>0</v>
      </c>
      <c r="N599" s="40">
        <f>SUM(N600:N600)</f>
        <v>0</v>
      </c>
      <c r="O599" s="40">
        <f>SUM(O600:O600)</f>
        <v>0</v>
      </c>
      <c r="P599" s="40">
        <f>SUM(P600:P600)+2400</f>
        <v>2400</v>
      </c>
      <c r="Q599" s="40">
        <f t="shared" ref="Q599:Y599" si="444">SUM(Q600:Q600)</f>
        <v>0</v>
      </c>
      <c r="R599" s="40">
        <f t="shared" si="444"/>
        <v>0</v>
      </c>
      <c r="S599" s="40">
        <f t="shared" si="444"/>
        <v>0</v>
      </c>
      <c r="T599" s="40">
        <f t="shared" si="444"/>
        <v>0</v>
      </c>
      <c r="U599" s="40">
        <f t="shared" si="444"/>
        <v>0</v>
      </c>
      <c r="V599" s="40">
        <f t="shared" si="444"/>
        <v>0</v>
      </c>
      <c r="W599" s="40">
        <f t="shared" si="444"/>
        <v>0</v>
      </c>
      <c r="X599" s="40">
        <f t="shared" si="444"/>
        <v>0</v>
      </c>
      <c r="Y599" s="40">
        <f t="shared" si="444"/>
        <v>0</v>
      </c>
      <c r="Z599" s="39" t="s">
        <v>1675</v>
      </c>
      <c r="AA599" s="41" t="s">
        <v>41</v>
      </c>
      <c r="AB599" s="42" t="s">
        <v>107</v>
      </c>
      <c r="AC599" s="42" t="s">
        <v>107</v>
      </c>
      <c r="AD599" s="43"/>
    </row>
    <row r="600" spans="1:30" ht="46.5" x14ac:dyDescent="0.25">
      <c r="A600" s="37" t="s">
        <v>1676</v>
      </c>
      <c r="B600" s="38" t="s">
        <v>1677</v>
      </c>
      <c r="C600" s="39"/>
      <c r="D600" s="39"/>
      <c r="E600" s="39"/>
      <c r="F600" s="44">
        <v>0</v>
      </c>
      <c r="G600" s="44">
        <v>0</v>
      </c>
      <c r="H600" s="44">
        <v>0</v>
      </c>
      <c r="I600" s="44">
        <v>0</v>
      </c>
      <c r="J600" s="44">
        <v>0</v>
      </c>
      <c r="K600" s="44">
        <v>0</v>
      </c>
      <c r="L600" s="44">
        <v>0</v>
      </c>
      <c r="M600" s="44">
        <v>0</v>
      </c>
      <c r="N600" s="44">
        <v>0</v>
      </c>
      <c r="O600" s="44">
        <v>0</v>
      </c>
      <c r="P600" s="44">
        <v>0</v>
      </c>
      <c r="Q600" s="44">
        <v>0</v>
      </c>
      <c r="R600" s="44">
        <v>0</v>
      </c>
      <c r="S600" s="44">
        <v>0</v>
      </c>
      <c r="T600" s="44">
        <v>0</v>
      </c>
      <c r="U600" s="44">
        <v>0</v>
      </c>
      <c r="V600" s="44">
        <v>0</v>
      </c>
      <c r="W600" s="44">
        <v>0</v>
      </c>
      <c r="X600" s="44">
        <v>0</v>
      </c>
      <c r="Y600" s="44">
        <v>0</v>
      </c>
      <c r="Z600" s="39"/>
      <c r="AA600" s="41"/>
      <c r="AB600" s="42"/>
      <c r="AC600" s="42"/>
      <c r="AD600" s="43"/>
    </row>
    <row r="601" spans="1:30" ht="180" x14ac:dyDescent="0.25">
      <c r="A601" s="30" t="s">
        <v>1678</v>
      </c>
      <c r="B601" s="31" t="s">
        <v>1679</v>
      </c>
      <c r="C601" s="32" t="s">
        <v>1541</v>
      </c>
      <c r="D601" s="32" t="s">
        <v>1544</v>
      </c>
      <c r="E601" s="32" t="s">
        <v>39</v>
      </c>
      <c r="F601" s="33">
        <f t="shared" ref="F601:Y601" si="445">SUM(F602:F602)</f>
        <v>13900</v>
      </c>
      <c r="G601" s="33">
        <f t="shared" si="445"/>
        <v>13900</v>
      </c>
      <c r="H601" s="33">
        <f t="shared" si="445"/>
        <v>0</v>
      </c>
      <c r="I601" s="33">
        <f t="shared" si="445"/>
        <v>0</v>
      </c>
      <c r="J601" s="33">
        <f t="shared" si="445"/>
        <v>0</v>
      </c>
      <c r="K601" s="33">
        <f t="shared" si="445"/>
        <v>0</v>
      </c>
      <c r="L601" s="33">
        <f t="shared" si="445"/>
        <v>0</v>
      </c>
      <c r="M601" s="33">
        <f t="shared" si="445"/>
        <v>0</v>
      </c>
      <c r="N601" s="33">
        <f t="shared" si="445"/>
        <v>0</v>
      </c>
      <c r="O601" s="33">
        <f t="shared" si="445"/>
        <v>0</v>
      </c>
      <c r="P601" s="33">
        <f t="shared" si="445"/>
        <v>13617.89</v>
      </c>
      <c r="Q601" s="33">
        <f t="shared" si="445"/>
        <v>13617.89</v>
      </c>
      <c r="R601" s="33">
        <f t="shared" si="445"/>
        <v>0</v>
      </c>
      <c r="S601" s="33">
        <f t="shared" si="445"/>
        <v>0</v>
      </c>
      <c r="T601" s="33">
        <f t="shared" si="445"/>
        <v>0</v>
      </c>
      <c r="U601" s="33">
        <f t="shared" si="445"/>
        <v>0</v>
      </c>
      <c r="V601" s="33">
        <f t="shared" si="445"/>
        <v>0</v>
      </c>
      <c r="W601" s="33">
        <f t="shared" si="445"/>
        <v>0</v>
      </c>
      <c r="X601" s="33">
        <f t="shared" si="445"/>
        <v>0</v>
      </c>
      <c r="Y601" s="33">
        <f t="shared" si="445"/>
        <v>0</v>
      </c>
      <c r="Z601" s="32" t="s">
        <v>1680</v>
      </c>
      <c r="AA601" s="34" t="s">
        <v>41</v>
      </c>
      <c r="AB601" s="35" t="s">
        <v>1681</v>
      </c>
      <c r="AC601" s="35" t="s">
        <v>124</v>
      </c>
      <c r="AD601" s="36" t="s">
        <v>1682</v>
      </c>
    </row>
    <row r="602" spans="1:30" ht="93" x14ac:dyDescent="0.25">
      <c r="A602" s="37" t="s">
        <v>1683</v>
      </c>
      <c r="B602" s="38" t="s">
        <v>1684</v>
      </c>
      <c r="C602" s="39" t="s">
        <v>1541</v>
      </c>
      <c r="D602" s="39" t="s">
        <v>1685</v>
      </c>
      <c r="E602" s="39" t="s">
        <v>46</v>
      </c>
      <c r="F602" s="40">
        <f>SUM(F603:F603)+13900</f>
        <v>13900</v>
      </c>
      <c r="G602" s="40">
        <f>SUM(G603:G603)+13900</f>
        <v>13900</v>
      </c>
      <c r="H602" s="40">
        <f t="shared" ref="H602:O602" si="446">SUM(H603:H603)</f>
        <v>0</v>
      </c>
      <c r="I602" s="40">
        <f t="shared" si="446"/>
        <v>0</v>
      </c>
      <c r="J602" s="40">
        <f t="shared" si="446"/>
        <v>0</v>
      </c>
      <c r="K602" s="40">
        <f t="shared" si="446"/>
        <v>0</v>
      </c>
      <c r="L602" s="40">
        <f t="shared" si="446"/>
        <v>0</v>
      </c>
      <c r="M602" s="40">
        <f t="shared" si="446"/>
        <v>0</v>
      </c>
      <c r="N602" s="40">
        <f t="shared" si="446"/>
        <v>0</v>
      </c>
      <c r="O602" s="40">
        <f t="shared" si="446"/>
        <v>0</v>
      </c>
      <c r="P602" s="40">
        <f>SUM(P603:P603)+13617.89</f>
        <v>13617.89</v>
      </c>
      <c r="Q602" s="40">
        <f>SUM(Q603:Q603)+13617.89</f>
        <v>13617.89</v>
      </c>
      <c r="R602" s="40">
        <f t="shared" ref="R602:Y602" si="447">SUM(R603:R603)</f>
        <v>0</v>
      </c>
      <c r="S602" s="40">
        <f t="shared" si="447"/>
        <v>0</v>
      </c>
      <c r="T602" s="40">
        <f t="shared" si="447"/>
        <v>0</v>
      </c>
      <c r="U602" s="40">
        <f t="shared" si="447"/>
        <v>0</v>
      </c>
      <c r="V602" s="40">
        <f t="shared" si="447"/>
        <v>0</v>
      </c>
      <c r="W602" s="40">
        <f t="shared" si="447"/>
        <v>0</v>
      </c>
      <c r="X602" s="40">
        <f t="shared" si="447"/>
        <v>0</v>
      </c>
      <c r="Y602" s="40">
        <f t="shared" si="447"/>
        <v>0</v>
      </c>
      <c r="Z602" s="39" t="s">
        <v>1686</v>
      </c>
      <c r="AA602" s="41" t="s">
        <v>41</v>
      </c>
      <c r="AB602" s="42" t="s">
        <v>1687</v>
      </c>
      <c r="AC602" s="42" t="s">
        <v>80</v>
      </c>
      <c r="AD602" s="43" t="s">
        <v>1688</v>
      </c>
    </row>
    <row r="603" spans="1:30" ht="46.5" x14ac:dyDescent="0.25">
      <c r="A603" s="37" t="s">
        <v>1689</v>
      </c>
      <c r="B603" s="38" t="s">
        <v>1690</v>
      </c>
      <c r="C603" s="39"/>
      <c r="D603" s="39"/>
      <c r="E603" s="39"/>
      <c r="F603" s="44">
        <v>0</v>
      </c>
      <c r="G603" s="44">
        <v>0</v>
      </c>
      <c r="H603" s="44">
        <v>0</v>
      </c>
      <c r="I603" s="44">
        <v>0</v>
      </c>
      <c r="J603" s="44">
        <v>0</v>
      </c>
      <c r="K603" s="44">
        <v>0</v>
      </c>
      <c r="L603" s="44">
        <v>0</v>
      </c>
      <c r="M603" s="44">
        <v>0</v>
      </c>
      <c r="N603" s="44">
        <v>0</v>
      </c>
      <c r="O603" s="44">
        <v>0</v>
      </c>
      <c r="P603" s="44">
        <v>0</v>
      </c>
      <c r="Q603" s="44">
        <v>0</v>
      </c>
      <c r="R603" s="44">
        <v>0</v>
      </c>
      <c r="S603" s="44">
        <v>0</v>
      </c>
      <c r="T603" s="44">
        <v>0</v>
      </c>
      <c r="U603" s="44">
        <v>0</v>
      </c>
      <c r="V603" s="44">
        <v>0</v>
      </c>
      <c r="W603" s="44">
        <v>0</v>
      </c>
      <c r="X603" s="44">
        <v>0</v>
      </c>
      <c r="Y603" s="44">
        <v>0</v>
      </c>
      <c r="Z603" s="39"/>
      <c r="AA603" s="41"/>
      <c r="AB603" s="42"/>
      <c r="AC603" s="42"/>
      <c r="AD603" s="43"/>
    </row>
    <row r="604" spans="1:30" ht="45" x14ac:dyDescent="0.25">
      <c r="A604" s="23" t="s">
        <v>1691</v>
      </c>
      <c r="B604" s="24" t="s">
        <v>1692</v>
      </c>
      <c r="C604" s="25" t="s">
        <v>1541</v>
      </c>
      <c r="D604" s="25" t="s">
        <v>1544</v>
      </c>
      <c r="E604" s="25"/>
      <c r="F604" s="26">
        <f t="shared" ref="F604:Y604" si="448">F605+F608+F618+F621+F624+F714+F717</f>
        <v>16748220.059999999</v>
      </c>
      <c r="G604" s="26">
        <f t="shared" si="448"/>
        <v>3870705.6900000004</v>
      </c>
      <c r="H604" s="26">
        <f t="shared" si="448"/>
        <v>114419.24</v>
      </c>
      <c r="I604" s="26">
        <f t="shared" si="448"/>
        <v>0</v>
      </c>
      <c r="J604" s="26">
        <f t="shared" si="448"/>
        <v>628054</v>
      </c>
      <c r="K604" s="26">
        <f t="shared" si="448"/>
        <v>0</v>
      </c>
      <c r="L604" s="26">
        <f t="shared" si="448"/>
        <v>788433.99</v>
      </c>
      <c r="M604" s="26">
        <f t="shared" si="448"/>
        <v>10246441.139999999</v>
      </c>
      <c r="N604" s="26">
        <f t="shared" si="448"/>
        <v>0</v>
      </c>
      <c r="O604" s="26">
        <f t="shared" si="448"/>
        <v>0</v>
      </c>
      <c r="P604" s="26">
        <f t="shared" si="448"/>
        <v>16250186.339999998</v>
      </c>
      <c r="Q604" s="26">
        <f t="shared" si="448"/>
        <v>1146249.9300000002</v>
      </c>
      <c r="R604" s="26">
        <f t="shared" si="448"/>
        <v>40105.31</v>
      </c>
      <c r="S604" s="26">
        <f t="shared" si="448"/>
        <v>0</v>
      </c>
      <c r="T604" s="26">
        <f t="shared" si="448"/>
        <v>0</v>
      </c>
      <c r="U604" s="26">
        <f t="shared" si="448"/>
        <v>0</v>
      </c>
      <c r="V604" s="26">
        <f t="shared" si="448"/>
        <v>0</v>
      </c>
      <c r="W604" s="26">
        <f t="shared" si="448"/>
        <v>10128028.209999999</v>
      </c>
      <c r="X604" s="26">
        <f t="shared" si="448"/>
        <v>0</v>
      </c>
      <c r="Y604" s="26">
        <f t="shared" si="448"/>
        <v>0</v>
      </c>
      <c r="Z604" s="25" t="s">
        <v>560</v>
      </c>
      <c r="AA604" s="27" t="s">
        <v>35</v>
      </c>
      <c r="AB604" s="28" t="s">
        <v>104</v>
      </c>
      <c r="AC604" s="28" t="s">
        <v>1693</v>
      </c>
      <c r="AD604" s="29"/>
    </row>
    <row r="605" spans="1:30" ht="180" x14ac:dyDescent="0.25">
      <c r="A605" s="30" t="s">
        <v>1694</v>
      </c>
      <c r="B605" s="31" t="s">
        <v>1695</v>
      </c>
      <c r="C605" s="32" t="s">
        <v>1541</v>
      </c>
      <c r="D605" s="32" t="s">
        <v>1544</v>
      </c>
      <c r="E605" s="32" t="s">
        <v>39</v>
      </c>
      <c r="F605" s="33">
        <f t="shared" ref="F605:Y605" si="449">SUM(F606:F606)</f>
        <v>121931.11</v>
      </c>
      <c r="G605" s="33">
        <f t="shared" si="449"/>
        <v>3500</v>
      </c>
      <c r="H605" s="33">
        <f t="shared" si="449"/>
        <v>0</v>
      </c>
      <c r="I605" s="33">
        <f t="shared" si="449"/>
        <v>0</v>
      </c>
      <c r="J605" s="33">
        <f t="shared" si="449"/>
        <v>0</v>
      </c>
      <c r="K605" s="33">
        <f t="shared" si="449"/>
        <v>0</v>
      </c>
      <c r="L605" s="33">
        <f t="shared" si="449"/>
        <v>0</v>
      </c>
      <c r="M605" s="33">
        <f t="shared" si="449"/>
        <v>118431.11</v>
      </c>
      <c r="N605" s="33">
        <f t="shared" si="449"/>
        <v>0</v>
      </c>
      <c r="O605" s="33">
        <f t="shared" si="449"/>
        <v>0</v>
      </c>
      <c r="P605" s="33">
        <f t="shared" si="449"/>
        <v>121931.11</v>
      </c>
      <c r="Q605" s="33">
        <f t="shared" si="449"/>
        <v>3500</v>
      </c>
      <c r="R605" s="33">
        <f t="shared" si="449"/>
        <v>0</v>
      </c>
      <c r="S605" s="33">
        <f t="shared" si="449"/>
        <v>0</v>
      </c>
      <c r="T605" s="33">
        <f t="shared" si="449"/>
        <v>0</v>
      </c>
      <c r="U605" s="33">
        <f t="shared" si="449"/>
        <v>0</v>
      </c>
      <c r="V605" s="33">
        <f t="shared" si="449"/>
        <v>0</v>
      </c>
      <c r="W605" s="33">
        <f t="shared" si="449"/>
        <v>118431.11</v>
      </c>
      <c r="X605" s="33">
        <f t="shared" si="449"/>
        <v>0</v>
      </c>
      <c r="Y605" s="33">
        <f t="shared" si="449"/>
        <v>0</v>
      </c>
      <c r="Z605" s="32" t="s">
        <v>1696</v>
      </c>
      <c r="AA605" s="34" t="s">
        <v>41</v>
      </c>
      <c r="AB605" s="35" t="s">
        <v>561</v>
      </c>
      <c r="AC605" s="35" t="s">
        <v>1697</v>
      </c>
      <c r="AD605" s="36" t="s">
        <v>1698</v>
      </c>
    </row>
    <row r="606" spans="1:30" ht="46.5" x14ac:dyDescent="0.25">
      <c r="A606" s="37" t="s">
        <v>1699</v>
      </c>
      <c r="B606" s="38" t="s">
        <v>1700</v>
      </c>
      <c r="C606" s="39" t="s">
        <v>1541</v>
      </c>
      <c r="D606" s="39" t="s">
        <v>1701</v>
      </c>
      <c r="E606" s="39" t="s">
        <v>46</v>
      </c>
      <c r="F606" s="40">
        <f>SUM(F607:F607)+121931.11</f>
        <v>121931.11</v>
      </c>
      <c r="G606" s="40">
        <f>SUM(G607:G607)+3500</f>
        <v>3500</v>
      </c>
      <c r="H606" s="40">
        <f>SUM(H607:H607)</f>
        <v>0</v>
      </c>
      <c r="I606" s="40">
        <f>SUM(I607:I607)</f>
        <v>0</v>
      </c>
      <c r="J606" s="40">
        <f>SUM(J607:J607)</f>
        <v>0</v>
      </c>
      <c r="K606" s="40">
        <f>SUM(K607:K607)</f>
        <v>0</v>
      </c>
      <c r="L606" s="40">
        <f>SUM(L607:L607)</f>
        <v>0</v>
      </c>
      <c r="M606" s="40">
        <f>SUM(M607:M607)+118431.11</f>
        <v>118431.11</v>
      </c>
      <c r="N606" s="40">
        <f>SUM(N607:N607)</f>
        <v>0</v>
      </c>
      <c r="O606" s="40">
        <f>SUM(O607:O607)</f>
        <v>0</v>
      </c>
      <c r="P606" s="40">
        <f>SUM(P607:P607)+121931.11</f>
        <v>121931.11</v>
      </c>
      <c r="Q606" s="40">
        <f>SUM(Q607:Q607)+3500</f>
        <v>3500</v>
      </c>
      <c r="R606" s="40">
        <f>SUM(R607:R607)</f>
        <v>0</v>
      </c>
      <c r="S606" s="40">
        <f>SUM(S607:S607)</f>
        <v>0</v>
      </c>
      <c r="T606" s="40">
        <f>SUM(T607:T607)</f>
        <v>0</v>
      </c>
      <c r="U606" s="40">
        <f>SUM(U607:U607)</f>
        <v>0</v>
      </c>
      <c r="V606" s="40">
        <f>SUM(V607:V607)</f>
        <v>0</v>
      </c>
      <c r="W606" s="40">
        <f>SUM(W607:W607)+118431.11</f>
        <v>118431.11</v>
      </c>
      <c r="X606" s="40">
        <f>SUM(X607:X607)</f>
        <v>0</v>
      </c>
      <c r="Y606" s="40">
        <f>SUM(Y607:Y607)</f>
        <v>0</v>
      </c>
      <c r="Z606" s="39" t="s">
        <v>1702</v>
      </c>
      <c r="AA606" s="41" t="s">
        <v>41</v>
      </c>
      <c r="AB606" s="42" t="s">
        <v>1703</v>
      </c>
      <c r="AC606" s="42" t="s">
        <v>1704</v>
      </c>
      <c r="AD606" s="43" t="s">
        <v>1705</v>
      </c>
    </row>
    <row r="607" spans="1:30" ht="46.5" x14ac:dyDescent="0.25">
      <c r="A607" s="37" t="s">
        <v>1706</v>
      </c>
      <c r="B607" s="38" t="s">
        <v>1707</v>
      </c>
      <c r="C607" s="39"/>
      <c r="D607" s="39"/>
      <c r="E607" s="39"/>
      <c r="F607" s="44">
        <v>0</v>
      </c>
      <c r="G607" s="44">
        <v>0</v>
      </c>
      <c r="H607" s="44">
        <v>0</v>
      </c>
      <c r="I607" s="44">
        <v>0</v>
      </c>
      <c r="J607" s="44">
        <v>0</v>
      </c>
      <c r="K607" s="44">
        <v>0</v>
      </c>
      <c r="L607" s="44">
        <v>0</v>
      </c>
      <c r="M607" s="44">
        <v>0</v>
      </c>
      <c r="N607" s="44">
        <v>0</v>
      </c>
      <c r="O607" s="44">
        <v>0</v>
      </c>
      <c r="P607" s="44">
        <v>0</v>
      </c>
      <c r="Q607" s="44">
        <v>0</v>
      </c>
      <c r="R607" s="44">
        <v>0</v>
      </c>
      <c r="S607" s="44">
        <v>0</v>
      </c>
      <c r="T607" s="44">
        <v>0</v>
      </c>
      <c r="U607" s="44">
        <v>0</v>
      </c>
      <c r="V607" s="44">
        <v>0</v>
      </c>
      <c r="W607" s="44">
        <v>0</v>
      </c>
      <c r="X607" s="44">
        <v>0</v>
      </c>
      <c r="Y607" s="44">
        <v>0</v>
      </c>
      <c r="Z607" s="39"/>
      <c r="AA607" s="41"/>
      <c r="AB607" s="42"/>
      <c r="AC607" s="42"/>
      <c r="AD607" s="43"/>
    </row>
    <row r="608" spans="1:30" ht="67.5" x14ac:dyDescent="0.25">
      <c r="A608" s="30" t="s">
        <v>1708</v>
      </c>
      <c r="B608" s="31" t="s">
        <v>1709</v>
      </c>
      <c r="C608" s="32" t="s">
        <v>1710</v>
      </c>
      <c r="D608" s="32" t="s">
        <v>1711</v>
      </c>
      <c r="E608" s="32" t="s">
        <v>39</v>
      </c>
      <c r="F608" s="33">
        <f t="shared" ref="F608:Y608" si="450">F609+F610+F612</f>
        <v>1346445.61</v>
      </c>
      <c r="G608" s="33">
        <f t="shared" si="450"/>
        <v>430438.39</v>
      </c>
      <c r="H608" s="33">
        <f t="shared" si="450"/>
        <v>0</v>
      </c>
      <c r="I608" s="33">
        <f t="shared" si="450"/>
        <v>0</v>
      </c>
      <c r="J608" s="33">
        <f t="shared" si="450"/>
        <v>0</v>
      </c>
      <c r="K608" s="33">
        <f t="shared" si="450"/>
        <v>0</v>
      </c>
      <c r="L608" s="33">
        <f t="shared" si="450"/>
        <v>788433.99</v>
      </c>
      <c r="M608" s="33">
        <f t="shared" si="450"/>
        <v>127573.23</v>
      </c>
      <c r="N608" s="33">
        <f t="shared" si="450"/>
        <v>0</v>
      </c>
      <c r="O608" s="33">
        <f t="shared" si="450"/>
        <v>0</v>
      </c>
      <c r="P608" s="33">
        <f t="shared" si="450"/>
        <v>982151.78</v>
      </c>
      <c r="Q608" s="33">
        <f t="shared" si="450"/>
        <v>390607.56</v>
      </c>
      <c r="R608" s="33">
        <f t="shared" si="450"/>
        <v>0</v>
      </c>
      <c r="S608" s="33">
        <f t="shared" si="450"/>
        <v>0</v>
      </c>
      <c r="T608" s="33">
        <f t="shared" si="450"/>
        <v>0</v>
      </c>
      <c r="U608" s="33">
        <f t="shared" si="450"/>
        <v>0</v>
      </c>
      <c r="V608" s="33">
        <f t="shared" si="450"/>
        <v>0</v>
      </c>
      <c r="W608" s="33">
        <f t="shared" si="450"/>
        <v>74230.89</v>
      </c>
      <c r="X608" s="33">
        <f t="shared" si="450"/>
        <v>0</v>
      </c>
      <c r="Y608" s="33">
        <f t="shared" si="450"/>
        <v>0</v>
      </c>
      <c r="Z608" s="32" t="s">
        <v>1712</v>
      </c>
      <c r="AA608" s="34" t="s">
        <v>41</v>
      </c>
      <c r="AB608" s="35" t="s">
        <v>57</v>
      </c>
      <c r="AC608" s="35" t="s">
        <v>57</v>
      </c>
      <c r="AD608" s="36"/>
    </row>
    <row r="609" spans="1:30" ht="116.25" x14ac:dyDescent="0.25">
      <c r="A609" s="45"/>
      <c r="B609" s="46"/>
      <c r="C609" s="47"/>
      <c r="D609" s="47"/>
      <c r="E609" s="47"/>
      <c r="F609" s="48">
        <v>0</v>
      </c>
      <c r="G609" s="48">
        <v>0</v>
      </c>
      <c r="H609" s="48">
        <v>0</v>
      </c>
      <c r="I609" s="48">
        <v>0</v>
      </c>
      <c r="J609" s="48">
        <v>0</v>
      </c>
      <c r="K609" s="48">
        <v>0</v>
      </c>
      <c r="L609" s="48">
        <v>0</v>
      </c>
      <c r="M609" s="48">
        <v>0</v>
      </c>
      <c r="N609" s="48">
        <v>0</v>
      </c>
      <c r="O609" s="48">
        <v>0</v>
      </c>
      <c r="P609" s="48">
        <v>0</v>
      </c>
      <c r="Q609" s="48">
        <v>0</v>
      </c>
      <c r="R609" s="48">
        <v>0</v>
      </c>
      <c r="S609" s="48">
        <v>0</v>
      </c>
      <c r="T609" s="48">
        <v>0</v>
      </c>
      <c r="U609" s="48">
        <v>0</v>
      </c>
      <c r="V609" s="48">
        <v>0</v>
      </c>
      <c r="W609" s="48">
        <v>0</v>
      </c>
      <c r="X609" s="48">
        <v>0</v>
      </c>
      <c r="Y609" s="48">
        <v>0</v>
      </c>
      <c r="Z609" s="47" t="s">
        <v>1713</v>
      </c>
      <c r="AA609" s="49" t="s">
        <v>41</v>
      </c>
      <c r="AB609" s="50" t="s">
        <v>56</v>
      </c>
      <c r="AC609" s="50" t="s">
        <v>57</v>
      </c>
      <c r="AD609" s="51" t="s">
        <v>1714</v>
      </c>
    </row>
    <row r="610" spans="1:30" ht="93" x14ac:dyDescent="0.25">
      <c r="A610" s="37" t="s">
        <v>1715</v>
      </c>
      <c r="B610" s="38" t="s">
        <v>1716</v>
      </c>
      <c r="C610" s="39" t="s">
        <v>312</v>
      </c>
      <c r="D610" s="39" t="s">
        <v>323</v>
      </c>
      <c r="E610" s="39" t="s">
        <v>46</v>
      </c>
      <c r="F610" s="40">
        <f>SUM(F611:F611)+323065.46</f>
        <v>323065.46000000002</v>
      </c>
      <c r="G610" s="40">
        <f>SUM(G611:G611)+104127.39</f>
        <v>104127.39</v>
      </c>
      <c r="H610" s="40">
        <f>SUM(H611:H611)</f>
        <v>0</v>
      </c>
      <c r="I610" s="40">
        <f>SUM(I611:I611)</f>
        <v>0</v>
      </c>
      <c r="J610" s="40">
        <f>SUM(J611:J611)</f>
        <v>0</v>
      </c>
      <c r="K610" s="40">
        <f>SUM(K611:K611)</f>
        <v>0</v>
      </c>
      <c r="L610" s="40">
        <f>SUM(L611:L611)+218938.07</f>
        <v>218938.07</v>
      </c>
      <c r="M610" s="40">
        <f>SUM(M611:M611)</f>
        <v>0</v>
      </c>
      <c r="N610" s="40">
        <f>SUM(N611:N611)</f>
        <v>0</v>
      </c>
      <c r="O610" s="40">
        <f>SUM(O611:O611)</f>
        <v>0</v>
      </c>
      <c r="P610" s="40">
        <f>SUM(P611:P611)+283668.81</f>
        <v>283668.81</v>
      </c>
      <c r="Q610" s="40">
        <f>SUM(Q611:Q611)+104125.74</f>
        <v>104125.74</v>
      </c>
      <c r="R610" s="40">
        <f t="shared" ref="R610:Y610" si="451">SUM(R611:R611)</f>
        <v>0</v>
      </c>
      <c r="S610" s="40">
        <f t="shared" si="451"/>
        <v>0</v>
      </c>
      <c r="T610" s="40">
        <f t="shared" si="451"/>
        <v>0</v>
      </c>
      <c r="U610" s="40">
        <f t="shared" si="451"/>
        <v>0</v>
      </c>
      <c r="V610" s="40">
        <f t="shared" si="451"/>
        <v>0</v>
      </c>
      <c r="W610" s="40">
        <f t="shared" si="451"/>
        <v>0</v>
      </c>
      <c r="X610" s="40">
        <f t="shared" si="451"/>
        <v>0</v>
      </c>
      <c r="Y610" s="40">
        <f t="shared" si="451"/>
        <v>0</v>
      </c>
      <c r="Z610" s="39" t="s">
        <v>1717</v>
      </c>
      <c r="AA610" s="41" t="s">
        <v>41</v>
      </c>
      <c r="AB610" s="42" t="s">
        <v>56</v>
      </c>
      <c r="AC610" s="42" t="s">
        <v>56</v>
      </c>
      <c r="AD610" s="43"/>
    </row>
    <row r="611" spans="1:30" ht="46.5" x14ac:dyDescent="0.25">
      <c r="A611" s="37" t="s">
        <v>1718</v>
      </c>
      <c r="B611" s="38" t="s">
        <v>1719</v>
      </c>
      <c r="C611" s="39"/>
      <c r="D611" s="39"/>
      <c r="E611" s="39"/>
      <c r="F611" s="44">
        <v>0</v>
      </c>
      <c r="G611" s="44">
        <v>0</v>
      </c>
      <c r="H611" s="44">
        <v>0</v>
      </c>
      <c r="I611" s="44">
        <v>0</v>
      </c>
      <c r="J611" s="44">
        <v>0</v>
      </c>
      <c r="K611" s="44">
        <v>0</v>
      </c>
      <c r="L611" s="44">
        <v>0</v>
      </c>
      <c r="M611" s="44">
        <v>0</v>
      </c>
      <c r="N611" s="44">
        <v>0</v>
      </c>
      <c r="O611" s="44">
        <v>0</v>
      </c>
      <c r="P611" s="44">
        <v>0</v>
      </c>
      <c r="Q611" s="44">
        <v>0</v>
      </c>
      <c r="R611" s="44">
        <v>0</v>
      </c>
      <c r="S611" s="44">
        <v>0</v>
      </c>
      <c r="T611" s="44">
        <v>0</v>
      </c>
      <c r="U611" s="44">
        <v>0</v>
      </c>
      <c r="V611" s="44">
        <v>0</v>
      </c>
      <c r="W611" s="44">
        <v>0</v>
      </c>
      <c r="X611" s="44">
        <v>0</v>
      </c>
      <c r="Y611" s="44">
        <v>0</v>
      </c>
      <c r="Z611" s="39"/>
      <c r="AA611" s="41"/>
      <c r="AB611" s="42"/>
      <c r="AC611" s="42"/>
      <c r="AD611" s="43"/>
    </row>
    <row r="612" spans="1:30" ht="116.25" x14ac:dyDescent="0.25">
      <c r="A612" s="37" t="s">
        <v>1720</v>
      </c>
      <c r="B612" s="38" t="s">
        <v>1721</v>
      </c>
      <c r="C612" s="39" t="s">
        <v>1710</v>
      </c>
      <c r="D612" s="39" t="s">
        <v>1711</v>
      </c>
      <c r="E612" s="39" t="s">
        <v>46</v>
      </c>
      <c r="F612" s="40">
        <f>SUM(F613:F617)+1023380.15</f>
        <v>1023380.15</v>
      </c>
      <c r="G612" s="40">
        <f>SUM(G613:G617)+326311</f>
        <v>326311</v>
      </c>
      <c r="H612" s="40">
        <f>SUM(H613:H617)</f>
        <v>0</v>
      </c>
      <c r="I612" s="40">
        <f>SUM(I613:I617)</f>
        <v>0</v>
      </c>
      <c r="J612" s="40">
        <f>SUM(J613:J617)</f>
        <v>0</v>
      </c>
      <c r="K612" s="40">
        <f>SUM(K613:K617)</f>
        <v>0</v>
      </c>
      <c r="L612" s="40">
        <f>SUM(L613:L617)+569495.92</f>
        <v>569495.92000000004</v>
      </c>
      <c r="M612" s="40">
        <f>SUM(M613:M617)+127573.23</f>
        <v>127573.23</v>
      </c>
      <c r="N612" s="40">
        <f>SUM(N613:N617)</f>
        <v>0</v>
      </c>
      <c r="O612" s="40">
        <f>SUM(O613:O617)</f>
        <v>0</v>
      </c>
      <c r="P612" s="40">
        <f>SUM(P613:P617)+698482.97</f>
        <v>698482.97</v>
      </c>
      <c r="Q612" s="40">
        <f>SUM(Q613:Q617)+286481.82</f>
        <v>286481.82</v>
      </c>
      <c r="R612" s="40">
        <f>SUM(R613:R617)</f>
        <v>0</v>
      </c>
      <c r="S612" s="40">
        <f>SUM(S613:S617)</f>
        <v>0</v>
      </c>
      <c r="T612" s="40">
        <f>SUM(T613:T617)</f>
        <v>0</v>
      </c>
      <c r="U612" s="40">
        <f>SUM(U613:U617)</f>
        <v>0</v>
      </c>
      <c r="V612" s="40">
        <f>SUM(V613:V617)</f>
        <v>0</v>
      </c>
      <c r="W612" s="40">
        <f>SUM(W613:W617)+74230.89</f>
        <v>74230.89</v>
      </c>
      <c r="X612" s="40">
        <f>SUM(X613:X617)</f>
        <v>0</v>
      </c>
      <c r="Y612" s="40">
        <f>SUM(Y613:Y617)</f>
        <v>0</v>
      </c>
      <c r="Z612" s="39" t="s">
        <v>1722</v>
      </c>
      <c r="AA612" s="41" t="s">
        <v>41</v>
      </c>
      <c r="AB612" s="42" t="s">
        <v>42</v>
      </c>
      <c r="AC612" s="42" t="s">
        <v>42</v>
      </c>
      <c r="AD612" s="43"/>
    </row>
    <row r="613" spans="1:30" ht="116.25" x14ac:dyDescent="0.25">
      <c r="A613" s="45"/>
      <c r="B613" s="46"/>
      <c r="C613" s="47"/>
      <c r="D613" s="47"/>
      <c r="E613" s="47"/>
      <c r="F613" s="48">
        <v>0</v>
      </c>
      <c r="G613" s="48">
        <v>0</v>
      </c>
      <c r="H613" s="48">
        <v>0</v>
      </c>
      <c r="I613" s="48">
        <v>0</v>
      </c>
      <c r="J613" s="48">
        <v>0</v>
      </c>
      <c r="K613" s="48">
        <v>0</v>
      </c>
      <c r="L613" s="48">
        <v>0</v>
      </c>
      <c r="M613" s="48">
        <v>0</v>
      </c>
      <c r="N613" s="48">
        <v>0</v>
      </c>
      <c r="O613" s="48">
        <v>0</v>
      </c>
      <c r="P613" s="48">
        <v>0</v>
      </c>
      <c r="Q613" s="48">
        <v>0</v>
      </c>
      <c r="R613" s="48">
        <v>0</v>
      </c>
      <c r="S613" s="48">
        <v>0</v>
      </c>
      <c r="T613" s="48">
        <v>0</v>
      </c>
      <c r="U613" s="48">
        <v>0</v>
      </c>
      <c r="V613" s="48">
        <v>0</v>
      </c>
      <c r="W613" s="48">
        <v>0</v>
      </c>
      <c r="X613" s="48">
        <v>0</v>
      </c>
      <c r="Y613" s="48">
        <v>0</v>
      </c>
      <c r="Z613" s="47" t="s">
        <v>1712</v>
      </c>
      <c r="AA613" s="49" t="s">
        <v>41</v>
      </c>
      <c r="AB613" s="50" t="s">
        <v>83</v>
      </c>
      <c r="AC613" s="50" t="s">
        <v>57</v>
      </c>
      <c r="AD613" s="51" t="s">
        <v>1723</v>
      </c>
    </row>
    <row r="614" spans="1:30" x14ac:dyDescent="0.25">
      <c r="A614" s="45"/>
      <c r="B614" s="46"/>
      <c r="C614" s="47"/>
      <c r="D614" s="47"/>
      <c r="E614" s="47"/>
      <c r="F614" s="48">
        <v>0</v>
      </c>
      <c r="G614" s="48">
        <v>0</v>
      </c>
      <c r="H614" s="48">
        <v>0</v>
      </c>
      <c r="I614" s="48">
        <v>0</v>
      </c>
      <c r="J614" s="48">
        <v>0</v>
      </c>
      <c r="K614" s="48">
        <v>0</v>
      </c>
      <c r="L614" s="48">
        <v>0</v>
      </c>
      <c r="M614" s="48">
        <v>0</v>
      </c>
      <c r="N614" s="48">
        <v>0</v>
      </c>
      <c r="O614" s="48">
        <v>0</v>
      </c>
      <c r="P614" s="48">
        <v>0</v>
      </c>
      <c r="Q614" s="48">
        <v>0</v>
      </c>
      <c r="R614" s="48">
        <v>0</v>
      </c>
      <c r="S614" s="48">
        <v>0</v>
      </c>
      <c r="T614" s="48">
        <v>0</v>
      </c>
      <c r="U614" s="48">
        <v>0</v>
      </c>
      <c r="V614" s="48">
        <v>0</v>
      </c>
      <c r="W614" s="48">
        <v>0</v>
      </c>
      <c r="X614" s="48">
        <v>0</v>
      </c>
      <c r="Y614" s="48">
        <v>0</v>
      </c>
      <c r="Z614" s="47" t="s">
        <v>1724</v>
      </c>
      <c r="AA614" s="49" t="s">
        <v>41</v>
      </c>
      <c r="AB614" s="50" t="s">
        <v>42</v>
      </c>
      <c r="AC614" s="50" t="s">
        <v>42</v>
      </c>
      <c r="AD614" s="51"/>
    </row>
    <row r="615" spans="1:30" ht="46.5" x14ac:dyDescent="0.25">
      <c r="A615" s="37" t="s">
        <v>1725</v>
      </c>
      <c r="B615" s="38" t="s">
        <v>1726</v>
      </c>
      <c r="C615" s="39"/>
      <c r="D615" s="39"/>
      <c r="E615" s="39"/>
      <c r="F615" s="44">
        <v>0</v>
      </c>
      <c r="G615" s="44">
        <v>0</v>
      </c>
      <c r="H615" s="44">
        <v>0</v>
      </c>
      <c r="I615" s="44">
        <v>0</v>
      </c>
      <c r="J615" s="44">
        <v>0</v>
      </c>
      <c r="K615" s="44">
        <v>0</v>
      </c>
      <c r="L615" s="44">
        <v>0</v>
      </c>
      <c r="M615" s="44">
        <v>0</v>
      </c>
      <c r="N615" s="44">
        <v>0</v>
      </c>
      <c r="O615" s="44">
        <v>0</v>
      </c>
      <c r="P615" s="44">
        <v>0</v>
      </c>
      <c r="Q615" s="44">
        <v>0</v>
      </c>
      <c r="R615" s="44">
        <v>0</v>
      </c>
      <c r="S615" s="44">
        <v>0</v>
      </c>
      <c r="T615" s="44">
        <v>0</v>
      </c>
      <c r="U615" s="44">
        <v>0</v>
      </c>
      <c r="V615" s="44">
        <v>0</v>
      </c>
      <c r="W615" s="44">
        <v>0</v>
      </c>
      <c r="X615" s="44">
        <v>0</v>
      </c>
      <c r="Y615" s="44">
        <v>0</v>
      </c>
      <c r="Z615" s="39"/>
      <c r="AA615" s="41"/>
      <c r="AB615" s="42"/>
      <c r="AC615" s="42"/>
      <c r="AD615" s="43"/>
    </row>
    <row r="616" spans="1:30" ht="69.75" x14ac:dyDescent="0.25">
      <c r="A616" s="37" t="s">
        <v>1727</v>
      </c>
      <c r="B616" s="38" t="s">
        <v>1728</v>
      </c>
      <c r="C616" s="39"/>
      <c r="D616" s="39"/>
      <c r="E616" s="39"/>
      <c r="F616" s="44">
        <v>0</v>
      </c>
      <c r="G616" s="44">
        <v>0</v>
      </c>
      <c r="H616" s="44">
        <v>0</v>
      </c>
      <c r="I616" s="44">
        <v>0</v>
      </c>
      <c r="J616" s="44">
        <v>0</v>
      </c>
      <c r="K616" s="44">
        <v>0</v>
      </c>
      <c r="L616" s="44">
        <v>0</v>
      </c>
      <c r="M616" s="44">
        <v>0</v>
      </c>
      <c r="N616" s="44">
        <v>0</v>
      </c>
      <c r="O616" s="44">
        <v>0</v>
      </c>
      <c r="P616" s="44">
        <v>0</v>
      </c>
      <c r="Q616" s="44">
        <v>0</v>
      </c>
      <c r="R616" s="44">
        <v>0</v>
      </c>
      <c r="S616" s="44">
        <v>0</v>
      </c>
      <c r="T616" s="44">
        <v>0</v>
      </c>
      <c r="U616" s="44">
        <v>0</v>
      </c>
      <c r="V616" s="44">
        <v>0</v>
      </c>
      <c r="W616" s="44">
        <v>0</v>
      </c>
      <c r="X616" s="44">
        <v>0</v>
      </c>
      <c r="Y616" s="44">
        <v>0</v>
      </c>
      <c r="Z616" s="39"/>
      <c r="AA616" s="41"/>
      <c r="AB616" s="42"/>
      <c r="AC616" s="42"/>
      <c r="AD616" s="43"/>
    </row>
    <row r="617" spans="1:30" ht="46.5" x14ac:dyDescent="0.25">
      <c r="A617" s="37" t="s">
        <v>1729</v>
      </c>
      <c r="B617" s="38" t="s">
        <v>1730</v>
      </c>
      <c r="C617" s="39"/>
      <c r="D617" s="39"/>
      <c r="E617" s="39"/>
      <c r="F617" s="44">
        <v>0</v>
      </c>
      <c r="G617" s="44">
        <v>0</v>
      </c>
      <c r="H617" s="44">
        <v>0</v>
      </c>
      <c r="I617" s="44">
        <v>0</v>
      </c>
      <c r="J617" s="44">
        <v>0</v>
      </c>
      <c r="K617" s="44">
        <v>0</v>
      </c>
      <c r="L617" s="44">
        <v>0</v>
      </c>
      <c r="M617" s="44">
        <v>0</v>
      </c>
      <c r="N617" s="44">
        <v>0</v>
      </c>
      <c r="O617" s="44">
        <v>0</v>
      </c>
      <c r="P617" s="44">
        <v>0</v>
      </c>
      <c r="Q617" s="44">
        <v>0</v>
      </c>
      <c r="R617" s="44">
        <v>0</v>
      </c>
      <c r="S617" s="44">
        <v>0</v>
      </c>
      <c r="T617" s="44">
        <v>0</v>
      </c>
      <c r="U617" s="44">
        <v>0</v>
      </c>
      <c r="V617" s="44">
        <v>0</v>
      </c>
      <c r="W617" s="44">
        <v>0</v>
      </c>
      <c r="X617" s="44">
        <v>0</v>
      </c>
      <c r="Y617" s="44">
        <v>0</v>
      </c>
      <c r="Z617" s="39"/>
      <c r="AA617" s="41"/>
      <c r="AB617" s="42"/>
      <c r="AC617" s="42"/>
      <c r="AD617" s="43"/>
    </row>
    <row r="618" spans="1:30" ht="90" x14ac:dyDescent="0.25">
      <c r="A618" s="30" t="s">
        <v>1731</v>
      </c>
      <c r="B618" s="31" t="s">
        <v>1732</v>
      </c>
      <c r="C618" s="32" t="s">
        <v>1541</v>
      </c>
      <c r="D618" s="32" t="s">
        <v>1544</v>
      </c>
      <c r="E618" s="32" t="s">
        <v>39</v>
      </c>
      <c r="F618" s="33">
        <f t="shared" ref="F618:O619" si="452">SUM(F619:F619)</f>
        <v>0</v>
      </c>
      <c r="G618" s="33">
        <f t="shared" si="452"/>
        <v>0</v>
      </c>
      <c r="H618" s="33">
        <f t="shared" si="452"/>
        <v>0</v>
      </c>
      <c r="I618" s="33">
        <f t="shared" si="452"/>
        <v>0</v>
      </c>
      <c r="J618" s="33">
        <f t="shared" si="452"/>
        <v>0</v>
      </c>
      <c r="K618" s="33">
        <f t="shared" si="452"/>
        <v>0</v>
      </c>
      <c r="L618" s="33">
        <f t="shared" si="452"/>
        <v>0</v>
      </c>
      <c r="M618" s="33">
        <f t="shared" si="452"/>
        <v>0</v>
      </c>
      <c r="N618" s="33">
        <f t="shared" si="452"/>
        <v>0</v>
      </c>
      <c r="O618" s="33">
        <f t="shared" si="452"/>
        <v>0</v>
      </c>
      <c r="P618" s="33">
        <f t="shared" ref="P618:Y619" si="453">SUM(P619:P619)</f>
        <v>0</v>
      </c>
      <c r="Q618" s="33">
        <f t="shared" si="453"/>
        <v>0</v>
      </c>
      <c r="R618" s="33">
        <f t="shared" si="453"/>
        <v>0</v>
      </c>
      <c r="S618" s="33">
        <f t="shared" si="453"/>
        <v>0</v>
      </c>
      <c r="T618" s="33">
        <f t="shared" si="453"/>
        <v>0</v>
      </c>
      <c r="U618" s="33">
        <f t="shared" si="453"/>
        <v>0</v>
      </c>
      <c r="V618" s="33">
        <f t="shared" si="453"/>
        <v>0</v>
      </c>
      <c r="W618" s="33">
        <f t="shared" si="453"/>
        <v>0</v>
      </c>
      <c r="X618" s="33">
        <f t="shared" si="453"/>
        <v>0</v>
      </c>
      <c r="Y618" s="33">
        <f t="shared" si="453"/>
        <v>0</v>
      </c>
      <c r="Z618" s="32" t="s">
        <v>1733</v>
      </c>
      <c r="AA618" s="34" t="s">
        <v>41</v>
      </c>
      <c r="AB618" s="35" t="s">
        <v>56</v>
      </c>
      <c r="AC618" s="35" t="s">
        <v>57</v>
      </c>
      <c r="AD618" s="36" t="s">
        <v>1734</v>
      </c>
    </row>
    <row r="619" spans="1:30" ht="46.5" x14ac:dyDescent="0.25">
      <c r="A619" s="37" t="s">
        <v>1735</v>
      </c>
      <c r="B619" s="38" t="s">
        <v>1736</v>
      </c>
      <c r="C619" s="39" t="s">
        <v>1541</v>
      </c>
      <c r="D619" s="39" t="s">
        <v>1544</v>
      </c>
      <c r="E619" s="39" t="s">
        <v>46</v>
      </c>
      <c r="F619" s="40">
        <f t="shared" si="452"/>
        <v>0</v>
      </c>
      <c r="G619" s="40">
        <f t="shared" si="452"/>
        <v>0</v>
      </c>
      <c r="H619" s="40">
        <f t="shared" si="452"/>
        <v>0</v>
      </c>
      <c r="I619" s="40">
        <f t="shared" si="452"/>
        <v>0</v>
      </c>
      <c r="J619" s="40">
        <f t="shared" si="452"/>
        <v>0</v>
      </c>
      <c r="K619" s="40">
        <f t="shared" si="452"/>
        <v>0</v>
      </c>
      <c r="L619" s="40">
        <f t="shared" si="452"/>
        <v>0</v>
      </c>
      <c r="M619" s="40">
        <f t="shared" si="452"/>
        <v>0</v>
      </c>
      <c r="N619" s="40">
        <f t="shared" si="452"/>
        <v>0</v>
      </c>
      <c r="O619" s="40">
        <f t="shared" si="452"/>
        <v>0</v>
      </c>
      <c r="P619" s="40">
        <f t="shared" si="453"/>
        <v>0</v>
      </c>
      <c r="Q619" s="40">
        <f t="shared" si="453"/>
        <v>0</v>
      </c>
      <c r="R619" s="40">
        <f t="shared" si="453"/>
        <v>0</v>
      </c>
      <c r="S619" s="40">
        <f t="shared" si="453"/>
        <v>0</v>
      </c>
      <c r="T619" s="40">
        <f t="shared" si="453"/>
        <v>0</v>
      </c>
      <c r="U619" s="40">
        <f t="shared" si="453"/>
        <v>0</v>
      </c>
      <c r="V619" s="40">
        <f t="shared" si="453"/>
        <v>0</v>
      </c>
      <c r="W619" s="40">
        <f t="shared" si="453"/>
        <v>0</v>
      </c>
      <c r="X619" s="40">
        <f t="shared" si="453"/>
        <v>0</v>
      </c>
      <c r="Y619" s="40">
        <f t="shared" si="453"/>
        <v>0</v>
      </c>
      <c r="Z619" s="39" t="s">
        <v>1737</v>
      </c>
      <c r="AA619" s="41" t="s">
        <v>41</v>
      </c>
      <c r="AB619" s="42" t="s">
        <v>56</v>
      </c>
      <c r="AC619" s="42" t="s">
        <v>57</v>
      </c>
      <c r="AD619" s="43" t="s">
        <v>1734</v>
      </c>
    </row>
    <row r="620" spans="1:30" ht="46.5" x14ac:dyDescent="0.25">
      <c r="A620" s="37" t="s">
        <v>1738</v>
      </c>
      <c r="B620" s="38" t="s">
        <v>1739</v>
      </c>
      <c r="C620" s="39"/>
      <c r="D620" s="39"/>
      <c r="E620" s="39"/>
      <c r="F620" s="44">
        <v>0</v>
      </c>
      <c r="G620" s="44">
        <v>0</v>
      </c>
      <c r="H620" s="44">
        <v>0</v>
      </c>
      <c r="I620" s="44">
        <v>0</v>
      </c>
      <c r="J620" s="44">
        <v>0</v>
      </c>
      <c r="K620" s="44">
        <v>0</v>
      </c>
      <c r="L620" s="44">
        <v>0</v>
      </c>
      <c r="M620" s="44">
        <v>0</v>
      </c>
      <c r="N620" s="44">
        <v>0</v>
      </c>
      <c r="O620" s="44">
        <v>0</v>
      </c>
      <c r="P620" s="44">
        <v>0</v>
      </c>
      <c r="Q620" s="44">
        <v>0</v>
      </c>
      <c r="R620" s="44">
        <v>0</v>
      </c>
      <c r="S620" s="44">
        <v>0</v>
      </c>
      <c r="T620" s="44">
        <v>0</v>
      </c>
      <c r="U620" s="44">
        <v>0</v>
      </c>
      <c r="V620" s="44">
        <v>0</v>
      </c>
      <c r="W620" s="44">
        <v>0</v>
      </c>
      <c r="X620" s="44">
        <v>0</v>
      </c>
      <c r="Y620" s="44">
        <v>0</v>
      </c>
      <c r="Z620" s="39"/>
      <c r="AA620" s="41"/>
      <c r="AB620" s="42"/>
      <c r="AC620" s="42"/>
      <c r="AD620" s="43"/>
    </row>
    <row r="621" spans="1:30" ht="67.5" x14ac:dyDescent="0.25">
      <c r="A621" s="30" t="s">
        <v>1740</v>
      </c>
      <c r="B621" s="31" t="s">
        <v>1741</v>
      </c>
      <c r="C621" s="32" t="s">
        <v>1541</v>
      </c>
      <c r="D621" s="32" t="s">
        <v>1544</v>
      </c>
      <c r="E621" s="32" t="s">
        <v>39</v>
      </c>
      <c r="F621" s="33">
        <f t="shared" ref="F621:Y621" si="454">SUM(F622:F622)</f>
        <v>270221</v>
      </c>
      <c r="G621" s="33">
        <f t="shared" si="454"/>
        <v>252827</v>
      </c>
      <c r="H621" s="33">
        <f t="shared" si="454"/>
        <v>0</v>
      </c>
      <c r="I621" s="33">
        <f t="shared" si="454"/>
        <v>0</v>
      </c>
      <c r="J621" s="33">
        <f t="shared" si="454"/>
        <v>0</v>
      </c>
      <c r="K621" s="33">
        <f t="shared" si="454"/>
        <v>0</v>
      </c>
      <c r="L621" s="33">
        <f t="shared" si="454"/>
        <v>0</v>
      </c>
      <c r="M621" s="33">
        <f t="shared" si="454"/>
        <v>17394</v>
      </c>
      <c r="N621" s="33">
        <f t="shared" si="454"/>
        <v>0</v>
      </c>
      <c r="O621" s="33">
        <f t="shared" si="454"/>
        <v>0</v>
      </c>
      <c r="P621" s="33">
        <f t="shared" si="454"/>
        <v>268147.23</v>
      </c>
      <c r="Q621" s="33">
        <f t="shared" si="454"/>
        <v>250753.23</v>
      </c>
      <c r="R621" s="33">
        <f t="shared" si="454"/>
        <v>0</v>
      </c>
      <c r="S621" s="33">
        <f t="shared" si="454"/>
        <v>0</v>
      </c>
      <c r="T621" s="33">
        <f t="shared" si="454"/>
        <v>0</v>
      </c>
      <c r="U621" s="33">
        <f t="shared" si="454"/>
        <v>0</v>
      </c>
      <c r="V621" s="33">
        <f t="shared" si="454"/>
        <v>0</v>
      </c>
      <c r="W621" s="33">
        <f t="shared" si="454"/>
        <v>0</v>
      </c>
      <c r="X621" s="33">
        <f t="shared" si="454"/>
        <v>0</v>
      </c>
      <c r="Y621" s="33">
        <f t="shared" si="454"/>
        <v>0</v>
      </c>
      <c r="Z621" s="32" t="s">
        <v>1737</v>
      </c>
      <c r="AA621" s="34" t="s">
        <v>41</v>
      </c>
      <c r="AB621" s="35" t="s">
        <v>42</v>
      </c>
      <c r="AC621" s="35" t="s">
        <v>42</v>
      </c>
      <c r="AD621" s="36"/>
    </row>
    <row r="622" spans="1:30" ht="46.5" x14ac:dyDescent="0.25">
      <c r="A622" s="37" t="s">
        <v>1742</v>
      </c>
      <c r="B622" s="38" t="s">
        <v>1743</v>
      </c>
      <c r="C622" s="39" t="s">
        <v>1541</v>
      </c>
      <c r="D622" s="39" t="s">
        <v>1744</v>
      </c>
      <c r="E622" s="39" t="s">
        <v>46</v>
      </c>
      <c r="F622" s="40">
        <f>SUM(F623:F623)+270221</f>
        <v>270221</v>
      </c>
      <c r="G622" s="40">
        <f>SUM(G623:G623)+252827</f>
        <v>252827</v>
      </c>
      <c r="H622" s="40">
        <f>SUM(H623:H623)</f>
        <v>0</v>
      </c>
      <c r="I622" s="40">
        <f>SUM(I623:I623)</f>
        <v>0</v>
      </c>
      <c r="J622" s="40">
        <f>SUM(J623:J623)</f>
        <v>0</v>
      </c>
      <c r="K622" s="40">
        <f>SUM(K623:K623)</f>
        <v>0</v>
      </c>
      <c r="L622" s="40">
        <f>SUM(L623:L623)</f>
        <v>0</v>
      </c>
      <c r="M622" s="40">
        <f>SUM(M623:M623)+17394</f>
        <v>17394</v>
      </c>
      <c r="N622" s="40">
        <f>SUM(N623:N623)</f>
        <v>0</v>
      </c>
      <c r="O622" s="40">
        <f>SUM(O623:O623)</f>
        <v>0</v>
      </c>
      <c r="P622" s="40">
        <f>SUM(P623:P623)+268147.23</f>
        <v>268147.23</v>
      </c>
      <c r="Q622" s="40">
        <f>SUM(Q623:Q623)+250753.23</f>
        <v>250753.23</v>
      </c>
      <c r="R622" s="40">
        <f t="shared" ref="R622:Y622" si="455">SUM(R623:R623)</f>
        <v>0</v>
      </c>
      <c r="S622" s="40">
        <f t="shared" si="455"/>
        <v>0</v>
      </c>
      <c r="T622" s="40">
        <f t="shared" si="455"/>
        <v>0</v>
      </c>
      <c r="U622" s="40">
        <f t="shared" si="455"/>
        <v>0</v>
      </c>
      <c r="V622" s="40">
        <f t="shared" si="455"/>
        <v>0</v>
      </c>
      <c r="W622" s="40">
        <f t="shared" si="455"/>
        <v>0</v>
      </c>
      <c r="X622" s="40">
        <f t="shared" si="455"/>
        <v>0</v>
      </c>
      <c r="Y622" s="40">
        <f t="shared" si="455"/>
        <v>0</v>
      </c>
      <c r="Z622" s="39" t="s">
        <v>1745</v>
      </c>
      <c r="AA622" s="41" t="s">
        <v>41</v>
      </c>
      <c r="AB622" s="42" t="s">
        <v>82</v>
      </c>
      <c r="AC622" s="42" t="s">
        <v>82</v>
      </c>
      <c r="AD622" s="43"/>
    </row>
    <row r="623" spans="1:30" x14ac:dyDescent="0.25">
      <c r="A623" s="37" t="s">
        <v>1746</v>
      </c>
      <c r="B623" s="38" t="s">
        <v>1747</v>
      </c>
      <c r="C623" s="39"/>
      <c r="D623" s="39"/>
      <c r="E623" s="39"/>
      <c r="F623" s="44">
        <v>0</v>
      </c>
      <c r="G623" s="44">
        <v>0</v>
      </c>
      <c r="H623" s="44">
        <v>0</v>
      </c>
      <c r="I623" s="44">
        <v>0</v>
      </c>
      <c r="J623" s="44">
        <v>0</v>
      </c>
      <c r="K623" s="44">
        <v>0</v>
      </c>
      <c r="L623" s="44">
        <v>0</v>
      </c>
      <c r="M623" s="44">
        <v>0</v>
      </c>
      <c r="N623" s="44">
        <v>0</v>
      </c>
      <c r="O623" s="44">
        <v>0</v>
      </c>
      <c r="P623" s="44">
        <v>0</v>
      </c>
      <c r="Q623" s="44">
        <v>0</v>
      </c>
      <c r="R623" s="44">
        <v>0</v>
      </c>
      <c r="S623" s="44">
        <v>0</v>
      </c>
      <c r="T623" s="44">
        <v>0</v>
      </c>
      <c r="U623" s="44">
        <v>0</v>
      </c>
      <c r="V623" s="44">
        <v>0</v>
      </c>
      <c r="W623" s="44">
        <v>0</v>
      </c>
      <c r="X623" s="44">
        <v>0</v>
      </c>
      <c r="Y623" s="44">
        <v>0</v>
      </c>
      <c r="Z623" s="39"/>
      <c r="AA623" s="41"/>
      <c r="AB623" s="42"/>
      <c r="AC623" s="42"/>
      <c r="AD623" s="43"/>
    </row>
    <row r="624" spans="1:30" ht="45" x14ac:dyDescent="0.25">
      <c r="A624" s="30" t="s">
        <v>1748</v>
      </c>
      <c r="B624" s="31" t="s">
        <v>1749</v>
      </c>
      <c r="C624" s="32" t="s">
        <v>1541</v>
      </c>
      <c r="D624" s="32" t="s">
        <v>1544</v>
      </c>
      <c r="E624" s="32" t="s">
        <v>39</v>
      </c>
      <c r="F624" s="33">
        <f t="shared" ref="F624:Y624" si="456">F625+F627+F629+F631+F633+F635+F637+F640+F643+F646+F648+F650+F652+F654+F656+F658+F660+F662+F664+F666+F668+F670+F672+F674+F676+F678+F680+F682+F684+F686+F688+F690+F692+F694+F696+F698+F700+F702+F704+F706+F708+F710+F712</f>
        <v>14877944.649999999</v>
      </c>
      <c r="G624" s="33">
        <f t="shared" si="456"/>
        <v>3175525.85</v>
      </c>
      <c r="H624" s="33">
        <f t="shared" si="456"/>
        <v>0</v>
      </c>
      <c r="I624" s="33">
        <f t="shared" si="456"/>
        <v>0</v>
      </c>
      <c r="J624" s="33">
        <f t="shared" si="456"/>
        <v>624310</v>
      </c>
      <c r="K624" s="33">
        <f t="shared" si="456"/>
        <v>0</v>
      </c>
      <c r="L624" s="33">
        <f t="shared" si="456"/>
        <v>0</v>
      </c>
      <c r="M624" s="33">
        <f t="shared" si="456"/>
        <v>9977942.7999999989</v>
      </c>
      <c r="N624" s="33">
        <f t="shared" si="456"/>
        <v>0</v>
      </c>
      <c r="O624" s="33">
        <f t="shared" si="456"/>
        <v>0</v>
      </c>
      <c r="P624" s="33">
        <f t="shared" si="456"/>
        <v>14777980.659999998</v>
      </c>
      <c r="Q624" s="33">
        <f t="shared" si="456"/>
        <v>492974.81000000017</v>
      </c>
      <c r="R624" s="33">
        <f t="shared" si="456"/>
        <v>0</v>
      </c>
      <c r="S624" s="33">
        <f t="shared" si="456"/>
        <v>0</v>
      </c>
      <c r="T624" s="33">
        <f t="shared" si="456"/>
        <v>0</v>
      </c>
      <c r="U624" s="33">
        <f t="shared" si="456"/>
        <v>0</v>
      </c>
      <c r="V624" s="33">
        <f t="shared" si="456"/>
        <v>0</v>
      </c>
      <c r="W624" s="33">
        <f t="shared" si="456"/>
        <v>9935366.209999999</v>
      </c>
      <c r="X624" s="33">
        <f t="shared" si="456"/>
        <v>0</v>
      </c>
      <c r="Y624" s="33">
        <f t="shared" si="456"/>
        <v>0</v>
      </c>
      <c r="Z624" s="32" t="s">
        <v>1737</v>
      </c>
      <c r="AA624" s="34" t="s">
        <v>41</v>
      </c>
      <c r="AB624" s="35" t="s">
        <v>83</v>
      </c>
      <c r="AC624" s="35" t="s">
        <v>83</v>
      </c>
      <c r="AD624" s="36"/>
    </row>
    <row r="625" spans="1:30" ht="69.75" x14ac:dyDescent="0.25">
      <c r="A625" s="37" t="s">
        <v>1750</v>
      </c>
      <c r="B625" s="38" t="s">
        <v>1751</v>
      </c>
      <c r="C625" s="39" t="s">
        <v>1541</v>
      </c>
      <c r="D625" s="39" t="s">
        <v>1752</v>
      </c>
      <c r="E625" s="39" t="s">
        <v>46</v>
      </c>
      <c r="F625" s="40">
        <f>SUM(F626:F626)+1542973.9</f>
        <v>1542973.9</v>
      </c>
      <c r="G625" s="40">
        <f>SUM(G626:G626)+1005755.49</f>
        <v>1005755.49</v>
      </c>
      <c r="H625" s="40">
        <f t="shared" ref="H625:O625" si="457">SUM(H626:H626)</f>
        <v>0</v>
      </c>
      <c r="I625" s="40">
        <f t="shared" si="457"/>
        <v>0</v>
      </c>
      <c r="J625" s="40">
        <f t="shared" si="457"/>
        <v>0</v>
      </c>
      <c r="K625" s="40">
        <f t="shared" si="457"/>
        <v>0</v>
      </c>
      <c r="L625" s="40">
        <f t="shared" si="457"/>
        <v>0</v>
      </c>
      <c r="M625" s="40">
        <f t="shared" si="457"/>
        <v>0</v>
      </c>
      <c r="N625" s="40">
        <f t="shared" si="457"/>
        <v>0</v>
      </c>
      <c r="O625" s="40">
        <f t="shared" si="457"/>
        <v>0</v>
      </c>
      <c r="P625" s="40">
        <f>SUM(P626:P626)+1528325.51</f>
        <v>1528325.51</v>
      </c>
      <c r="Q625" s="40">
        <f>SUM(Q626:Q626)+113079.1</f>
        <v>113079.1</v>
      </c>
      <c r="R625" s="40">
        <f t="shared" ref="R625:Y625" si="458">SUM(R626:R626)</f>
        <v>0</v>
      </c>
      <c r="S625" s="40">
        <f t="shared" si="458"/>
        <v>0</v>
      </c>
      <c r="T625" s="40">
        <f t="shared" si="458"/>
        <v>0</v>
      </c>
      <c r="U625" s="40">
        <f t="shared" si="458"/>
        <v>0</v>
      </c>
      <c r="V625" s="40">
        <f t="shared" si="458"/>
        <v>0</v>
      </c>
      <c r="W625" s="40">
        <f t="shared" si="458"/>
        <v>0</v>
      </c>
      <c r="X625" s="40">
        <f t="shared" si="458"/>
        <v>0</v>
      </c>
      <c r="Y625" s="40">
        <f t="shared" si="458"/>
        <v>0</v>
      </c>
      <c r="Z625" s="39" t="s">
        <v>1753</v>
      </c>
      <c r="AA625" s="41" t="s">
        <v>41</v>
      </c>
      <c r="AB625" s="42" t="s">
        <v>1754</v>
      </c>
      <c r="AC625" s="42" t="s">
        <v>1755</v>
      </c>
      <c r="AD625" s="43" t="s">
        <v>1756</v>
      </c>
    </row>
    <row r="626" spans="1:30" ht="46.5" x14ac:dyDescent="0.25">
      <c r="A626" s="37" t="s">
        <v>1757</v>
      </c>
      <c r="B626" s="38" t="s">
        <v>1758</v>
      </c>
      <c r="C626" s="39"/>
      <c r="D626" s="39"/>
      <c r="E626" s="39"/>
      <c r="F626" s="44">
        <v>0</v>
      </c>
      <c r="G626" s="44">
        <v>0</v>
      </c>
      <c r="H626" s="44">
        <v>0</v>
      </c>
      <c r="I626" s="44">
        <v>0</v>
      </c>
      <c r="J626" s="44">
        <v>0</v>
      </c>
      <c r="K626" s="44">
        <v>0</v>
      </c>
      <c r="L626" s="44">
        <v>0</v>
      </c>
      <c r="M626" s="44">
        <v>0</v>
      </c>
      <c r="N626" s="44">
        <v>0</v>
      </c>
      <c r="O626" s="44">
        <v>0</v>
      </c>
      <c r="P626" s="44">
        <v>0</v>
      </c>
      <c r="Q626" s="44">
        <v>0</v>
      </c>
      <c r="R626" s="44">
        <v>0</v>
      </c>
      <c r="S626" s="44">
        <v>0</v>
      </c>
      <c r="T626" s="44">
        <v>0</v>
      </c>
      <c r="U626" s="44">
        <v>0</v>
      </c>
      <c r="V626" s="44">
        <v>0</v>
      </c>
      <c r="W626" s="44">
        <v>0</v>
      </c>
      <c r="X626" s="44">
        <v>0</v>
      </c>
      <c r="Y626" s="44">
        <v>0</v>
      </c>
      <c r="Z626" s="39"/>
      <c r="AA626" s="41"/>
      <c r="AB626" s="42"/>
      <c r="AC626" s="42"/>
      <c r="AD626" s="43"/>
    </row>
    <row r="627" spans="1:30" ht="93" x14ac:dyDescent="0.25">
      <c r="A627" s="37" t="s">
        <v>1759</v>
      </c>
      <c r="B627" s="38" t="s">
        <v>1760</v>
      </c>
      <c r="C627" s="39" t="s">
        <v>1541</v>
      </c>
      <c r="D627" s="39" t="s">
        <v>1674</v>
      </c>
      <c r="E627" s="39" t="s">
        <v>46</v>
      </c>
      <c r="F627" s="40">
        <f>SUM(F628:F628)+134345</f>
        <v>134345</v>
      </c>
      <c r="G627" s="40">
        <f>SUM(G628:G628)+134345</f>
        <v>134345</v>
      </c>
      <c r="H627" s="40">
        <f t="shared" ref="H627:O627" si="459">SUM(H628:H628)</f>
        <v>0</v>
      </c>
      <c r="I627" s="40">
        <f t="shared" si="459"/>
        <v>0</v>
      </c>
      <c r="J627" s="40">
        <f t="shared" si="459"/>
        <v>0</v>
      </c>
      <c r="K627" s="40">
        <f t="shared" si="459"/>
        <v>0</v>
      </c>
      <c r="L627" s="40">
        <f t="shared" si="459"/>
        <v>0</v>
      </c>
      <c r="M627" s="40">
        <f t="shared" si="459"/>
        <v>0</v>
      </c>
      <c r="N627" s="40">
        <f t="shared" si="459"/>
        <v>0</v>
      </c>
      <c r="O627" s="40">
        <f t="shared" si="459"/>
        <v>0</v>
      </c>
      <c r="P627" s="40">
        <f>SUM(P628:P628)+133021.45</f>
        <v>133021.45000000001</v>
      </c>
      <c r="Q627" s="40">
        <f>SUM(Q628:Q628)+133021.45</f>
        <v>133021.45000000001</v>
      </c>
      <c r="R627" s="40">
        <f t="shared" ref="R627:Y627" si="460">SUM(R628:R628)</f>
        <v>0</v>
      </c>
      <c r="S627" s="40">
        <f t="shared" si="460"/>
        <v>0</v>
      </c>
      <c r="T627" s="40">
        <f t="shared" si="460"/>
        <v>0</v>
      </c>
      <c r="U627" s="40">
        <f t="shared" si="460"/>
        <v>0</v>
      </c>
      <c r="V627" s="40">
        <f t="shared" si="460"/>
        <v>0</v>
      </c>
      <c r="W627" s="40">
        <f t="shared" si="460"/>
        <v>0</v>
      </c>
      <c r="X627" s="40">
        <f t="shared" si="460"/>
        <v>0</v>
      </c>
      <c r="Y627" s="40">
        <f t="shared" si="460"/>
        <v>0</v>
      </c>
      <c r="Z627" s="39" t="s">
        <v>1761</v>
      </c>
      <c r="AA627" s="41" t="s">
        <v>41</v>
      </c>
      <c r="AB627" s="42" t="s">
        <v>1762</v>
      </c>
      <c r="AC627" s="42" t="s">
        <v>1763</v>
      </c>
      <c r="AD627" s="43" t="s">
        <v>1764</v>
      </c>
    </row>
    <row r="628" spans="1:30" ht="69.75" x14ac:dyDescent="0.25">
      <c r="A628" s="37" t="s">
        <v>1765</v>
      </c>
      <c r="B628" s="38" t="s">
        <v>1766</v>
      </c>
      <c r="C628" s="39"/>
      <c r="D628" s="39"/>
      <c r="E628" s="39"/>
      <c r="F628" s="44">
        <v>0</v>
      </c>
      <c r="G628" s="44">
        <v>0</v>
      </c>
      <c r="H628" s="44">
        <v>0</v>
      </c>
      <c r="I628" s="44">
        <v>0</v>
      </c>
      <c r="J628" s="44">
        <v>0</v>
      </c>
      <c r="K628" s="44">
        <v>0</v>
      </c>
      <c r="L628" s="44">
        <v>0</v>
      </c>
      <c r="M628" s="44">
        <v>0</v>
      </c>
      <c r="N628" s="44">
        <v>0</v>
      </c>
      <c r="O628" s="44">
        <v>0</v>
      </c>
      <c r="P628" s="44">
        <v>0</v>
      </c>
      <c r="Q628" s="44">
        <v>0</v>
      </c>
      <c r="R628" s="44">
        <v>0</v>
      </c>
      <c r="S628" s="44">
        <v>0</v>
      </c>
      <c r="T628" s="44">
        <v>0</v>
      </c>
      <c r="U628" s="44">
        <v>0</v>
      </c>
      <c r="V628" s="44">
        <v>0</v>
      </c>
      <c r="W628" s="44">
        <v>0</v>
      </c>
      <c r="X628" s="44">
        <v>0</v>
      </c>
      <c r="Y628" s="44">
        <v>0</v>
      </c>
      <c r="Z628" s="39"/>
      <c r="AA628" s="41"/>
      <c r="AB628" s="42"/>
      <c r="AC628" s="42"/>
      <c r="AD628" s="43"/>
    </row>
    <row r="629" spans="1:30" ht="69.75" x14ac:dyDescent="0.25">
      <c r="A629" s="37" t="s">
        <v>1767</v>
      </c>
      <c r="B629" s="38" t="s">
        <v>1768</v>
      </c>
      <c r="C629" s="39" t="s">
        <v>1541</v>
      </c>
      <c r="D629" s="39" t="s">
        <v>1674</v>
      </c>
      <c r="E629" s="39" t="s">
        <v>46</v>
      </c>
      <c r="F629" s="40">
        <f>SUM(F630:F630)+26760</f>
        <v>26760</v>
      </c>
      <c r="G629" s="40">
        <f>SUM(G630:G630)+26760</f>
        <v>26760</v>
      </c>
      <c r="H629" s="40">
        <f t="shared" ref="H629:O629" si="461">SUM(H630:H630)</f>
        <v>0</v>
      </c>
      <c r="I629" s="40">
        <f t="shared" si="461"/>
        <v>0</v>
      </c>
      <c r="J629" s="40">
        <f t="shared" si="461"/>
        <v>0</v>
      </c>
      <c r="K629" s="40">
        <f t="shared" si="461"/>
        <v>0</v>
      </c>
      <c r="L629" s="40">
        <f t="shared" si="461"/>
        <v>0</v>
      </c>
      <c r="M629" s="40">
        <f t="shared" si="461"/>
        <v>0</v>
      </c>
      <c r="N629" s="40">
        <f t="shared" si="461"/>
        <v>0</v>
      </c>
      <c r="O629" s="40">
        <f t="shared" si="461"/>
        <v>0</v>
      </c>
      <c r="P629" s="40">
        <f>SUM(P630:P630)+25290</f>
        <v>25290</v>
      </c>
      <c r="Q629" s="40">
        <f>SUM(Q630:Q630)+25290</f>
        <v>25290</v>
      </c>
      <c r="R629" s="40">
        <f t="shared" ref="R629:Y629" si="462">SUM(R630:R630)</f>
        <v>0</v>
      </c>
      <c r="S629" s="40">
        <f t="shared" si="462"/>
        <v>0</v>
      </c>
      <c r="T629" s="40">
        <f t="shared" si="462"/>
        <v>0</v>
      </c>
      <c r="U629" s="40">
        <f t="shared" si="462"/>
        <v>0</v>
      </c>
      <c r="V629" s="40">
        <f t="shared" si="462"/>
        <v>0</v>
      </c>
      <c r="W629" s="40">
        <f t="shared" si="462"/>
        <v>0</v>
      </c>
      <c r="X629" s="40">
        <f t="shared" si="462"/>
        <v>0</v>
      </c>
      <c r="Y629" s="40">
        <f t="shared" si="462"/>
        <v>0</v>
      </c>
      <c r="Z629" s="39" t="s">
        <v>1769</v>
      </c>
      <c r="AA629" s="41" t="s">
        <v>41</v>
      </c>
      <c r="AB629" s="42" t="s">
        <v>1770</v>
      </c>
      <c r="AC629" s="42" t="s">
        <v>1771</v>
      </c>
      <c r="AD629" s="43" t="s">
        <v>1756</v>
      </c>
    </row>
    <row r="630" spans="1:30" ht="46.5" x14ac:dyDescent="0.25">
      <c r="A630" s="37" t="s">
        <v>1772</v>
      </c>
      <c r="B630" s="38" t="s">
        <v>1773</v>
      </c>
      <c r="C630" s="39"/>
      <c r="D630" s="39"/>
      <c r="E630" s="39"/>
      <c r="F630" s="44">
        <v>0</v>
      </c>
      <c r="G630" s="44">
        <v>0</v>
      </c>
      <c r="H630" s="44">
        <v>0</v>
      </c>
      <c r="I630" s="44">
        <v>0</v>
      </c>
      <c r="J630" s="44">
        <v>0</v>
      </c>
      <c r="K630" s="44">
        <v>0</v>
      </c>
      <c r="L630" s="44">
        <v>0</v>
      </c>
      <c r="M630" s="44">
        <v>0</v>
      </c>
      <c r="N630" s="44">
        <v>0</v>
      </c>
      <c r="O630" s="44">
        <v>0</v>
      </c>
      <c r="P630" s="44">
        <v>0</v>
      </c>
      <c r="Q630" s="44">
        <v>0</v>
      </c>
      <c r="R630" s="44">
        <v>0</v>
      </c>
      <c r="S630" s="44">
        <v>0</v>
      </c>
      <c r="T630" s="44">
        <v>0</v>
      </c>
      <c r="U630" s="44">
        <v>0</v>
      </c>
      <c r="V630" s="44">
        <v>0</v>
      </c>
      <c r="W630" s="44">
        <v>0</v>
      </c>
      <c r="X630" s="44">
        <v>0</v>
      </c>
      <c r="Y630" s="44">
        <v>0</v>
      </c>
      <c r="Z630" s="39"/>
      <c r="AA630" s="41"/>
      <c r="AB630" s="42"/>
      <c r="AC630" s="42"/>
      <c r="AD630" s="43"/>
    </row>
    <row r="631" spans="1:30" ht="69.75" x14ac:dyDescent="0.25">
      <c r="A631" s="37" t="s">
        <v>1774</v>
      </c>
      <c r="B631" s="38" t="s">
        <v>1775</v>
      </c>
      <c r="C631" s="39" t="s">
        <v>1541</v>
      </c>
      <c r="D631" s="39" t="s">
        <v>1674</v>
      </c>
      <c r="E631" s="39" t="s">
        <v>46</v>
      </c>
      <c r="F631" s="40">
        <f>SUM(F632:F632)+2509</f>
        <v>2509</v>
      </c>
      <c r="G631" s="40">
        <f>SUM(G632:G632)+2509</f>
        <v>2509</v>
      </c>
      <c r="H631" s="40">
        <f t="shared" ref="H631:O631" si="463">SUM(H632:H632)</f>
        <v>0</v>
      </c>
      <c r="I631" s="40">
        <f t="shared" si="463"/>
        <v>0</v>
      </c>
      <c r="J631" s="40">
        <f t="shared" si="463"/>
        <v>0</v>
      </c>
      <c r="K631" s="40">
        <f t="shared" si="463"/>
        <v>0</v>
      </c>
      <c r="L631" s="40">
        <f t="shared" si="463"/>
        <v>0</v>
      </c>
      <c r="M631" s="40">
        <f t="shared" si="463"/>
        <v>0</v>
      </c>
      <c r="N631" s="40">
        <f t="shared" si="463"/>
        <v>0</v>
      </c>
      <c r="O631" s="40">
        <f t="shared" si="463"/>
        <v>0</v>
      </c>
      <c r="P631" s="40">
        <f>SUM(P632:P632)+1724.8</f>
        <v>1724.8</v>
      </c>
      <c r="Q631" s="40">
        <f>SUM(Q632:Q632)+1724.8</f>
        <v>1724.8</v>
      </c>
      <c r="R631" s="40">
        <f t="shared" ref="R631:Y631" si="464">SUM(R632:R632)</f>
        <v>0</v>
      </c>
      <c r="S631" s="40">
        <f t="shared" si="464"/>
        <v>0</v>
      </c>
      <c r="T631" s="40">
        <f t="shared" si="464"/>
        <v>0</v>
      </c>
      <c r="U631" s="40">
        <f t="shared" si="464"/>
        <v>0</v>
      </c>
      <c r="V631" s="40">
        <f t="shared" si="464"/>
        <v>0</v>
      </c>
      <c r="W631" s="40">
        <f t="shared" si="464"/>
        <v>0</v>
      </c>
      <c r="X631" s="40">
        <f t="shared" si="464"/>
        <v>0</v>
      </c>
      <c r="Y631" s="40">
        <f t="shared" si="464"/>
        <v>0</v>
      </c>
      <c r="Z631" s="39" t="s">
        <v>1776</v>
      </c>
      <c r="AA631" s="41" t="s">
        <v>41</v>
      </c>
      <c r="AB631" s="42" t="s">
        <v>162</v>
      </c>
      <c r="AC631" s="42" t="s">
        <v>64</v>
      </c>
      <c r="AD631" s="43" t="s">
        <v>1764</v>
      </c>
    </row>
    <row r="632" spans="1:30" ht="69.75" x14ac:dyDescent="0.25">
      <c r="A632" s="37" t="s">
        <v>1777</v>
      </c>
      <c r="B632" s="38" t="s">
        <v>1778</v>
      </c>
      <c r="C632" s="39"/>
      <c r="D632" s="39"/>
      <c r="E632" s="39"/>
      <c r="F632" s="44">
        <v>0</v>
      </c>
      <c r="G632" s="44">
        <v>0</v>
      </c>
      <c r="H632" s="44">
        <v>0</v>
      </c>
      <c r="I632" s="44">
        <v>0</v>
      </c>
      <c r="J632" s="44">
        <v>0</v>
      </c>
      <c r="K632" s="44">
        <v>0</v>
      </c>
      <c r="L632" s="44">
        <v>0</v>
      </c>
      <c r="M632" s="44">
        <v>0</v>
      </c>
      <c r="N632" s="44">
        <v>0</v>
      </c>
      <c r="O632" s="44">
        <v>0</v>
      </c>
      <c r="P632" s="44">
        <v>0</v>
      </c>
      <c r="Q632" s="44">
        <v>0</v>
      </c>
      <c r="R632" s="44">
        <v>0</v>
      </c>
      <c r="S632" s="44">
        <v>0</v>
      </c>
      <c r="T632" s="44">
        <v>0</v>
      </c>
      <c r="U632" s="44">
        <v>0</v>
      </c>
      <c r="V632" s="44">
        <v>0</v>
      </c>
      <c r="W632" s="44">
        <v>0</v>
      </c>
      <c r="X632" s="44">
        <v>0</v>
      </c>
      <c r="Y632" s="44">
        <v>0</v>
      </c>
      <c r="Z632" s="39"/>
      <c r="AA632" s="41"/>
      <c r="AB632" s="42"/>
      <c r="AC632" s="42"/>
      <c r="AD632" s="43"/>
    </row>
    <row r="633" spans="1:30" ht="69.75" x14ac:dyDescent="0.25">
      <c r="A633" s="37" t="s">
        <v>1779</v>
      </c>
      <c r="B633" s="38" t="s">
        <v>1780</v>
      </c>
      <c r="C633" s="39" t="s">
        <v>1541</v>
      </c>
      <c r="D633" s="39" t="s">
        <v>1544</v>
      </c>
      <c r="E633" s="39" t="s">
        <v>46</v>
      </c>
      <c r="F633" s="40">
        <f>SUM(F634:F634)+32191.85</f>
        <v>32191.85</v>
      </c>
      <c r="G633" s="40">
        <f>SUM(G634:G634)+32191.85</f>
        <v>32191.85</v>
      </c>
      <c r="H633" s="40">
        <f t="shared" ref="H633:O633" si="465">SUM(H634:H634)</f>
        <v>0</v>
      </c>
      <c r="I633" s="40">
        <f t="shared" si="465"/>
        <v>0</v>
      </c>
      <c r="J633" s="40">
        <f t="shared" si="465"/>
        <v>0</v>
      </c>
      <c r="K633" s="40">
        <f t="shared" si="465"/>
        <v>0</v>
      </c>
      <c r="L633" s="40">
        <f t="shared" si="465"/>
        <v>0</v>
      </c>
      <c r="M633" s="40">
        <f t="shared" si="465"/>
        <v>0</v>
      </c>
      <c r="N633" s="40">
        <f t="shared" si="465"/>
        <v>0</v>
      </c>
      <c r="O633" s="40">
        <f t="shared" si="465"/>
        <v>0</v>
      </c>
      <c r="P633" s="40">
        <f>SUM(P634:P634)+31391.39</f>
        <v>31391.39</v>
      </c>
      <c r="Q633" s="40">
        <f>SUM(Q634:Q634)+31391.39</f>
        <v>31391.39</v>
      </c>
      <c r="R633" s="40">
        <f t="shared" ref="R633:Y633" si="466">SUM(R634:R634)</f>
        <v>0</v>
      </c>
      <c r="S633" s="40">
        <f t="shared" si="466"/>
        <v>0</v>
      </c>
      <c r="T633" s="40">
        <f t="shared" si="466"/>
        <v>0</v>
      </c>
      <c r="U633" s="40">
        <f t="shared" si="466"/>
        <v>0</v>
      </c>
      <c r="V633" s="40">
        <f t="shared" si="466"/>
        <v>0</v>
      </c>
      <c r="W633" s="40">
        <f t="shared" si="466"/>
        <v>0</v>
      </c>
      <c r="X633" s="40">
        <f t="shared" si="466"/>
        <v>0</v>
      </c>
      <c r="Y633" s="40">
        <f t="shared" si="466"/>
        <v>0</v>
      </c>
      <c r="Z633" s="39" t="s">
        <v>1781</v>
      </c>
      <c r="AA633" s="41" t="s">
        <v>41</v>
      </c>
      <c r="AB633" s="42" t="s">
        <v>1782</v>
      </c>
      <c r="AC633" s="42" t="s">
        <v>1783</v>
      </c>
      <c r="AD633" s="43" t="s">
        <v>1784</v>
      </c>
    </row>
    <row r="634" spans="1:30" ht="69.75" x14ac:dyDescent="0.25">
      <c r="A634" s="37" t="s">
        <v>1785</v>
      </c>
      <c r="B634" s="38" t="s">
        <v>1786</v>
      </c>
      <c r="C634" s="39"/>
      <c r="D634" s="39"/>
      <c r="E634" s="39"/>
      <c r="F634" s="44">
        <v>0</v>
      </c>
      <c r="G634" s="44">
        <v>0</v>
      </c>
      <c r="H634" s="44">
        <v>0</v>
      </c>
      <c r="I634" s="44">
        <v>0</v>
      </c>
      <c r="J634" s="44">
        <v>0</v>
      </c>
      <c r="K634" s="44">
        <v>0</v>
      </c>
      <c r="L634" s="44">
        <v>0</v>
      </c>
      <c r="M634" s="44">
        <v>0</v>
      </c>
      <c r="N634" s="44">
        <v>0</v>
      </c>
      <c r="O634" s="44">
        <v>0</v>
      </c>
      <c r="P634" s="44">
        <v>0</v>
      </c>
      <c r="Q634" s="44">
        <v>0</v>
      </c>
      <c r="R634" s="44">
        <v>0</v>
      </c>
      <c r="S634" s="44">
        <v>0</v>
      </c>
      <c r="T634" s="44">
        <v>0</v>
      </c>
      <c r="U634" s="44">
        <v>0</v>
      </c>
      <c r="V634" s="44">
        <v>0</v>
      </c>
      <c r="W634" s="44">
        <v>0</v>
      </c>
      <c r="X634" s="44">
        <v>0</v>
      </c>
      <c r="Y634" s="44">
        <v>0</v>
      </c>
      <c r="Z634" s="39"/>
      <c r="AA634" s="41"/>
      <c r="AB634" s="42"/>
      <c r="AC634" s="42"/>
      <c r="AD634" s="43"/>
    </row>
    <row r="635" spans="1:30" ht="69.75" x14ac:dyDescent="0.25">
      <c r="A635" s="37" t="s">
        <v>1787</v>
      </c>
      <c r="B635" s="38" t="s">
        <v>1788</v>
      </c>
      <c r="C635" s="39" t="s">
        <v>1541</v>
      </c>
      <c r="D635" s="39" t="s">
        <v>1544</v>
      </c>
      <c r="E635" s="39" t="s">
        <v>46</v>
      </c>
      <c r="F635" s="40">
        <f>SUM(F636:F636)+23000</f>
        <v>23000</v>
      </c>
      <c r="G635" s="40">
        <f>SUM(G636:G636)+23000</f>
        <v>23000</v>
      </c>
      <c r="H635" s="40">
        <f t="shared" ref="H635:O635" si="467">SUM(H636:H636)</f>
        <v>0</v>
      </c>
      <c r="I635" s="40">
        <f t="shared" si="467"/>
        <v>0</v>
      </c>
      <c r="J635" s="40">
        <f t="shared" si="467"/>
        <v>0</v>
      </c>
      <c r="K635" s="40">
        <f t="shared" si="467"/>
        <v>0</v>
      </c>
      <c r="L635" s="40">
        <f t="shared" si="467"/>
        <v>0</v>
      </c>
      <c r="M635" s="40">
        <f t="shared" si="467"/>
        <v>0</v>
      </c>
      <c r="N635" s="40">
        <f t="shared" si="467"/>
        <v>0</v>
      </c>
      <c r="O635" s="40">
        <f t="shared" si="467"/>
        <v>0</v>
      </c>
      <c r="P635" s="40">
        <f>SUM(P636:P636)+21624.33</f>
        <v>21624.33</v>
      </c>
      <c r="Q635" s="40">
        <f>SUM(Q636:Q636)+21624.33</f>
        <v>21624.33</v>
      </c>
      <c r="R635" s="40">
        <f t="shared" ref="R635:Y635" si="468">SUM(R636:R636)</f>
        <v>0</v>
      </c>
      <c r="S635" s="40">
        <f t="shared" si="468"/>
        <v>0</v>
      </c>
      <c r="T635" s="40">
        <f t="shared" si="468"/>
        <v>0</v>
      </c>
      <c r="U635" s="40">
        <f t="shared" si="468"/>
        <v>0</v>
      </c>
      <c r="V635" s="40">
        <f t="shared" si="468"/>
        <v>0</v>
      </c>
      <c r="W635" s="40">
        <f t="shared" si="468"/>
        <v>0</v>
      </c>
      <c r="X635" s="40">
        <f t="shared" si="468"/>
        <v>0</v>
      </c>
      <c r="Y635" s="40">
        <f t="shared" si="468"/>
        <v>0</v>
      </c>
      <c r="Z635" s="39" t="s">
        <v>1789</v>
      </c>
      <c r="AA635" s="41" t="s">
        <v>41</v>
      </c>
      <c r="AB635" s="42" t="s">
        <v>1790</v>
      </c>
      <c r="AC635" s="42" t="s">
        <v>1791</v>
      </c>
      <c r="AD635" s="43" t="s">
        <v>1784</v>
      </c>
    </row>
    <row r="636" spans="1:30" ht="69.75" x14ac:dyDescent="0.25">
      <c r="A636" s="37" t="s">
        <v>1792</v>
      </c>
      <c r="B636" s="38" t="s">
        <v>1793</v>
      </c>
      <c r="C636" s="39"/>
      <c r="D636" s="39"/>
      <c r="E636" s="39"/>
      <c r="F636" s="44">
        <v>0</v>
      </c>
      <c r="G636" s="44">
        <v>0</v>
      </c>
      <c r="H636" s="44">
        <v>0</v>
      </c>
      <c r="I636" s="44">
        <v>0</v>
      </c>
      <c r="J636" s="44">
        <v>0</v>
      </c>
      <c r="K636" s="44">
        <v>0</v>
      </c>
      <c r="L636" s="44">
        <v>0</v>
      </c>
      <c r="M636" s="44">
        <v>0</v>
      </c>
      <c r="N636" s="44">
        <v>0</v>
      </c>
      <c r="O636" s="44">
        <v>0</v>
      </c>
      <c r="P636" s="44">
        <v>0</v>
      </c>
      <c r="Q636" s="44">
        <v>0</v>
      </c>
      <c r="R636" s="44">
        <v>0</v>
      </c>
      <c r="S636" s="44">
        <v>0</v>
      </c>
      <c r="T636" s="44">
        <v>0</v>
      </c>
      <c r="U636" s="44">
        <v>0</v>
      </c>
      <c r="V636" s="44">
        <v>0</v>
      </c>
      <c r="W636" s="44">
        <v>0</v>
      </c>
      <c r="X636" s="44">
        <v>0</v>
      </c>
      <c r="Y636" s="44">
        <v>0</v>
      </c>
      <c r="Z636" s="39"/>
      <c r="AA636" s="41"/>
      <c r="AB636" s="42"/>
      <c r="AC636" s="42"/>
      <c r="AD636" s="43"/>
    </row>
    <row r="637" spans="1:30" ht="302.25" x14ac:dyDescent="0.25">
      <c r="A637" s="37" t="s">
        <v>1794</v>
      </c>
      <c r="B637" s="38" t="s">
        <v>1795</v>
      </c>
      <c r="C637" s="39" t="s">
        <v>1796</v>
      </c>
      <c r="D637" s="39" t="s">
        <v>1701</v>
      </c>
      <c r="E637" s="39" t="s">
        <v>46</v>
      </c>
      <c r="F637" s="40">
        <f>SUM(F638:F639)+468703</f>
        <v>468703</v>
      </c>
      <c r="G637" s="40">
        <f>SUM(G638:G639)</f>
        <v>0</v>
      </c>
      <c r="H637" s="40">
        <f>SUM(H638:H639)</f>
        <v>0</v>
      </c>
      <c r="I637" s="40">
        <f>SUM(I638:I639)</f>
        <v>0</v>
      </c>
      <c r="J637" s="40">
        <f>SUM(J638:J639)+452904</f>
        <v>452904</v>
      </c>
      <c r="K637" s="40">
        <f>SUM(K638:K639)</f>
        <v>0</v>
      </c>
      <c r="L637" s="40">
        <f>SUM(L638:L639)</f>
        <v>0</v>
      </c>
      <c r="M637" s="40">
        <f>SUM(M638:M639)</f>
        <v>0</v>
      </c>
      <c r="N637" s="40">
        <f>SUM(N638:N639)</f>
        <v>0</v>
      </c>
      <c r="O637" s="40">
        <f>SUM(O638:O639)</f>
        <v>0</v>
      </c>
      <c r="P637" s="40">
        <f>SUM(P638:P639)+448330.48</f>
        <v>448330.48</v>
      </c>
      <c r="Q637" s="40">
        <f t="shared" ref="Q637:Y637" si="469">SUM(Q638:Q639)</f>
        <v>0</v>
      </c>
      <c r="R637" s="40">
        <f t="shared" si="469"/>
        <v>0</v>
      </c>
      <c r="S637" s="40">
        <f t="shared" si="469"/>
        <v>0</v>
      </c>
      <c r="T637" s="40">
        <f t="shared" si="469"/>
        <v>0</v>
      </c>
      <c r="U637" s="40">
        <f t="shared" si="469"/>
        <v>0</v>
      </c>
      <c r="V637" s="40">
        <f t="shared" si="469"/>
        <v>0</v>
      </c>
      <c r="W637" s="40">
        <f t="shared" si="469"/>
        <v>0</v>
      </c>
      <c r="X637" s="40">
        <f t="shared" si="469"/>
        <v>0</v>
      </c>
      <c r="Y637" s="40">
        <f t="shared" si="469"/>
        <v>0</v>
      </c>
      <c r="Z637" s="39" t="s">
        <v>1797</v>
      </c>
      <c r="AA637" s="41" t="s">
        <v>41</v>
      </c>
      <c r="AB637" s="42" t="s">
        <v>1798</v>
      </c>
      <c r="AC637" s="42" t="s">
        <v>1799</v>
      </c>
      <c r="AD637" s="43" t="s">
        <v>1800</v>
      </c>
    </row>
    <row r="638" spans="1:30" ht="69.75" x14ac:dyDescent="0.25">
      <c r="A638" s="45"/>
      <c r="B638" s="46"/>
      <c r="C638" s="47"/>
      <c r="D638" s="47"/>
      <c r="E638" s="47"/>
      <c r="F638" s="48">
        <v>0</v>
      </c>
      <c r="G638" s="48">
        <v>0</v>
      </c>
      <c r="H638" s="48">
        <v>0</v>
      </c>
      <c r="I638" s="48">
        <v>0</v>
      </c>
      <c r="J638" s="48">
        <v>0</v>
      </c>
      <c r="K638" s="48">
        <v>0</v>
      </c>
      <c r="L638" s="48">
        <v>0</v>
      </c>
      <c r="M638" s="48">
        <v>0</v>
      </c>
      <c r="N638" s="48">
        <v>0</v>
      </c>
      <c r="O638" s="48">
        <v>0</v>
      </c>
      <c r="P638" s="48">
        <v>0</v>
      </c>
      <c r="Q638" s="48">
        <v>0</v>
      </c>
      <c r="R638" s="48">
        <v>0</v>
      </c>
      <c r="S638" s="48">
        <v>0</v>
      </c>
      <c r="T638" s="48">
        <v>0</v>
      </c>
      <c r="U638" s="48">
        <v>0</v>
      </c>
      <c r="V638" s="48">
        <v>0</v>
      </c>
      <c r="W638" s="48">
        <v>0</v>
      </c>
      <c r="X638" s="48">
        <v>0</v>
      </c>
      <c r="Y638" s="48">
        <v>0</v>
      </c>
      <c r="Z638" s="47" t="s">
        <v>1801</v>
      </c>
      <c r="AA638" s="49" t="s">
        <v>41</v>
      </c>
      <c r="AB638" s="50" t="s">
        <v>1802</v>
      </c>
      <c r="AC638" s="50" t="s">
        <v>1803</v>
      </c>
      <c r="AD638" s="51" t="s">
        <v>1804</v>
      </c>
    </row>
    <row r="639" spans="1:30" ht="93" x14ac:dyDescent="0.25">
      <c r="A639" s="37" t="s">
        <v>1805</v>
      </c>
      <c r="B639" s="38" t="s">
        <v>1806</v>
      </c>
      <c r="C639" s="39"/>
      <c r="D639" s="39"/>
      <c r="E639" s="39"/>
      <c r="F639" s="44">
        <v>0</v>
      </c>
      <c r="G639" s="44">
        <v>0</v>
      </c>
      <c r="H639" s="44">
        <v>0</v>
      </c>
      <c r="I639" s="44">
        <v>0</v>
      </c>
      <c r="J639" s="44">
        <v>0</v>
      </c>
      <c r="K639" s="44">
        <v>0</v>
      </c>
      <c r="L639" s="44">
        <v>0</v>
      </c>
      <c r="M639" s="44">
        <v>0</v>
      </c>
      <c r="N639" s="44">
        <v>0</v>
      </c>
      <c r="O639" s="44">
        <v>0</v>
      </c>
      <c r="P639" s="44">
        <v>0</v>
      </c>
      <c r="Q639" s="44">
        <v>0</v>
      </c>
      <c r="R639" s="44">
        <v>0</v>
      </c>
      <c r="S639" s="44">
        <v>0</v>
      </c>
      <c r="T639" s="44">
        <v>0</v>
      </c>
      <c r="U639" s="44">
        <v>0</v>
      </c>
      <c r="V639" s="44">
        <v>0</v>
      </c>
      <c r="W639" s="44">
        <v>0</v>
      </c>
      <c r="X639" s="44">
        <v>0</v>
      </c>
      <c r="Y639" s="44">
        <v>0</v>
      </c>
      <c r="Z639" s="39"/>
      <c r="AA639" s="41"/>
      <c r="AB639" s="42"/>
      <c r="AC639" s="42"/>
      <c r="AD639" s="43"/>
    </row>
    <row r="640" spans="1:30" ht="69.75" x14ac:dyDescent="0.25">
      <c r="A640" s="37" t="s">
        <v>1807</v>
      </c>
      <c r="B640" s="38" t="s">
        <v>1808</v>
      </c>
      <c r="C640" s="39" t="s">
        <v>1541</v>
      </c>
      <c r="D640" s="39" t="s">
        <v>1701</v>
      </c>
      <c r="E640" s="39" t="s">
        <v>46</v>
      </c>
      <c r="F640" s="40">
        <f>SUM(F641:F642)+5096</f>
        <v>5096</v>
      </c>
      <c r="G640" s="40">
        <f>SUM(G641:G642)</f>
        <v>0</v>
      </c>
      <c r="H640" s="40">
        <f>SUM(H641:H642)</f>
        <v>0</v>
      </c>
      <c r="I640" s="40">
        <f>SUM(I641:I642)</f>
        <v>0</v>
      </c>
      <c r="J640" s="40">
        <f>SUM(J641:J642)+5096</f>
        <v>5096</v>
      </c>
      <c r="K640" s="40">
        <f>SUM(K641:K642)</f>
        <v>0</v>
      </c>
      <c r="L640" s="40">
        <f>SUM(L641:L642)</f>
        <v>0</v>
      </c>
      <c r="M640" s="40">
        <f>SUM(M641:M642)</f>
        <v>0</v>
      </c>
      <c r="N640" s="40">
        <f>SUM(N641:N642)</f>
        <v>0</v>
      </c>
      <c r="O640" s="40">
        <f>SUM(O641:O642)</f>
        <v>0</v>
      </c>
      <c r="P640" s="40">
        <f>SUM(P641:P642)+4359</f>
        <v>4359</v>
      </c>
      <c r="Q640" s="40">
        <f t="shared" ref="Q640:Y640" si="470">SUM(Q641:Q642)</f>
        <v>0</v>
      </c>
      <c r="R640" s="40">
        <f t="shared" si="470"/>
        <v>0</v>
      </c>
      <c r="S640" s="40">
        <f t="shared" si="470"/>
        <v>0</v>
      </c>
      <c r="T640" s="40">
        <f t="shared" si="470"/>
        <v>0</v>
      </c>
      <c r="U640" s="40">
        <f t="shared" si="470"/>
        <v>0</v>
      </c>
      <c r="V640" s="40">
        <f t="shared" si="470"/>
        <v>0</v>
      </c>
      <c r="W640" s="40">
        <f t="shared" si="470"/>
        <v>0</v>
      </c>
      <c r="X640" s="40">
        <f t="shared" si="470"/>
        <v>0</v>
      </c>
      <c r="Y640" s="40">
        <f t="shared" si="470"/>
        <v>0</v>
      </c>
      <c r="Z640" s="39" t="s">
        <v>1809</v>
      </c>
      <c r="AA640" s="41" t="s">
        <v>41</v>
      </c>
      <c r="AB640" s="42" t="s">
        <v>139</v>
      </c>
      <c r="AC640" s="42" t="s">
        <v>253</v>
      </c>
      <c r="AD640" s="43" t="s">
        <v>1810</v>
      </c>
    </row>
    <row r="641" spans="1:30" ht="69.75" x14ac:dyDescent="0.25">
      <c r="A641" s="45"/>
      <c r="B641" s="46"/>
      <c r="C641" s="47"/>
      <c r="D641" s="47"/>
      <c r="E641" s="47"/>
      <c r="F641" s="48">
        <v>0</v>
      </c>
      <c r="G641" s="48">
        <v>0</v>
      </c>
      <c r="H641" s="48">
        <v>0</v>
      </c>
      <c r="I641" s="48">
        <v>0</v>
      </c>
      <c r="J641" s="48">
        <v>0</v>
      </c>
      <c r="K641" s="48">
        <v>0</v>
      </c>
      <c r="L641" s="48">
        <v>0</v>
      </c>
      <c r="M641" s="48">
        <v>0</v>
      </c>
      <c r="N641" s="48">
        <v>0</v>
      </c>
      <c r="O641" s="48">
        <v>0</v>
      </c>
      <c r="P641" s="48">
        <v>0</v>
      </c>
      <c r="Q641" s="48">
        <v>0</v>
      </c>
      <c r="R641" s="48">
        <v>0</v>
      </c>
      <c r="S641" s="48">
        <v>0</v>
      </c>
      <c r="T641" s="48">
        <v>0</v>
      </c>
      <c r="U641" s="48">
        <v>0</v>
      </c>
      <c r="V641" s="48">
        <v>0</v>
      </c>
      <c r="W641" s="48">
        <v>0</v>
      </c>
      <c r="X641" s="48">
        <v>0</v>
      </c>
      <c r="Y641" s="48">
        <v>0</v>
      </c>
      <c r="Z641" s="47" t="s">
        <v>1811</v>
      </c>
      <c r="AA641" s="49" t="s">
        <v>41</v>
      </c>
      <c r="AB641" s="50" t="s">
        <v>107</v>
      </c>
      <c r="AC641" s="50" t="s">
        <v>253</v>
      </c>
      <c r="AD641" s="51" t="s">
        <v>1804</v>
      </c>
    </row>
    <row r="642" spans="1:30" ht="93" x14ac:dyDescent="0.25">
      <c r="A642" s="37" t="s">
        <v>1812</v>
      </c>
      <c r="B642" s="38" t="s">
        <v>1813</v>
      </c>
      <c r="C642" s="39"/>
      <c r="D642" s="39"/>
      <c r="E642" s="39"/>
      <c r="F642" s="44">
        <v>0</v>
      </c>
      <c r="G642" s="44">
        <v>0</v>
      </c>
      <c r="H642" s="44">
        <v>0</v>
      </c>
      <c r="I642" s="44">
        <v>0</v>
      </c>
      <c r="J642" s="44">
        <v>0</v>
      </c>
      <c r="K642" s="44">
        <v>0</v>
      </c>
      <c r="L642" s="44">
        <v>0</v>
      </c>
      <c r="M642" s="44">
        <v>0</v>
      </c>
      <c r="N642" s="44">
        <v>0</v>
      </c>
      <c r="O642" s="44">
        <v>0</v>
      </c>
      <c r="P642" s="44">
        <v>0</v>
      </c>
      <c r="Q642" s="44">
        <v>0</v>
      </c>
      <c r="R642" s="44">
        <v>0</v>
      </c>
      <c r="S642" s="44">
        <v>0</v>
      </c>
      <c r="T642" s="44">
        <v>0</v>
      </c>
      <c r="U642" s="44">
        <v>0</v>
      </c>
      <c r="V642" s="44">
        <v>0</v>
      </c>
      <c r="W642" s="44">
        <v>0</v>
      </c>
      <c r="X642" s="44">
        <v>0</v>
      </c>
      <c r="Y642" s="44">
        <v>0</v>
      </c>
      <c r="Z642" s="39"/>
      <c r="AA642" s="41"/>
      <c r="AB642" s="42"/>
      <c r="AC642" s="42"/>
      <c r="AD642" s="43"/>
    </row>
    <row r="643" spans="1:30" ht="46.5" x14ac:dyDescent="0.25">
      <c r="A643" s="37" t="s">
        <v>1814</v>
      </c>
      <c r="B643" s="38" t="s">
        <v>1815</v>
      </c>
      <c r="C643" s="39" t="s">
        <v>1541</v>
      </c>
      <c r="D643" s="39" t="s">
        <v>1685</v>
      </c>
      <c r="E643" s="39" t="s">
        <v>46</v>
      </c>
      <c r="F643" s="40">
        <f>SUM(F644:F645)+166310</f>
        <v>166310</v>
      </c>
      <c r="G643" s="40">
        <f>SUM(G644:G645)</f>
        <v>0</v>
      </c>
      <c r="H643" s="40">
        <f>SUM(H644:H645)</f>
        <v>0</v>
      </c>
      <c r="I643" s="40">
        <f>SUM(I644:I645)</f>
        <v>0</v>
      </c>
      <c r="J643" s="40">
        <f>SUM(J644:J645)+166310</f>
        <v>166310</v>
      </c>
      <c r="K643" s="40">
        <f>SUM(K644:K645)</f>
        <v>0</v>
      </c>
      <c r="L643" s="40">
        <f>SUM(L644:L645)</f>
        <v>0</v>
      </c>
      <c r="M643" s="40">
        <f>SUM(M644:M645)</f>
        <v>0</v>
      </c>
      <c r="N643" s="40">
        <f>SUM(N644:N645)</f>
        <v>0</v>
      </c>
      <c r="O643" s="40">
        <f>SUM(O644:O645)</f>
        <v>0</v>
      </c>
      <c r="P643" s="40">
        <f>SUM(P644:P645)+165337.16</f>
        <v>165337.16</v>
      </c>
      <c r="Q643" s="40">
        <f t="shared" ref="Q643:Y643" si="471">SUM(Q644:Q645)</f>
        <v>0</v>
      </c>
      <c r="R643" s="40">
        <f t="shared" si="471"/>
        <v>0</v>
      </c>
      <c r="S643" s="40">
        <f t="shared" si="471"/>
        <v>0</v>
      </c>
      <c r="T643" s="40">
        <f t="shared" si="471"/>
        <v>0</v>
      </c>
      <c r="U643" s="40">
        <f t="shared" si="471"/>
        <v>0</v>
      </c>
      <c r="V643" s="40">
        <f t="shared" si="471"/>
        <v>0</v>
      </c>
      <c r="W643" s="40">
        <f t="shared" si="471"/>
        <v>0</v>
      </c>
      <c r="X643" s="40">
        <f t="shared" si="471"/>
        <v>0</v>
      </c>
      <c r="Y643" s="40">
        <f t="shared" si="471"/>
        <v>0</v>
      </c>
      <c r="Z643" s="39" t="s">
        <v>1816</v>
      </c>
      <c r="AA643" s="41" t="s">
        <v>41</v>
      </c>
      <c r="AB643" s="42" t="s">
        <v>1817</v>
      </c>
      <c r="AC643" s="42" t="s">
        <v>72</v>
      </c>
      <c r="AD643" s="43" t="s">
        <v>1756</v>
      </c>
    </row>
    <row r="644" spans="1:30" ht="46.5" x14ac:dyDescent="0.25">
      <c r="A644" s="37" t="s">
        <v>1818</v>
      </c>
      <c r="B644" s="38" t="s">
        <v>1819</v>
      </c>
      <c r="C644" s="39"/>
      <c r="D644" s="39"/>
      <c r="E644" s="39"/>
      <c r="F644" s="44">
        <v>0</v>
      </c>
      <c r="G644" s="44">
        <v>0</v>
      </c>
      <c r="H644" s="44">
        <v>0</v>
      </c>
      <c r="I644" s="44">
        <v>0</v>
      </c>
      <c r="J644" s="44">
        <v>0</v>
      </c>
      <c r="K644" s="44">
        <v>0</v>
      </c>
      <c r="L644" s="44">
        <v>0</v>
      </c>
      <c r="M644" s="44">
        <v>0</v>
      </c>
      <c r="N644" s="44">
        <v>0</v>
      </c>
      <c r="O644" s="44">
        <v>0</v>
      </c>
      <c r="P644" s="44">
        <v>0</v>
      </c>
      <c r="Q644" s="44">
        <v>0</v>
      </c>
      <c r="R644" s="44">
        <v>0</v>
      </c>
      <c r="S644" s="44">
        <v>0</v>
      </c>
      <c r="T644" s="44">
        <v>0</v>
      </c>
      <c r="U644" s="44">
        <v>0</v>
      </c>
      <c r="V644" s="44">
        <v>0</v>
      </c>
      <c r="W644" s="44">
        <v>0</v>
      </c>
      <c r="X644" s="44">
        <v>0</v>
      </c>
      <c r="Y644" s="44">
        <v>0</v>
      </c>
      <c r="Z644" s="39"/>
      <c r="AA644" s="41"/>
      <c r="AB644" s="42"/>
      <c r="AC644" s="42"/>
      <c r="AD644" s="43"/>
    </row>
    <row r="645" spans="1:30" ht="69.75" x14ac:dyDescent="0.25">
      <c r="A645" s="37" t="s">
        <v>1820</v>
      </c>
      <c r="B645" s="38" t="s">
        <v>1821</v>
      </c>
      <c r="C645" s="39"/>
      <c r="D645" s="39"/>
      <c r="E645" s="39"/>
      <c r="F645" s="44">
        <v>0</v>
      </c>
      <c r="G645" s="44">
        <v>0</v>
      </c>
      <c r="H645" s="44">
        <v>0</v>
      </c>
      <c r="I645" s="44">
        <v>0</v>
      </c>
      <c r="J645" s="44">
        <v>0</v>
      </c>
      <c r="K645" s="44">
        <v>0</v>
      </c>
      <c r="L645" s="44">
        <v>0</v>
      </c>
      <c r="M645" s="44">
        <v>0</v>
      </c>
      <c r="N645" s="44">
        <v>0</v>
      </c>
      <c r="O645" s="44">
        <v>0</v>
      </c>
      <c r="P645" s="44">
        <v>0</v>
      </c>
      <c r="Q645" s="44">
        <v>0</v>
      </c>
      <c r="R645" s="44">
        <v>0</v>
      </c>
      <c r="S645" s="44">
        <v>0</v>
      </c>
      <c r="T645" s="44">
        <v>0</v>
      </c>
      <c r="U645" s="44">
        <v>0</v>
      </c>
      <c r="V645" s="44">
        <v>0</v>
      </c>
      <c r="W645" s="44">
        <v>0</v>
      </c>
      <c r="X645" s="44">
        <v>0</v>
      </c>
      <c r="Y645" s="44">
        <v>0</v>
      </c>
      <c r="Z645" s="39"/>
      <c r="AA645" s="41"/>
      <c r="AB645" s="42"/>
      <c r="AC645" s="42"/>
      <c r="AD645" s="43"/>
    </row>
    <row r="646" spans="1:30" ht="69.75" x14ac:dyDescent="0.25">
      <c r="A646" s="37" t="s">
        <v>1822</v>
      </c>
      <c r="B646" s="38" t="s">
        <v>1823</v>
      </c>
      <c r="C646" s="39" t="s">
        <v>1541</v>
      </c>
      <c r="D646" s="39" t="s">
        <v>1752</v>
      </c>
      <c r="E646" s="39" t="s">
        <v>46</v>
      </c>
      <c r="F646" s="40">
        <f>SUM(F647:F647)+307481.35</f>
        <v>307481.34999999998</v>
      </c>
      <c r="G646" s="40">
        <f>SUM(G647:G647)+209258</f>
        <v>209258</v>
      </c>
      <c r="H646" s="40">
        <f t="shared" ref="H646:O646" si="472">SUM(H647:H647)</f>
        <v>0</v>
      </c>
      <c r="I646" s="40">
        <f t="shared" si="472"/>
        <v>0</v>
      </c>
      <c r="J646" s="40">
        <f t="shared" si="472"/>
        <v>0</v>
      </c>
      <c r="K646" s="40">
        <f t="shared" si="472"/>
        <v>0</v>
      </c>
      <c r="L646" s="40">
        <f t="shared" si="472"/>
        <v>0</v>
      </c>
      <c r="M646" s="40">
        <f t="shared" si="472"/>
        <v>0</v>
      </c>
      <c r="N646" s="40">
        <f t="shared" si="472"/>
        <v>0</v>
      </c>
      <c r="O646" s="40">
        <f t="shared" si="472"/>
        <v>0</v>
      </c>
      <c r="P646" s="40">
        <f>SUM(P647:P647)+307205.79</f>
        <v>307205.78999999998</v>
      </c>
      <c r="Q646" s="40">
        <f>SUM(Q647:Q647)+44344.44</f>
        <v>44344.44</v>
      </c>
      <c r="R646" s="40">
        <f t="shared" ref="R646:Y646" si="473">SUM(R647:R647)</f>
        <v>0</v>
      </c>
      <c r="S646" s="40">
        <f t="shared" si="473"/>
        <v>0</v>
      </c>
      <c r="T646" s="40">
        <f t="shared" si="473"/>
        <v>0</v>
      </c>
      <c r="U646" s="40">
        <f t="shared" si="473"/>
        <v>0</v>
      </c>
      <c r="V646" s="40">
        <f t="shared" si="473"/>
        <v>0</v>
      </c>
      <c r="W646" s="40">
        <f t="shared" si="473"/>
        <v>0</v>
      </c>
      <c r="X646" s="40">
        <f t="shared" si="473"/>
        <v>0</v>
      </c>
      <c r="Y646" s="40">
        <f t="shared" si="473"/>
        <v>0</v>
      </c>
      <c r="Z646" s="39" t="s">
        <v>1824</v>
      </c>
      <c r="AA646" s="41" t="s">
        <v>41</v>
      </c>
      <c r="AB646" s="42" t="s">
        <v>1825</v>
      </c>
      <c r="AC646" s="42" t="s">
        <v>1826</v>
      </c>
      <c r="AD646" s="43" t="s">
        <v>1827</v>
      </c>
    </row>
    <row r="647" spans="1:30" ht="46.5" x14ac:dyDescent="0.25">
      <c r="A647" s="37" t="s">
        <v>1828</v>
      </c>
      <c r="B647" s="38" t="s">
        <v>1829</v>
      </c>
      <c r="C647" s="39"/>
      <c r="D647" s="39"/>
      <c r="E647" s="39"/>
      <c r="F647" s="44">
        <v>0</v>
      </c>
      <c r="G647" s="44">
        <v>0</v>
      </c>
      <c r="H647" s="44">
        <v>0</v>
      </c>
      <c r="I647" s="44">
        <v>0</v>
      </c>
      <c r="J647" s="44">
        <v>0</v>
      </c>
      <c r="K647" s="44">
        <v>0</v>
      </c>
      <c r="L647" s="44">
        <v>0</v>
      </c>
      <c r="M647" s="44">
        <v>0</v>
      </c>
      <c r="N647" s="44">
        <v>0</v>
      </c>
      <c r="O647" s="44">
        <v>0</v>
      </c>
      <c r="P647" s="44">
        <v>0</v>
      </c>
      <c r="Q647" s="44">
        <v>0</v>
      </c>
      <c r="R647" s="44">
        <v>0</v>
      </c>
      <c r="S647" s="44">
        <v>0</v>
      </c>
      <c r="T647" s="44">
        <v>0</v>
      </c>
      <c r="U647" s="44">
        <v>0</v>
      </c>
      <c r="V647" s="44">
        <v>0</v>
      </c>
      <c r="W647" s="44">
        <v>0</v>
      </c>
      <c r="X647" s="44">
        <v>0</v>
      </c>
      <c r="Y647" s="44">
        <v>0</v>
      </c>
      <c r="Z647" s="39"/>
      <c r="AA647" s="41"/>
      <c r="AB647" s="42"/>
      <c r="AC647" s="42"/>
      <c r="AD647" s="43"/>
    </row>
    <row r="648" spans="1:30" ht="69.75" x14ac:dyDescent="0.25">
      <c r="A648" s="37" t="s">
        <v>1830</v>
      </c>
      <c r="B648" s="38" t="s">
        <v>1831</v>
      </c>
      <c r="C648" s="39" t="s">
        <v>1541</v>
      </c>
      <c r="D648" s="39" t="s">
        <v>1752</v>
      </c>
      <c r="E648" s="39" t="s">
        <v>46</v>
      </c>
      <c r="F648" s="40">
        <f>SUM(F649:F649)+27641.97</f>
        <v>27641.97</v>
      </c>
      <c r="G648" s="40">
        <f>SUM(G649:G649)+22141.97</f>
        <v>22141.97</v>
      </c>
      <c r="H648" s="40">
        <f t="shared" ref="H648:O648" si="474">SUM(H649:H649)</f>
        <v>0</v>
      </c>
      <c r="I648" s="40">
        <f t="shared" si="474"/>
        <v>0</v>
      </c>
      <c r="J648" s="40">
        <f t="shared" si="474"/>
        <v>0</v>
      </c>
      <c r="K648" s="40">
        <f t="shared" si="474"/>
        <v>0</v>
      </c>
      <c r="L648" s="40">
        <f t="shared" si="474"/>
        <v>0</v>
      </c>
      <c r="M648" s="40">
        <f t="shared" si="474"/>
        <v>0</v>
      </c>
      <c r="N648" s="40">
        <f t="shared" si="474"/>
        <v>0</v>
      </c>
      <c r="O648" s="40">
        <f t="shared" si="474"/>
        <v>0</v>
      </c>
      <c r="P648" s="40">
        <f>SUM(P649:P649)+22766.03</f>
        <v>22766.03</v>
      </c>
      <c r="Q648" s="40">
        <f>SUM(Q649:Q649)+6624.06</f>
        <v>6624.06</v>
      </c>
      <c r="R648" s="40">
        <f t="shared" ref="R648:Y648" si="475">SUM(R649:R649)</f>
        <v>0</v>
      </c>
      <c r="S648" s="40">
        <f t="shared" si="475"/>
        <v>0</v>
      </c>
      <c r="T648" s="40">
        <f t="shared" si="475"/>
        <v>0</v>
      </c>
      <c r="U648" s="40">
        <f t="shared" si="475"/>
        <v>0</v>
      </c>
      <c r="V648" s="40">
        <f t="shared" si="475"/>
        <v>0</v>
      </c>
      <c r="W648" s="40">
        <f t="shared" si="475"/>
        <v>0</v>
      </c>
      <c r="X648" s="40">
        <f t="shared" si="475"/>
        <v>0</v>
      </c>
      <c r="Y648" s="40">
        <f t="shared" si="475"/>
        <v>0</v>
      </c>
      <c r="Z648" s="39" t="s">
        <v>1832</v>
      </c>
      <c r="AA648" s="41" t="s">
        <v>41</v>
      </c>
      <c r="AB648" s="42" t="s">
        <v>1833</v>
      </c>
      <c r="AC648" s="42" t="s">
        <v>1834</v>
      </c>
      <c r="AD648" s="43" t="s">
        <v>1827</v>
      </c>
    </row>
    <row r="649" spans="1:30" ht="46.5" x14ac:dyDescent="0.25">
      <c r="A649" s="37" t="s">
        <v>1835</v>
      </c>
      <c r="B649" s="38" t="s">
        <v>1836</v>
      </c>
      <c r="C649" s="39"/>
      <c r="D649" s="39"/>
      <c r="E649" s="39"/>
      <c r="F649" s="44">
        <v>0</v>
      </c>
      <c r="G649" s="44">
        <v>0</v>
      </c>
      <c r="H649" s="44">
        <v>0</v>
      </c>
      <c r="I649" s="44">
        <v>0</v>
      </c>
      <c r="J649" s="44">
        <v>0</v>
      </c>
      <c r="K649" s="44">
        <v>0</v>
      </c>
      <c r="L649" s="44">
        <v>0</v>
      </c>
      <c r="M649" s="44">
        <v>0</v>
      </c>
      <c r="N649" s="44">
        <v>0</v>
      </c>
      <c r="O649" s="44">
        <v>0</v>
      </c>
      <c r="P649" s="44">
        <v>0</v>
      </c>
      <c r="Q649" s="44">
        <v>0</v>
      </c>
      <c r="R649" s="44">
        <v>0</v>
      </c>
      <c r="S649" s="44">
        <v>0</v>
      </c>
      <c r="T649" s="44">
        <v>0</v>
      </c>
      <c r="U649" s="44">
        <v>0</v>
      </c>
      <c r="V649" s="44">
        <v>0</v>
      </c>
      <c r="W649" s="44">
        <v>0</v>
      </c>
      <c r="X649" s="44">
        <v>0</v>
      </c>
      <c r="Y649" s="44">
        <v>0</v>
      </c>
      <c r="Z649" s="39"/>
      <c r="AA649" s="41"/>
      <c r="AB649" s="42"/>
      <c r="AC649" s="42"/>
      <c r="AD649" s="43"/>
    </row>
    <row r="650" spans="1:30" ht="69.75" x14ac:dyDescent="0.25">
      <c r="A650" s="37" t="s">
        <v>1837</v>
      </c>
      <c r="B650" s="38" t="s">
        <v>1838</v>
      </c>
      <c r="C650" s="39" t="s">
        <v>1541</v>
      </c>
      <c r="D650" s="39" t="s">
        <v>1752</v>
      </c>
      <c r="E650" s="39" t="s">
        <v>46</v>
      </c>
      <c r="F650" s="40">
        <f>SUM(F651:F651)+20007.81</f>
        <v>20007.810000000001</v>
      </c>
      <c r="G650" s="40">
        <f>SUM(G651:G651)+13500</f>
        <v>13500</v>
      </c>
      <c r="H650" s="40">
        <f t="shared" ref="H650:O650" si="476">SUM(H651:H651)</f>
        <v>0</v>
      </c>
      <c r="I650" s="40">
        <f t="shared" si="476"/>
        <v>0</v>
      </c>
      <c r="J650" s="40">
        <f t="shared" si="476"/>
        <v>0</v>
      </c>
      <c r="K650" s="40">
        <f t="shared" si="476"/>
        <v>0</v>
      </c>
      <c r="L650" s="40">
        <f t="shared" si="476"/>
        <v>0</v>
      </c>
      <c r="M650" s="40">
        <f t="shared" si="476"/>
        <v>0</v>
      </c>
      <c r="N650" s="40">
        <f t="shared" si="476"/>
        <v>0</v>
      </c>
      <c r="O650" s="40">
        <f t="shared" si="476"/>
        <v>0</v>
      </c>
      <c r="P650" s="40">
        <f>SUM(P651:P651)+15501.38</f>
        <v>15501.38</v>
      </c>
      <c r="Q650" s="40">
        <f>SUM(Q651:Q651)+2493.57</f>
        <v>2493.5700000000002</v>
      </c>
      <c r="R650" s="40">
        <f t="shared" ref="R650:Y650" si="477">SUM(R651:R651)</f>
        <v>0</v>
      </c>
      <c r="S650" s="40">
        <f t="shared" si="477"/>
        <v>0</v>
      </c>
      <c r="T650" s="40">
        <f t="shared" si="477"/>
        <v>0</v>
      </c>
      <c r="U650" s="40">
        <f t="shared" si="477"/>
        <v>0</v>
      </c>
      <c r="V650" s="40">
        <f t="shared" si="477"/>
        <v>0</v>
      </c>
      <c r="W650" s="40">
        <f t="shared" si="477"/>
        <v>0</v>
      </c>
      <c r="X650" s="40">
        <f t="shared" si="477"/>
        <v>0</v>
      </c>
      <c r="Y650" s="40">
        <f t="shared" si="477"/>
        <v>0</v>
      </c>
      <c r="Z650" s="39" t="s">
        <v>1839</v>
      </c>
      <c r="AA650" s="41" t="s">
        <v>41</v>
      </c>
      <c r="AB650" s="42" t="s">
        <v>1840</v>
      </c>
      <c r="AC650" s="42" t="s">
        <v>1841</v>
      </c>
      <c r="AD650" s="43" t="s">
        <v>1827</v>
      </c>
    </row>
    <row r="651" spans="1:30" ht="46.5" x14ac:dyDescent="0.25">
      <c r="A651" s="37" t="s">
        <v>1842</v>
      </c>
      <c r="B651" s="38" t="s">
        <v>1843</v>
      </c>
      <c r="C651" s="39"/>
      <c r="D651" s="39"/>
      <c r="E651" s="39"/>
      <c r="F651" s="44">
        <v>0</v>
      </c>
      <c r="G651" s="44">
        <v>0</v>
      </c>
      <c r="H651" s="44">
        <v>0</v>
      </c>
      <c r="I651" s="44">
        <v>0</v>
      </c>
      <c r="J651" s="44">
        <v>0</v>
      </c>
      <c r="K651" s="44">
        <v>0</v>
      </c>
      <c r="L651" s="44">
        <v>0</v>
      </c>
      <c r="M651" s="44">
        <v>0</v>
      </c>
      <c r="N651" s="44">
        <v>0</v>
      </c>
      <c r="O651" s="44">
        <v>0</v>
      </c>
      <c r="P651" s="44">
        <v>0</v>
      </c>
      <c r="Q651" s="44">
        <v>0</v>
      </c>
      <c r="R651" s="44">
        <v>0</v>
      </c>
      <c r="S651" s="44">
        <v>0</v>
      </c>
      <c r="T651" s="44">
        <v>0</v>
      </c>
      <c r="U651" s="44">
        <v>0</v>
      </c>
      <c r="V651" s="44">
        <v>0</v>
      </c>
      <c r="W651" s="44">
        <v>0</v>
      </c>
      <c r="X651" s="44">
        <v>0</v>
      </c>
      <c r="Y651" s="44">
        <v>0</v>
      </c>
      <c r="Z651" s="39"/>
      <c r="AA651" s="41"/>
      <c r="AB651" s="42"/>
      <c r="AC651" s="42"/>
      <c r="AD651" s="43"/>
    </row>
    <row r="652" spans="1:30" ht="93" x14ac:dyDescent="0.25">
      <c r="A652" s="37" t="s">
        <v>1844</v>
      </c>
      <c r="B652" s="38" t="s">
        <v>1845</v>
      </c>
      <c r="C652" s="39" t="s">
        <v>1541</v>
      </c>
      <c r="D652" s="39" t="s">
        <v>1846</v>
      </c>
      <c r="E652" s="39" t="s">
        <v>46</v>
      </c>
      <c r="F652" s="40">
        <f>SUM(F653:F653)+167458.03</f>
        <v>167458.03</v>
      </c>
      <c r="G652" s="40">
        <f>SUM(G653:G653)+135458.03</f>
        <v>135458.03</v>
      </c>
      <c r="H652" s="40">
        <f t="shared" ref="H652:O652" si="478">SUM(H653:H653)</f>
        <v>0</v>
      </c>
      <c r="I652" s="40">
        <f t="shared" si="478"/>
        <v>0</v>
      </c>
      <c r="J652" s="40">
        <f t="shared" si="478"/>
        <v>0</v>
      </c>
      <c r="K652" s="40">
        <f t="shared" si="478"/>
        <v>0</v>
      </c>
      <c r="L652" s="40">
        <f t="shared" si="478"/>
        <v>0</v>
      </c>
      <c r="M652" s="40">
        <f t="shared" si="478"/>
        <v>0</v>
      </c>
      <c r="N652" s="40">
        <f t="shared" si="478"/>
        <v>0</v>
      </c>
      <c r="O652" s="40">
        <f t="shared" si="478"/>
        <v>0</v>
      </c>
      <c r="P652" s="40">
        <f>SUM(P653:P653)+162227.86</f>
        <v>162227.85999999999</v>
      </c>
      <c r="Q652" s="40">
        <f>SUM(Q653:Q653)+56769.83</f>
        <v>56769.83</v>
      </c>
      <c r="R652" s="40">
        <f t="shared" ref="R652:Y652" si="479">SUM(R653:R653)</f>
        <v>0</v>
      </c>
      <c r="S652" s="40">
        <f t="shared" si="479"/>
        <v>0</v>
      </c>
      <c r="T652" s="40">
        <f t="shared" si="479"/>
        <v>0</v>
      </c>
      <c r="U652" s="40">
        <f t="shared" si="479"/>
        <v>0</v>
      </c>
      <c r="V652" s="40">
        <f t="shared" si="479"/>
        <v>0</v>
      </c>
      <c r="W652" s="40">
        <f t="shared" si="479"/>
        <v>0</v>
      </c>
      <c r="X652" s="40">
        <f t="shared" si="479"/>
        <v>0</v>
      </c>
      <c r="Y652" s="40">
        <f t="shared" si="479"/>
        <v>0</v>
      </c>
      <c r="Z652" s="39" t="s">
        <v>1847</v>
      </c>
      <c r="AA652" s="41" t="s">
        <v>41</v>
      </c>
      <c r="AB652" s="42" t="s">
        <v>1848</v>
      </c>
      <c r="AC652" s="42" t="s">
        <v>1849</v>
      </c>
      <c r="AD652" s="43" t="s">
        <v>1827</v>
      </c>
    </row>
    <row r="653" spans="1:30" ht="93" x14ac:dyDescent="0.25">
      <c r="A653" s="37" t="s">
        <v>1850</v>
      </c>
      <c r="B653" s="38" t="s">
        <v>1851</v>
      </c>
      <c r="C653" s="39"/>
      <c r="D653" s="39"/>
      <c r="E653" s="39"/>
      <c r="F653" s="44">
        <v>0</v>
      </c>
      <c r="G653" s="44">
        <v>0</v>
      </c>
      <c r="H653" s="44">
        <v>0</v>
      </c>
      <c r="I653" s="44">
        <v>0</v>
      </c>
      <c r="J653" s="44">
        <v>0</v>
      </c>
      <c r="K653" s="44">
        <v>0</v>
      </c>
      <c r="L653" s="44">
        <v>0</v>
      </c>
      <c r="M653" s="44">
        <v>0</v>
      </c>
      <c r="N653" s="44">
        <v>0</v>
      </c>
      <c r="O653" s="44">
        <v>0</v>
      </c>
      <c r="P653" s="44">
        <v>0</v>
      </c>
      <c r="Q653" s="44">
        <v>0</v>
      </c>
      <c r="R653" s="44">
        <v>0</v>
      </c>
      <c r="S653" s="44">
        <v>0</v>
      </c>
      <c r="T653" s="44">
        <v>0</v>
      </c>
      <c r="U653" s="44">
        <v>0</v>
      </c>
      <c r="V653" s="44">
        <v>0</v>
      </c>
      <c r="W653" s="44">
        <v>0</v>
      </c>
      <c r="X653" s="44">
        <v>0</v>
      </c>
      <c r="Y653" s="44">
        <v>0</v>
      </c>
      <c r="Z653" s="39"/>
      <c r="AA653" s="41"/>
      <c r="AB653" s="42"/>
      <c r="AC653" s="42"/>
      <c r="AD653" s="43"/>
    </row>
    <row r="654" spans="1:30" ht="69.75" x14ac:dyDescent="0.25">
      <c r="A654" s="37" t="s">
        <v>1852</v>
      </c>
      <c r="B654" s="38" t="s">
        <v>1853</v>
      </c>
      <c r="C654" s="39" t="s">
        <v>1541</v>
      </c>
      <c r="D654" s="39" t="s">
        <v>1752</v>
      </c>
      <c r="E654" s="39" t="s">
        <v>46</v>
      </c>
      <c r="F654" s="40">
        <f>SUM(F655:F655)+1946835.94</f>
        <v>1946835.94</v>
      </c>
      <c r="G654" s="40">
        <f>SUM(G655:G655)+1541918.51</f>
        <v>1541918.51</v>
      </c>
      <c r="H654" s="40">
        <f t="shared" ref="H654:O654" si="480">SUM(H655:H655)</f>
        <v>0</v>
      </c>
      <c r="I654" s="40">
        <f t="shared" si="480"/>
        <v>0</v>
      </c>
      <c r="J654" s="40">
        <f t="shared" si="480"/>
        <v>0</v>
      </c>
      <c r="K654" s="40">
        <f t="shared" si="480"/>
        <v>0</v>
      </c>
      <c r="L654" s="40">
        <f t="shared" si="480"/>
        <v>0</v>
      </c>
      <c r="M654" s="40">
        <f t="shared" si="480"/>
        <v>0</v>
      </c>
      <c r="N654" s="40">
        <f t="shared" si="480"/>
        <v>0</v>
      </c>
      <c r="O654" s="40">
        <f t="shared" si="480"/>
        <v>0</v>
      </c>
      <c r="P654" s="40">
        <f>SUM(P655:P655)+1946835.94</f>
        <v>1946835.94</v>
      </c>
      <c r="Q654" s="40">
        <f>SUM(Q655:Q655)+27938.51</f>
        <v>27938.51</v>
      </c>
      <c r="R654" s="40">
        <f t="shared" ref="R654:Y654" si="481">SUM(R655:R655)</f>
        <v>0</v>
      </c>
      <c r="S654" s="40">
        <f t="shared" si="481"/>
        <v>0</v>
      </c>
      <c r="T654" s="40">
        <f t="shared" si="481"/>
        <v>0</v>
      </c>
      <c r="U654" s="40">
        <f t="shared" si="481"/>
        <v>0</v>
      </c>
      <c r="V654" s="40">
        <f t="shared" si="481"/>
        <v>0</v>
      </c>
      <c r="W654" s="40">
        <f t="shared" si="481"/>
        <v>0</v>
      </c>
      <c r="X654" s="40">
        <f t="shared" si="481"/>
        <v>0</v>
      </c>
      <c r="Y654" s="40">
        <f t="shared" si="481"/>
        <v>0</v>
      </c>
      <c r="Z654" s="39" t="s">
        <v>1854</v>
      </c>
      <c r="AA654" s="41" t="s">
        <v>41</v>
      </c>
      <c r="AB654" s="42" t="s">
        <v>1855</v>
      </c>
      <c r="AC654" s="42" t="s">
        <v>1856</v>
      </c>
      <c r="AD654" s="43" t="s">
        <v>1827</v>
      </c>
    </row>
    <row r="655" spans="1:30" ht="46.5" x14ac:dyDescent="0.25">
      <c r="A655" s="37" t="s">
        <v>1857</v>
      </c>
      <c r="B655" s="38" t="s">
        <v>1858</v>
      </c>
      <c r="C655" s="39"/>
      <c r="D655" s="39"/>
      <c r="E655" s="39"/>
      <c r="F655" s="44">
        <v>0</v>
      </c>
      <c r="G655" s="44">
        <v>0</v>
      </c>
      <c r="H655" s="44">
        <v>0</v>
      </c>
      <c r="I655" s="44">
        <v>0</v>
      </c>
      <c r="J655" s="44">
        <v>0</v>
      </c>
      <c r="K655" s="44">
        <v>0</v>
      </c>
      <c r="L655" s="44">
        <v>0</v>
      </c>
      <c r="M655" s="44">
        <v>0</v>
      </c>
      <c r="N655" s="44">
        <v>0</v>
      </c>
      <c r="O655" s="44">
        <v>0</v>
      </c>
      <c r="P655" s="44">
        <v>0</v>
      </c>
      <c r="Q655" s="44">
        <v>0</v>
      </c>
      <c r="R655" s="44">
        <v>0</v>
      </c>
      <c r="S655" s="44">
        <v>0</v>
      </c>
      <c r="T655" s="44">
        <v>0</v>
      </c>
      <c r="U655" s="44">
        <v>0</v>
      </c>
      <c r="V655" s="44">
        <v>0</v>
      </c>
      <c r="W655" s="44">
        <v>0</v>
      </c>
      <c r="X655" s="44">
        <v>0</v>
      </c>
      <c r="Y655" s="44">
        <v>0</v>
      </c>
      <c r="Z655" s="39"/>
      <c r="AA655" s="41"/>
      <c r="AB655" s="42"/>
      <c r="AC655" s="42"/>
      <c r="AD655" s="43"/>
    </row>
    <row r="656" spans="1:30" ht="69.75" x14ac:dyDescent="0.25">
      <c r="A656" s="37" t="s">
        <v>1859</v>
      </c>
      <c r="B656" s="38" t="s">
        <v>1860</v>
      </c>
      <c r="C656" s="39" t="s">
        <v>1541</v>
      </c>
      <c r="D656" s="39" t="s">
        <v>1752</v>
      </c>
      <c r="E656" s="39" t="s">
        <v>46</v>
      </c>
      <c r="F656" s="40">
        <f>SUM(F657:F657)+83000</f>
        <v>83000</v>
      </c>
      <c r="G656" s="40">
        <f t="shared" ref="G656:L656" si="482">SUM(G657:G657)</f>
        <v>0</v>
      </c>
      <c r="H656" s="40">
        <f t="shared" si="482"/>
        <v>0</v>
      </c>
      <c r="I656" s="40">
        <f t="shared" si="482"/>
        <v>0</v>
      </c>
      <c r="J656" s="40">
        <f t="shared" si="482"/>
        <v>0</v>
      </c>
      <c r="K656" s="40">
        <f t="shared" si="482"/>
        <v>0</v>
      </c>
      <c r="L656" s="40">
        <f t="shared" si="482"/>
        <v>0</v>
      </c>
      <c r="M656" s="40">
        <f>SUM(M657:M657)+83000</f>
        <v>83000</v>
      </c>
      <c r="N656" s="40">
        <f>SUM(N657:N657)</f>
        <v>0</v>
      </c>
      <c r="O656" s="40">
        <f>SUM(O657:O657)</f>
        <v>0</v>
      </c>
      <c r="P656" s="40">
        <f>SUM(P657:P657)+80201</f>
        <v>80201</v>
      </c>
      <c r="Q656" s="40">
        <f t="shared" ref="Q656:V656" si="483">SUM(Q657:Q657)</f>
        <v>0</v>
      </c>
      <c r="R656" s="40">
        <f t="shared" si="483"/>
        <v>0</v>
      </c>
      <c r="S656" s="40">
        <f t="shared" si="483"/>
        <v>0</v>
      </c>
      <c r="T656" s="40">
        <f t="shared" si="483"/>
        <v>0</v>
      </c>
      <c r="U656" s="40">
        <f t="shared" si="483"/>
        <v>0</v>
      </c>
      <c r="V656" s="40">
        <f t="shared" si="483"/>
        <v>0</v>
      </c>
      <c r="W656" s="40">
        <f>SUM(W657:W657)+80201</f>
        <v>80201</v>
      </c>
      <c r="X656" s="40">
        <f>SUM(X657:X657)</f>
        <v>0</v>
      </c>
      <c r="Y656" s="40">
        <f>SUM(Y657:Y657)</f>
        <v>0</v>
      </c>
      <c r="Z656" s="39" t="s">
        <v>1861</v>
      </c>
      <c r="AA656" s="41" t="s">
        <v>41</v>
      </c>
      <c r="AB656" s="42" t="s">
        <v>1344</v>
      </c>
      <c r="AC656" s="42" t="s">
        <v>884</v>
      </c>
      <c r="AD656" s="43" t="s">
        <v>1764</v>
      </c>
    </row>
    <row r="657" spans="1:30" ht="46.5" x14ac:dyDescent="0.25">
      <c r="A657" s="37" t="s">
        <v>1862</v>
      </c>
      <c r="B657" s="38" t="s">
        <v>1863</v>
      </c>
      <c r="C657" s="39"/>
      <c r="D657" s="39"/>
      <c r="E657" s="39"/>
      <c r="F657" s="44">
        <v>0</v>
      </c>
      <c r="G657" s="44">
        <v>0</v>
      </c>
      <c r="H657" s="44">
        <v>0</v>
      </c>
      <c r="I657" s="44">
        <v>0</v>
      </c>
      <c r="J657" s="44">
        <v>0</v>
      </c>
      <c r="K657" s="44">
        <v>0</v>
      </c>
      <c r="L657" s="44">
        <v>0</v>
      </c>
      <c r="M657" s="44">
        <v>0</v>
      </c>
      <c r="N657" s="44">
        <v>0</v>
      </c>
      <c r="O657" s="44">
        <v>0</v>
      </c>
      <c r="P657" s="44">
        <v>0</v>
      </c>
      <c r="Q657" s="44">
        <v>0</v>
      </c>
      <c r="R657" s="44">
        <v>0</v>
      </c>
      <c r="S657" s="44">
        <v>0</v>
      </c>
      <c r="T657" s="44">
        <v>0</v>
      </c>
      <c r="U657" s="44">
        <v>0</v>
      </c>
      <c r="V657" s="44">
        <v>0</v>
      </c>
      <c r="W657" s="44">
        <v>0</v>
      </c>
      <c r="X657" s="44">
        <v>0</v>
      </c>
      <c r="Y657" s="44">
        <v>0</v>
      </c>
      <c r="Z657" s="39"/>
      <c r="AA657" s="41"/>
      <c r="AB657" s="42"/>
      <c r="AC657" s="42"/>
      <c r="AD657" s="43"/>
    </row>
    <row r="658" spans="1:30" ht="69.75" x14ac:dyDescent="0.25">
      <c r="A658" s="37" t="s">
        <v>1864</v>
      </c>
      <c r="B658" s="38" t="s">
        <v>1865</v>
      </c>
      <c r="C658" s="39" t="s">
        <v>1541</v>
      </c>
      <c r="D658" s="39" t="s">
        <v>1752</v>
      </c>
      <c r="E658" s="39" t="s">
        <v>46</v>
      </c>
      <c r="F658" s="40">
        <f>SUM(F659:F659)+5539100</f>
        <v>5539100</v>
      </c>
      <c r="G658" s="40">
        <f t="shared" ref="G658:L658" si="484">SUM(G659:G659)</f>
        <v>0</v>
      </c>
      <c r="H658" s="40">
        <f t="shared" si="484"/>
        <v>0</v>
      </c>
      <c r="I658" s="40">
        <f t="shared" si="484"/>
        <v>0</v>
      </c>
      <c r="J658" s="40">
        <f t="shared" si="484"/>
        <v>0</v>
      </c>
      <c r="K658" s="40">
        <f t="shared" si="484"/>
        <v>0</v>
      </c>
      <c r="L658" s="40">
        <f t="shared" si="484"/>
        <v>0</v>
      </c>
      <c r="M658" s="40">
        <f>SUM(M659:M659)+5539100</f>
        <v>5539100</v>
      </c>
      <c r="N658" s="40">
        <f>SUM(N659:N659)</f>
        <v>0</v>
      </c>
      <c r="O658" s="40">
        <f>SUM(O659:O659)</f>
        <v>0</v>
      </c>
      <c r="P658" s="40">
        <f>SUM(P659:P659)+5528507.51</f>
        <v>5528507.5099999998</v>
      </c>
      <c r="Q658" s="40">
        <f t="shared" ref="Q658:V658" si="485">SUM(Q659:Q659)</f>
        <v>0</v>
      </c>
      <c r="R658" s="40">
        <f t="shared" si="485"/>
        <v>0</v>
      </c>
      <c r="S658" s="40">
        <f t="shared" si="485"/>
        <v>0</v>
      </c>
      <c r="T658" s="40">
        <f t="shared" si="485"/>
        <v>0</v>
      </c>
      <c r="U658" s="40">
        <f t="shared" si="485"/>
        <v>0</v>
      </c>
      <c r="V658" s="40">
        <f t="shared" si="485"/>
        <v>0</v>
      </c>
      <c r="W658" s="40">
        <f>SUM(W659:W659)+5528507.51</f>
        <v>5528507.5099999998</v>
      </c>
      <c r="X658" s="40">
        <f>SUM(X659:X659)</f>
        <v>0</v>
      </c>
      <c r="Y658" s="40">
        <f>SUM(Y659:Y659)</f>
        <v>0</v>
      </c>
      <c r="Z658" s="39" t="s">
        <v>1866</v>
      </c>
      <c r="AA658" s="41" t="s">
        <v>41</v>
      </c>
      <c r="AB658" s="42" t="s">
        <v>1867</v>
      </c>
      <c r="AC658" s="42" t="s">
        <v>1868</v>
      </c>
      <c r="AD658" s="43" t="s">
        <v>1764</v>
      </c>
    </row>
    <row r="659" spans="1:30" ht="46.5" x14ac:dyDescent="0.25">
      <c r="A659" s="37" t="s">
        <v>1869</v>
      </c>
      <c r="B659" s="38" t="s">
        <v>1870</v>
      </c>
      <c r="C659" s="39"/>
      <c r="D659" s="39"/>
      <c r="E659" s="39"/>
      <c r="F659" s="44">
        <v>0</v>
      </c>
      <c r="G659" s="44">
        <v>0</v>
      </c>
      <c r="H659" s="44">
        <v>0</v>
      </c>
      <c r="I659" s="44">
        <v>0</v>
      </c>
      <c r="J659" s="44">
        <v>0</v>
      </c>
      <c r="K659" s="44">
        <v>0</v>
      </c>
      <c r="L659" s="44">
        <v>0</v>
      </c>
      <c r="M659" s="44">
        <v>0</v>
      </c>
      <c r="N659" s="44">
        <v>0</v>
      </c>
      <c r="O659" s="44">
        <v>0</v>
      </c>
      <c r="P659" s="44">
        <v>0</v>
      </c>
      <c r="Q659" s="44">
        <v>0</v>
      </c>
      <c r="R659" s="44">
        <v>0</v>
      </c>
      <c r="S659" s="44">
        <v>0</v>
      </c>
      <c r="T659" s="44">
        <v>0</v>
      </c>
      <c r="U659" s="44">
        <v>0</v>
      </c>
      <c r="V659" s="44">
        <v>0</v>
      </c>
      <c r="W659" s="44">
        <v>0</v>
      </c>
      <c r="X659" s="44">
        <v>0</v>
      </c>
      <c r="Y659" s="44">
        <v>0</v>
      </c>
      <c r="Z659" s="39"/>
      <c r="AA659" s="41"/>
      <c r="AB659" s="42"/>
      <c r="AC659" s="42"/>
      <c r="AD659" s="43"/>
    </row>
    <row r="660" spans="1:30" ht="69.75" x14ac:dyDescent="0.25">
      <c r="A660" s="37" t="s">
        <v>1871</v>
      </c>
      <c r="B660" s="38" t="s">
        <v>1872</v>
      </c>
      <c r="C660" s="39" t="s">
        <v>1541</v>
      </c>
      <c r="D660" s="39" t="s">
        <v>1752</v>
      </c>
      <c r="E660" s="39" t="s">
        <v>46</v>
      </c>
      <c r="F660" s="40">
        <f>SUM(F661:F661)+10500</f>
        <v>10500</v>
      </c>
      <c r="G660" s="40">
        <f t="shared" ref="G660:L660" si="486">SUM(G661:G661)</f>
        <v>0</v>
      </c>
      <c r="H660" s="40">
        <f t="shared" si="486"/>
        <v>0</v>
      </c>
      <c r="I660" s="40">
        <f t="shared" si="486"/>
        <v>0</v>
      </c>
      <c r="J660" s="40">
        <f t="shared" si="486"/>
        <v>0</v>
      </c>
      <c r="K660" s="40">
        <f t="shared" si="486"/>
        <v>0</v>
      </c>
      <c r="L660" s="40">
        <f t="shared" si="486"/>
        <v>0</v>
      </c>
      <c r="M660" s="40">
        <f>SUM(M661:M661)+10500</f>
        <v>10500</v>
      </c>
      <c r="N660" s="40">
        <f>SUM(N661:N661)</f>
        <v>0</v>
      </c>
      <c r="O660" s="40">
        <f>SUM(O661:O661)</f>
        <v>0</v>
      </c>
      <c r="P660" s="40">
        <f>SUM(P661:P661)+9874.57</f>
        <v>9874.57</v>
      </c>
      <c r="Q660" s="40">
        <f t="shared" ref="Q660:V660" si="487">SUM(Q661:Q661)</f>
        <v>0</v>
      </c>
      <c r="R660" s="40">
        <f t="shared" si="487"/>
        <v>0</v>
      </c>
      <c r="S660" s="40">
        <f t="shared" si="487"/>
        <v>0</v>
      </c>
      <c r="T660" s="40">
        <f t="shared" si="487"/>
        <v>0</v>
      </c>
      <c r="U660" s="40">
        <f t="shared" si="487"/>
        <v>0</v>
      </c>
      <c r="V660" s="40">
        <f t="shared" si="487"/>
        <v>0</v>
      </c>
      <c r="W660" s="40">
        <f>SUM(W661:W661)+9874.57</f>
        <v>9874.57</v>
      </c>
      <c r="X660" s="40">
        <f>SUM(X661:X661)</f>
        <v>0</v>
      </c>
      <c r="Y660" s="40">
        <f>SUM(Y661:Y661)</f>
        <v>0</v>
      </c>
      <c r="Z660" s="39" t="s">
        <v>1873</v>
      </c>
      <c r="AA660" s="41" t="s">
        <v>41</v>
      </c>
      <c r="AB660" s="42" t="s">
        <v>139</v>
      </c>
      <c r="AC660" s="42" t="s">
        <v>65</v>
      </c>
      <c r="AD660" s="43" t="s">
        <v>1764</v>
      </c>
    </row>
    <row r="661" spans="1:30" ht="69.75" x14ac:dyDescent="0.25">
      <c r="A661" s="37" t="s">
        <v>1874</v>
      </c>
      <c r="B661" s="38" t="s">
        <v>1875</v>
      </c>
      <c r="C661" s="39"/>
      <c r="D661" s="39"/>
      <c r="E661" s="39"/>
      <c r="F661" s="44">
        <v>0</v>
      </c>
      <c r="G661" s="44">
        <v>0</v>
      </c>
      <c r="H661" s="44">
        <v>0</v>
      </c>
      <c r="I661" s="44">
        <v>0</v>
      </c>
      <c r="J661" s="44">
        <v>0</v>
      </c>
      <c r="K661" s="44">
        <v>0</v>
      </c>
      <c r="L661" s="44">
        <v>0</v>
      </c>
      <c r="M661" s="44">
        <v>0</v>
      </c>
      <c r="N661" s="44">
        <v>0</v>
      </c>
      <c r="O661" s="44">
        <v>0</v>
      </c>
      <c r="P661" s="44">
        <v>0</v>
      </c>
      <c r="Q661" s="44">
        <v>0</v>
      </c>
      <c r="R661" s="44">
        <v>0</v>
      </c>
      <c r="S661" s="44">
        <v>0</v>
      </c>
      <c r="T661" s="44">
        <v>0</v>
      </c>
      <c r="U661" s="44">
        <v>0</v>
      </c>
      <c r="V661" s="44">
        <v>0</v>
      </c>
      <c r="W661" s="44">
        <v>0</v>
      </c>
      <c r="X661" s="44">
        <v>0</v>
      </c>
      <c r="Y661" s="44">
        <v>0</v>
      </c>
      <c r="Z661" s="39"/>
      <c r="AA661" s="41"/>
      <c r="AB661" s="42"/>
      <c r="AC661" s="42"/>
      <c r="AD661" s="43"/>
    </row>
    <row r="662" spans="1:30" ht="69.75" x14ac:dyDescent="0.25">
      <c r="A662" s="37" t="s">
        <v>1876</v>
      </c>
      <c r="B662" s="38" t="s">
        <v>1877</v>
      </c>
      <c r="C662" s="39" t="s">
        <v>1541</v>
      </c>
      <c r="D662" s="39" t="s">
        <v>1752</v>
      </c>
      <c r="E662" s="39" t="s">
        <v>46</v>
      </c>
      <c r="F662" s="40">
        <f t="shared" ref="F662:Y662" si="488">SUM(F663:F663)</f>
        <v>0</v>
      </c>
      <c r="G662" s="40">
        <f t="shared" si="488"/>
        <v>0</v>
      </c>
      <c r="H662" s="40">
        <f t="shared" si="488"/>
        <v>0</v>
      </c>
      <c r="I662" s="40">
        <f t="shared" si="488"/>
        <v>0</v>
      </c>
      <c r="J662" s="40">
        <f t="shared" si="488"/>
        <v>0</v>
      </c>
      <c r="K662" s="40">
        <f t="shared" si="488"/>
        <v>0</v>
      </c>
      <c r="L662" s="40">
        <f t="shared" si="488"/>
        <v>0</v>
      </c>
      <c r="M662" s="40">
        <f t="shared" si="488"/>
        <v>0</v>
      </c>
      <c r="N662" s="40">
        <f t="shared" si="488"/>
        <v>0</v>
      </c>
      <c r="O662" s="40">
        <f t="shared" si="488"/>
        <v>0</v>
      </c>
      <c r="P662" s="40">
        <f t="shared" si="488"/>
        <v>0</v>
      </c>
      <c r="Q662" s="40">
        <f t="shared" si="488"/>
        <v>0</v>
      </c>
      <c r="R662" s="40">
        <f t="shared" si="488"/>
        <v>0</v>
      </c>
      <c r="S662" s="40">
        <f t="shared" si="488"/>
        <v>0</v>
      </c>
      <c r="T662" s="40">
        <f t="shared" si="488"/>
        <v>0</v>
      </c>
      <c r="U662" s="40">
        <f t="shared" si="488"/>
        <v>0</v>
      </c>
      <c r="V662" s="40">
        <f t="shared" si="488"/>
        <v>0</v>
      </c>
      <c r="W662" s="40">
        <f t="shared" si="488"/>
        <v>0</v>
      </c>
      <c r="X662" s="40">
        <f t="shared" si="488"/>
        <v>0</v>
      </c>
      <c r="Y662" s="40">
        <f t="shared" si="488"/>
        <v>0</v>
      </c>
      <c r="Z662" s="39" t="s">
        <v>1878</v>
      </c>
      <c r="AA662" s="41" t="s">
        <v>41</v>
      </c>
      <c r="AB662" s="42" t="s">
        <v>56</v>
      </c>
      <c r="AC662" s="42" t="s">
        <v>57</v>
      </c>
      <c r="AD662" s="43" t="s">
        <v>1879</v>
      </c>
    </row>
    <row r="663" spans="1:30" ht="69.75" x14ac:dyDescent="0.25">
      <c r="A663" s="37" t="s">
        <v>1880</v>
      </c>
      <c r="B663" s="38" t="s">
        <v>1881</v>
      </c>
      <c r="C663" s="39"/>
      <c r="D663" s="39"/>
      <c r="E663" s="39"/>
      <c r="F663" s="44">
        <v>0</v>
      </c>
      <c r="G663" s="44">
        <v>0</v>
      </c>
      <c r="H663" s="44">
        <v>0</v>
      </c>
      <c r="I663" s="44">
        <v>0</v>
      </c>
      <c r="J663" s="44">
        <v>0</v>
      </c>
      <c r="K663" s="44">
        <v>0</v>
      </c>
      <c r="L663" s="44">
        <v>0</v>
      </c>
      <c r="M663" s="44">
        <v>0</v>
      </c>
      <c r="N663" s="44">
        <v>0</v>
      </c>
      <c r="O663" s="44">
        <v>0</v>
      </c>
      <c r="P663" s="44">
        <v>0</v>
      </c>
      <c r="Q663" s="44">
        <v>0</v>
      </c>
      <c r="R663" s="44">
        <v>0</v>
      </c>
      <c r="S663" s="44">
        <v>0</v>
      </c>
      <c r="T663" s="44">
        <v>0</v>
      </c>
      <c r="U663" s="44">
        <v>0</v>
      </c>
      <c r="V663" s="44">
        <v>0</v>
      </c>
      <c r="W663" s="44">
        <v>0</v>
      </c>
      <c r="X663" s="44">
        <v>0</v>
      </c>
      <c r="Y663" s="44">
        <v>0</v>
      </c>
      <c r="Z663" s="39"/>
      <c r="AA663" s="41"/>
      <c r="AB663" s="42"/>
      <c r="AC663" s="42"/>
      <c r="AD663" s="43"/>
    </row>
    <row r="664" spans="1:30" ht="69.75" x14ac:dyDescent="0.25">
      <c r="A664" s="37" t="s">
        <v>1882</v>
      </c>
      <c r="B664" s="38" t="s">
        <v>1883</v>
      </c>
      <c r="C664" s="39" t="s">
        <v>1541</v>
      </c>
      <c r="D664" s="39" t="s">
        <v>1752</v>
      </c>
      <c r="E664" s="39" t="s">
        <v>46</v>
      </c>
      <c r="F664" s="40">
        <f>SUM(F665:F665)+80000</f>
        <v>80000</v>
      </c>
      <c r="G664" s="40">
        <f t="shared" ref="G664:L664" si="489">SUM(G665:G665)</f>
        <v>0</v>
      </c>
      <c r="H664" s="40">
        <f t="shared" si="489"/>
        <v>0</v>
      </c>
      <c r="I664" s="40">
        <f t="shared" si="489"/>
        <v>0</v>
      </c>
      <c r="J664" s="40">
        <f t="shared" si="489"/>
        <v>0</v>
      </c>
      <c r="K664" s="40">
        <f t="shared" si="489"/>
        <v>0</v>
      </c>
      <c r="L664" s="40">
        <f t="shared" si="489"/>
        <v>0</v>
      </c>
      <c r="M664" s="40">
        <f>SUM(M665:M665)+80000</f>
        <v>80000</v>
      </c>
      <c r="N664" s="40">
        <f>SUM(N665:N665)</f>
        <v>0</v>
      </c>
      <c r="O664" s="40">
        <f>SUM(O665:O665)</f>
        <v>0</v>
      </c>
      <c r="P664" s="40">
        <f>SUM(P665:P665)+77616.37</f>
        <v>77616.37</v>
      </c>
      <c r="Q664" s="40">
        <f t="shared" ref="Q664:V664" si="490">SUM(Q665:Q665)</f>
        <v>0</v>
      </c>
      <c r="R664" s="40">
        <f t="shared" si="490"/>
        <v>0</v>
      </c>
      <c r="S664" s="40">
        <f t="shared" si="490"/>
        <v>0</v>
      </c>
      <c r="T664" s="40">
        <f t="shared" si="490"/>
        <v>0</v>
      </c>
      <c r="U664" s="40">
        <f t="shared" si="490"/>
        <v>0</v>
      </c>
      <c r="V664" s="40">
        <f t="shared" si="490"/>
        <v>0</v>
      </c>
      <c r="W664" s="40">
        <f>SUM(W665:W665)+77616.37</f>
        <v>77616.37</v>
      </c>
      <c r="X664" s="40">
        <f>SUM(X665:X665)</f>
        <v>0</v>
      </c>
      <c r="Y664" s="40">
        <f>SUM(Y665:Y665)</f>
        <v>0</v>
      </c>
      <c r="Z664" s="39" t="s">
        <v>1884</v>
      </c>
      <c r="AA664" s="41" t="s">
        <v>41</v>
      </c>
      <c r="AB664" s="42" t="s">
        <v>1129</v>
      </c>
      <c r="AC664" s="42" t="s">
        <v>1885</v>
      </c>
      <c r="AD664" s="43" t="s">
        <v>1764</v>
      </c>
    </row>
    <row r="665" spans="1:30" ht="69.75" x14ac:dyDescent="0.25">
      <c r="A665" s="37" t="s">
        <v>1886</v>
      </c>
      <c r="B665" s="38" t="s">
        <v>1887</v>
      </c>
      <c r="C665" s="39"/>
      <c r="D665" s="39"/>
      <c r="E665" s="39"/>
      <c r="F665" s="44">
        <v>0</v>
      </c>
      <c r="G665" s="44">
        <v>0</v>
      </c>
      <c r="H665" s="44">
        <v>0</v>
      </c>
      <c r="I665" s="44">
        <v>0</v>
      </c>
      <c r="J665" s="44">
        <v>0</v>
      </c>
      <c r="K665" s="44">
        <v>0</v>
      </c>
      <c r="L665" s="44">
        <v>0</v>
      </c>
      <c r="M665" s="44">
        <v>0</v>
      </c>
      <c r="N665" s="44">
        <v>0</v>
      </c>
      <c r="O665" s="44">
        <v>0</v>
      </c>
      <c r="P665" s="44">
        <v>0</v>
      </c>
      <c r="Q665" s="44">
        <v>0</v>
      </c>
      <c r="R665" s="44">
        <v>0</v>
      </c>
      <c r="S665" s="44">
        <v>0</v>
      </c>
      <c r="T665" s="44">
        <v>0</v>
      </c>
      <c r="U665" s="44">
        <v>0</v>
      </c>
      <c r="V665" s="44">
        <v>0</v>
      </c>
      <c r="W665" s="44">
        <v>0</v>
      </c>
      <c r="X665" s="44">
        <v>0</v>
      </c>
      <c r="Y665" s="44">
        <v>0</v>
      </c>
      <c r="Z665" s="39"/>
      <c r="AA665" s="41"/>
      <c r="AB665" s="42"/>
      <c r="AC665" s="42"/>
      <c r="AD665" s="43"/>
    </row>
    <row r="666" spans="1:30" ht="46.5" x14ac:dyDescent="0.25">
      <c r="A666" s="37" t="s">
        <v>1888</v>
      </c>
      <c r="B666" s="38" t="s">
        <v>1889</v>
      </c>
      <c r="C666" s="39" t="s">
        <v>1541</v>
      </c>
      <c r="D666" s="39" t="s">
        <v>1685</v>
      </c>
      <c r="E666" s="39" t="s">
        <v>46</v>
      </c>
      <c r="F666" s="40">
        <f>SUM(F667:F667)+12000</f>
        <v>12000</v>
      </c>
      <c r="G666" s="40">
        <f t="shared" ref="G666:L666" si="491">SUM(G667:G667)</f>
        <v>0</v>
      </c>
      <c r="H666" s="40">
        <f t="shared" si="491"/>
        <v>0</v>
      </c>
      <c r="I666" s="40">
        <f t="shared" si="491"/>
        <v>0</v>
      </c>
      <c r="J666" s="40">
        <f t="shared" si="491"/>
        <v>0</v>
      </c>
      <c r="K666" s="40">
        <f t="shared" si="491"/>
        <v>0</v>
      </c>
      <c r="L666" s="40">
        <f t="shared" si="491"/>
        <v>0</v>
      </c>
      <c r="M666" s="40">
        <f>SUM(M667:M667)+12000</f>
        <v>12000</v>
      </c>
      <c r="N666" s="40">
        <f>SUM(N667:N667)</f>
        <v>0</v>
      </c>
      <c r="O666" s="40">
        <f>SUM(O667:O667)</f>
        <v>0</v>
      </c>
      <c r="P666" s="40">
        <f>SUM(P667:P667)+11342.52</f>
        <v>11342.52</v>
      </c>
      <c r="Q666" s="40">
        <f t="shared" ref="Q666:V666" si="492">SUM(Q667:Q667)</f>
        <v>0</v>
      </c>
      <c r="R666" s="40">
        <f t="shared" si="492"/>
        <v>0</v>
      </c>
      <c r="S666" s="40">
        <f t="shared" si="492"/>
        <v>0</v>
      </c>
      <c r="T666" s="40">
        <f t="shared" si="492"/>
        <v>0</v>
      </c>
      <c r="U666" s="40">
        <f t="shared" si="492"/>
        <v>0</v>
      </c>
      <c r="V666" s="40">
        <f t="shared" si="492"/>
        <v>0</v>
      </c>
      <c r="W666" s="40">
        <f>SUM(W667:W667)+11342.52</f>
        <v>11342.52</v>
      </c>
      <c r="X666" s="40">
        <f>SUM(X667:X667)</f>
        <v>0</v>
      </c>
      <c r="Y666" s="40">
        <f>SUM(Y667:Y667)</f>
        <v>0</v>
      </c>
      <c r="Z666" s="39" t="s">
        <v>1890</v>
      </c>
      <c r="AA666" s="41" t="s">
        <v>41</v>
      </c>
      <c r="AB666" s="42" t="s">
        <v>1687</v>
      </c>
      <c r="AC666" s="42" t="s">
        <v>1336</v>
      </c>
      <c r="AD666" s="43" t="s">
        <v>1764</v>
      </c>
    </row>
    <row r="667" spans="1:30" ht="46.5" x14ac:dyDescent="0.25">
      <c r="A667" s="37" t="s">
        <v>1891</v>
      </c>
      <c r="B667" s="38" t="s">
        <v>1892</v>
      </c>
      <c r="C667" s="39"/>
      <c r="D667" s="39"/>
      <c r="E667" s="39"/>
      <c r="F667" s="44">
        <v>0</v>
      </c>
      <c r="G667" s="44">
        <v>0</v>
      </c>
      <c r="H667" s="44">
        <v>0</v>
      </c>
      <c r="I667" s="44">
        <v>0</v>
      </c>
      <c r="J667" s="44">
        <v>0</v>
      </c>
      <c r="K667" s="44">
        <v>0</v>
      </c>
      <c r="L667" s="44">
        <v>0</v>
      </c>
      <c r="M667" s="44">
        <v>0</v>
      </c>
      <c r="N667" s="44">
        <v>0</v>
      </c>
      <c r="O667" s="44">
        <v>0</v>
      </c>
      <c r="P667" s="44">
        <v>0</v>
      </c>
      <c r="Q667" s="44">
        <v>0</v>
      </c>
      <c r="R667" s="44">
        <v>0</v>
      </c>
      <c r="S667" s="44">
        <v>0</v>
      </c>
      <c r="T667" s="44">
        <v>0</v>
      </c>
      <c r="U667" s="44">
        <v>0</v>
      </c>
      <c r="V667" s="44">
        <v>0</v>
      </c>
      <c r="W667" s="44">
        <v>0</v>
      </c>
      <c r="X667" s="44">
        <v>0</v>
      </c>
      <c r="Y667" s="44">
        <v>0</v>
      </c>
      <c r="Z667" s="39"/>
      <c r="AA667" s="41"/>
      <c r="AB667" s="42"/>
      <c r="AC667" s="42"/>
      <c r="AD667" s="43"/>
    </row>
    <row r="668" spans="1:30" ht="69.75" x14ac:dyDescent="0.25">
      <c r="A668" s="37" t="s">
        <v>1893</v>
      </c>
      <c r="B668" s="38" t="s">
        <v>1894</v>
      </c>
      <c r="C668" s="39" t="s">
        <v>1541</v>
      </c>
      <c r="D668" s="39" t="s">
        <v>1752</v>
      </c>
      <c r="E668" s="39" t="s">
        <v>46</v>
      </c>
      <c r="F668" s="40">
        <f>SUM(F669:F669)+275000</f>
        <v>275000</v>
      </c>
      <c r="G668" s="40">
        <f t="shared" ref="G668:L668" si="493">SUM(G669:G669)</f>
        <v>0</v>
      </c>
      <c r="H668" s="40">
        <f t="shared" si="493"/>
        <v>0</v>
      </c>
      <c r="I668" s="40">
        <f t="shared" si="493"/>
        <v>0</v>
      </c>
      <c r="J668" s="40">
        <f t="shared" si="493"/>
        <v>0</v>
      </c>
      <c r="K668" s="40">
        <f t="shared" si="493"/>
        <v>0</v>
      </c>
      <c r="L668" s="40">
        <f t="shared" si="493"/>
        <v>0</v>
      </c>
      <c r="M668" s="40">
        <f>SUM(M669:M669)+275000</f>
        <v>275000</v>
      </c>
      <c r="N668" s="40">
        <f>SUM(N669:N669)</f>
        <v>0</v>
      </c>
      <c r="O668" s="40">
        <f>SUM(O669:O669)</f>
        <v>0</v>
      </c>
      <c r="P668" s="40">
        <f>SUM(P669:P669)+271934.25</f>
        <v>271934.25</v>
      </c>
      <c r="Q668" s="40">
        <f t="shared" ref="Q668:V668" si="494">SUM(Q669:Q669)</f>
        <v>0</v>
      </c>
      <c r="R668" s="40">
        <f t="shared" si="494"/>
        <v>0</v>
      </c>
      <c r="S668" s="40">
        <f t="shared" si="494"/>
        <v>0</v>
      </c>
      <c r="T668" s="40">
        <f t="shared" si="494"/>
        <v>0</v>
      </c>
      <c r="U668" s="40">
        <f t="shared" si="494"/>
        <v>0</v>
      </c>
      <c r="V668" s="40">
        <f t="shared" si="494"/>
        <v>0</v>
      </c>
      <c r="W668" s="40">
        <f>SUM(W669:W669)+271934.25</f>
        <v>271934.25</v>
      </c>
      <c r="X668" s="40">
        <f>SUM(X669:X669)</f>
        <v>0</v>
      </c>
      <c r="Y668" s="40">
        <f>SUM(Y669:Y669)</f>
        <v>0</v>
      </c>
      <c r="Z668" s="39" t="s">
        <v>1895</v>
      </c>
      <c r="AA668" s="41" t="s">
        <v>41</v>
      </c>
      <c r="AB668" s="42" t="s">
        <v>1896</v>
      </c>
      <c r="AC668" s="42" t="s">
        <v>1897</v>
      </c>
      <c r="AD668" s="43" t="s">
        <v>1764</v>
      </c>
    </row>
    <row r="669" spans="1:30" ht="46.5" x14ac:dyDescent="0.25">
      <c r="A669" s="37" t="s">
        <v>1898</v>
      </c>
      <c r="B669" s="38" t="s">
        <v>1899</v>
      </c>
      <c r="C669" s="39"/>
      <c r="D669" s="39"/>
      <c r="E669" s="39"/>
      <c r="F669" s="44">
        <v>0</v>
      </c>
      <c r="G669" s="44">
        <v>0</v>
      </c>
      <c r="H669" s="44">
        <v>0</v>
      </c>
      <c r="I669" s="44">
        <v>0</v>
      </c>
      <c r="J669" s="44">
        <v>0</v>
      </c>
      <c r="K669" s="44">
        <v>0</v>
      </c>
      <c r="L669" s="44">
        <v>0</v>
      </c>
      <c r="M669" s="44">
        <v>0</v>
      </c>
      <c r="N669" s="44">
        <v>0</v>
      </c>
      <c r="O669" s="44">
        <v>0</v>
      </c>
      <c r="P669" s="44">
        <v>0</v>
      </c>
      <c r="Q669" s="44">
        <v>0</v>
      </c>
      <c r="R669" s="44">
        <v>0</v>
      </c>
      <c r="S669" s="44">
        <v>0</v>
      </c>
      <c r="T669" s="44">
        <v>0</v>
      </c>
      <c r="U669" s="44">
        <v>0</v>
      </c>
      <c r="V669" s="44">
        <v>0</v>
      </c>
      <c r="W669" s="44">
        <v>0</v>
      </c>
      <c r="X669" s="44">
        <v>0</v>
      </c>
      <c r="Y669" s="44">
        <v>0</v>
      </c>
      <c r="Z669" s="39"/>
      <c r="AA669" s="41"/>
      <c r="AB669" s="42"/>
      <c r="AC669" s="42"/>
      <c r="AD669" s="43"/>
    </row>
    <row r="670" spans="1:30" ht="69.75" x14ac:dyDescent="0.25">
      <c r="A670" s="37" t="s">
        <v>1900</v>
      </c>
      <c r="B670" s="38" t="s">
        <v>1901</v>
      </c>
      <c r="C670" s="39" t="s">
        <v>1541</v>
      </c>
      <c r="D670" s="39" t="s">
        <v>1752</v>
      </c>
      <c r="E670" s="39" t="s">
        <v>46</v>
      </c>
      <c r="F670" s="40">
        <f>SUM(F671:F671)+189500</f>
        <v>189500</v>
      </c>
      <c r="G670" s="40">
        <f t="shared" ref="G670:L670" si="495">SUM(G671:G671)</f>
        <v>0</v>
      </c>
      <c r="H670" s="40">
        <f t="shared" si="495"/>
        <v>0</v>
      </c>
      <c r="I670" s="40">
        <f t="shared" si="495"/>
        <v>0</v>
      </c>
      <c r="J670" s="40">
        <f t="shared" si="495"/>
        <v>0</v>
      </c>
      <c r="K670" s="40">
        <f t="shared" si="495"/>
        <v>0</v>
      </c>
      <c r="L670" s="40">
        <f t="shared" si="495"/>
        <v>0</v>
      </c>
      <c r="M670" s="40">
        <f>SUM(M671:M671)+189500</f>
        <v>189500</v>
      </c>
      <c r="N670" s="40">
        <f>SUM(N671:N671)</f>
        <v>0</v>
      </c>
      <c r="O670" s="40">
        <f>SUM(O671:O671)</f>
        <v>0</v>
      </c>
      <c r="P670" s="40">
        <f>SUM(P671:P671)+186643.29</f>
        <v>186643.29</v>
      </c>
      <c r="Q670" s="40">
        <f t="shared" ref="Q670:V670" si="496">SUM(Q671:Q671)</f>
        <v>0</v>
      </c>
      <c r="R670" s="40">
        <f t="shared" si="496"/>
        <v>0</v>
      </c>
      <c r="S670" s="40">
        <f t="shared" si="496"/>
        <v>0</v>
      </c>
      <c r="T670" s="40">
        <f t="shared" si="496"/>
        <v>0</v>
      </c>
      <c r="U670" s="40">
        <f t="shared" si="496"/>
        <v>0</v>
      </c>
      <c r="V670" s="40">
        <f t="shared" si="496"/>
        <v>0</v>
      </c>
      <c r="W670" s="40">
        <f>SUM(W671:W671)+186643.29</f>
        <v>186643.29</v>
      </c>
      <c r="X670" s="40">
        <f>SUM(X671:X671)</f>
        <v>0</v>
      </c>
      <c r="Y670" s="40">
        <f>SUM(Y671:Y671)</f>
        <v>0</v>
      </c>
      <c r="Z670" s="39" t="s">
        <v>1902</v>
      </c>
      <c r="AA670" s="41" t="s">
        <v>41</v>
      </c>
      <c r="AB670" s="42" t="s">
        <v>1311</v>
      </c>
      <c r="AC670" s="42" t="s">
        <v>1903</v>
      </c>
      <c r="AD670" s="43" t="s">
        <v>1764</v>
      </c>
    </row>
    <row r="671" spans="1:30" ht="46.5" x14ac:dyDescent="0.25">
      <c r="A671" s="37" t="s">
        <v>1904</v>
      </c>
      <c r="B671" s="38" t="s">
        <v>1905</v>
      </c>
      <c r="C671" s="39"/>
      <c r="D671" s="39"/>
      <c r="E671" s="39"/>
      <c r="F671" s="44">
        <v>0</v>
      </c>
      <c r="G671" s="44">
        <v>0</v>
      </c>
      <c r="H671" s="44">
        <v>0</v>
      </c>
      <c r="I671" s="44">
        <v>0</v>
      </c>
      <c r="J671" s="44">
        <v>0</v>
      </c>
      <c r="K671" s="44">
        <v>0</v>
      </c>
      <c r="L671" s="44">
        <v>0</v>
      </c>
      <c r="M671" s="44">
        <v>0</v>
      </c>
      <c r="N671" s="44">
        <v>0</v>
      </c>
      <c r="O671" s="44">
        <v>0</v>
      </c>
      <c r="P671" s="44">
        <v>0</v>
      </c>
      <c r="Q671" s="44">
        <v>0</v>
      </c>
      <c r="R671" s="44">
        <v>0</v>
      </c>
      <c r="S671" s="44">
        <v>0</v>
      </c>
      <c r="T671" s="44">
        <v>0</v>
      </c>
      <c r="U671" s="44">
        <v>0</v>
      </c>
      <c r="V671" s="44">
        <v>0</v>
      </c>
      <c r="W671" s="44">
        <v>0</v>
      </c>
      <c r="X671" s="44">
        <v>0</v>
      </c>
      <c r="Y671" s="44">
        <v>0</v>
      </c>
      <c r="Z671" s="39"/>
      <c r="AA671" s="41"/>
      <c r="AB671" s="42"/>
      <c r="AC671" s="42"/>
      <c r="AD671" s="43"/>
    </row>
    <row r="672" spans="1:30" ht="69.75" x14ac:dyDescent="0.25">
      <c r="A672" s="37" t="s">
        <v>1906</v>
      </c>
      <c r="B672" s="38" t="s">
        <v>1907</v>
      </c>
      <c r="C672" s="39" t="s">
        <v>1541</v>
      </c>
      <c r="D672" s="39" t="s">
        <v>1752</v>
      </c>
      <c r="E672" s="39" t="s">
        <v>46</v>
      </c>
      <c r="F672" s="40">
        <f>SUM(F673:F673)+12500</f>
        <v>12500</v>
      </c>
      <c r="G672" s="40">
        <f t="shared" ref="G672:L672" si="497">SUM(G673:G673)</f>
        <v>0</v>
      </c>
      <c r="H672" s="40">
        <f t="shared" si="497"/>
        <v>0</v>
      </c>
      <c r="I672" s="40">
        <f t="shared" si="497"/>
        <v>0</v>
      </c>
      <c r="J672" s="40">
        <f t="shared" si="497"/>
        <v>0</v>
      </c>
      <c r="K672" s="40">
        <f t="shared" si="497"/>
        <v>0</v>
      </c>
      <c r="L672" s="40">
        <f t="shared" si="497"/>
        <v>0</v>
      </c>
      <c r="M672" s="40">
        <f>SUM(M673:M673)+12500</f>
        <v>12500</v>
      </c>
      <c r="N672" s="40">
        <f>SUM(N673:N673)</f>
        <v>0</v>
      </c>
      <c r="O672" s="40">
        <f>SUM(O673:O673)</f>
        <v>0</v>
      </c>
      <c r="P672" s="40">
        <f>SUM(P673:P673)+11278.05</f>
        <v>11278.05</v>
      </c>
      <c r="Q672" s="40">
        <f t="shared" ref="Q672:V672" si="498">SUM(Q673:Q673)</f>
        <v>0</v>
      </c>
      <c r="R672" s="40">
        <f t="shared" si="498"/>
        <v>0</v>
      </c>
      <c r="S672" s="40">
        <f t="shared" si="498"/>
        <v>0</v>
      </c>
      <c r="T672" s="40">
        <f t="shared" si="498"/>
        <v>0</v>
      </c>
      <c r="U672" s="40">
        <f t="shared" si="498"/>
        <v>0</v>
      </c>
      <c r="V672" s="40">
        <f t="shared" si="498"/>
        <v>0</v>
      </c>
      <c r="W672" s="40">
        <f>SUM(W673:W673)+11278.05</f>
        <v>11278.05</v>
      </c>
      <c r="X672" s="40">
        <f>SUM(X673:X673)</f>
        <v>0</v>
      </c>
      <c r="Y672" s="40">
        <f>SUM(Y673:Y673)</f>
        <v>0</v>
      </c>
      <c r="Z672" s="39" t="s">
        <v>1908</v>
      </c>
      <c r="AA672" s="41" t="s">
        <v>41</v>
      </c>
      <c r="AB672" s="42" t="s">
        <v>1885</v>
      </c>
      <c r="AC672" s="42" t="s">
        <v>421</v>
      </c>
      <c r="AD672" s="43" t="s">
        <v>1756</v>
      </c>
    </row>
    <row r="673" spans="1:30" ht="46.5" x14ac:dyDescent="0.25">
      <c r="A673" s="37" t="s">
        <v>1909</v>
      </c>
      <c r="B673" s="38" t="s">
        <v>1910</v>
      </c>
      <c r="C673" s="39"/>
      <c r="D673" s="39"/>
      <c r="E673" s="39"/>
      <c r="F673" s="44">
        <v>0</v>
      </c>
      <c r="G673" s="44">
        <v>0</v>
      </c>
      <c r="H673" s="44">
        <v>0</v>
      </c>
      <c r="I673" s="44">
        <v>0</v>
      </c>
      <c r="J673" s="44">
        <v>0</v>
      </c>
      <c r="K673" s="44">
        <v>0</v>
      </c>
      <c r="L673" s="44">
        <v>0</v>
      </c>
      <c r="M673" s="44">
        <v>0</v>
      </c>
      <c r="N673" s="44">
        <v>0</v>
      </c>
      <c r="O673" s="44">
        <v>0</v>
      </c>
      <c r="P673" s="44">
        <v>0</v>
      </c>
      <c r="Q673" s="44">
        <v>0</v>
      </c>
      <c r="R673" s="44">
        <v>0</v>
      </c>
      <c r="S673" s="44">
        <v>0</v>
      </c>
      <c r="T673" s="44">
        <v>0</v>
      </c>
      <c r="U673" s="44">
        <v>0</v>
      </c>
      <c r="V673" s="44">
        <v>0</v>
      </c>
      <c r="W673" s="44">
        <v>0</v>
      </c>
      <c r="X673" s="44">
        <v>0</v>
      </c>
      <c r="Y673" s="44">
        <v>0</v>
      </c>
      <c r="Z673" s="39"/>
      <c r="AA673" s="41"/>
      <c r="AB673" s="42"/>
      <c r="AC673" s="42"/>
      <c r="AD673" s="43"/>
    </row>
    <row r="674" spans="1:30" ht="46.5" x14ac:dyDescent="0.25">
      <c r="A674" s="37" t="s">
        <v>1911</v>
      </c>
      <c r="B674" s="38" t="s">
        <v>1912</v>
      </c>
      <c r="C674" s="39" t="s">
        <v>1541</v>
      </c>
      <c r="D674" s="39" t="s">
        <v>1685</v>
      </c>
      <c r="E674" s="39" t="s">
        <v>46</v>
      </c>
      <c r="F674" s="40">
        <f>SUM(F675:F675)+43000</f>
        <v>43000</v>
      </c>
      <c r="G674" s="40">
        <f t="shared" ref="G674:L674" si="499">SUM(G675:G675)</f>
        <v>0</v>
      </c>
      <c r="H674" s="40">
        <f t="shared" si="499"/>
        <v>0</v>
      </c>
      <c r="I674" s="40">
        <f t="shared" si="499"/>
        <v>0</v>
      </c>
      <c r="J674" s="40">
        <f t="shared" si="499"/>
        <v>0</v>
      </c>
      <c r="K674" s="40">
        <f t="shared" si="499"/>
        <v>0</v>
      </c>
      <c r="L674" s="40">
        <f t="shared" si="499"/>
        <v>0</v>
      </c>
      <c r="M674" s="40">
        <f>SUM(M675:M675)+43000</f>
        <v>43000</v>
      </c>
      <c r="N674" s="40">
        <f>SUM(N675:N675)</f>
        <v>0</v>
      </c>
      <c r="O674" s="40">
        <f>SUM(O675:O675)</f>
        <v>0</v>
      </c>
      <c r="P674" s="40">
        <f>SUM(P675:P675)+40921.14</f>
        <v>40921.14</v>
      </c>
      <c r="Q674" s="40">
        <f t="shared" ref="Q674:V674" si="500">SUM(Q675:Q675)</f>
        <v>0</v>
      </c>
      <c r="R674" s="40">
        <f t="shared" si="500"/>
        <v>0</v>
      </c>
      <c r="S674" s="40">
        <f t="shared" si="500"/>
        <v>0</v>
      </c>
      <c r="T674" s="40">
        <f t="shared" si="500"/>
        <v>0</v>
      </c>
      <c r="U674" s="40">
        <f t="shared" si="500"/>
        <v>0</v>
      </c>
      <c r="V674" s="40">
        <f t="shared" si="500"/>
        <v>0</v>
      </c>
      <c r="W674" s="40">
        <f>SUM(W675:W675)+40921.14</f>
        <v>40921.14</v>
      </c>
      <c r="X674" s="40">
        <f>SUM(X675:X675)</f>
        <v>0</v>
      </c>
      <c r="Y674" s="40">
        <f>SUM(Y675:Y675)</f>
        <v>0</v>
      </c>
      <c r="Z674" s="39" t="s">
        <v>1913</v>
      </c>
      <c r="AA674" s="41" t="s">
        <v>41</v>
      </c>
      <c r="AB674" s="42" t="s">
        <v>151</v>
      </c>
      <c r="AC674" s="42" t="s">
        <v>421</v>
      </c>
      <c r="AD674" s="43" t="s">
        <v>1764</v>
      </c>
    </row>
    <row r="675" spans="1:30" ht="46.5" x14ac:dyDescent="0.25">
      <c r="A675" s="37" t="s">
        <v>1914</v>
      </c>
      <c r="B675" s="38" t="s">
        <v>1915</v>
      </c>
      <c r="C675" s="39"/>
      <c r="D675" s="39"/>
      <c r="E675" s="39"/>
      <c r="F675" s="44">
        <v>0</v>
      </c>
      <c r="G675" s="44">
        <v>0</v>
      </c>
      <c r="H675" s="44">
        <v>0</v>
      </c>
      <c r="I675" s="44">
        <v>0</v>
      </c>
      <c r="J675" s="44">
        <v>0</v>
      </c>
      <c r="K675" s="44">
        <v>0</v>
      </c>
      <c r="L675" s="44">
        <v>0</v>
      </c>
      <c r="M675" s="44">
        <v>0</v>
      </c>
      <c r="N675" s="44">
        <v>0</v>
      </c>
      <c r="O675" s="44">
        <v>0</v>
      </c>
      <c r="P675" s="44">
        <v>0</v>
      </c>
      <c r="Q675" s="44">
        <v>0</v>
      </c>
      <c r="R675" s="44">
        <v>0</v>
      </c>
      <c r="S675" s="44">
        <v>0</v>
      </c>
      <c r="T675" s="44">
        <v>0</v>
      </c>
      <c r="U675" s="44">
        <v>0</v>
      </c>
      <c r="V675" s="44">
        <v>0</v>
      </c>
      <c r="W675" s="44">
        <v>0</v>
      </c>
      <c r="X675" s="44">
        <v>0</v>
      </c>
      <c r="Y675" s="44">
        <v>0</v>
      </c>
      <c r="Z675" s="39"/>
      <c r="AA675" s="41"/>
      <c r="AB675" s="42"/>
      <c r="AC675" s="42"/>
      <c r="AD675" s="43"/>
    </row>
    <row r="676" spans="1:30" ht="69.75" x14ac:dyDescent="0.25">
      <c r="A676" s="37" t="s">
        <v>1916</v>
      </c>
      <c r="B676" s="38" t="s">
        <v>1917</v>
      </c>
      <c r="C676" s="39" t="s">
        <v>1541</v>
      </c>
      <c r="D676" s="39" t="s">
        <v>1752</v>
      </c>
      <c r="E676" s="39" t="s">
        <v>46</v>
      </c>
      <c r="F676" s="40">
        <f>SUM(F677:F677)+5100</f>
        <v>5100</v>
      </c>
      <c r="G676" s="40">
        <f t="shared" ref="G676:L676" si="501">SUM(G677:G677)</f>
        <v>0</v>
      </c>
      <c r="H676" s="40">
        <f t="shared" si="501"/>
        <v>0</v>
      </c>
      <c r="I676" s="40">
        <f t="shared" si="501"/>
        <v>0</v>
      </c>
      <c r="J676" s="40">
        <f t="shared" si="501"/>
        <v>0</v>
      </c>
      <c r="K676" s="40">
        <f t="shared" si="501"/>
        <v>0</v>
      </c>
      <c r="L676" s="40">
        <f t="shared" si="501"/>
        <v>0</v>
      </c>
      <c r="M676" s="40">
        <f>SUM(M677:M677)+5100</f>
        <v>5100</v>
      </c>
      <c r="N676" s="40">
        <f>SUM(N677:N677)</f>
        <v>0</v>
      </c>
      <c r="O676" s="40">
        <f>SUM(O677:O677)</f>
        <v>0</v>
      </c>
      <c r="P676" s="40">
        <f>SUM(P677:P677)+4418.67</f>
        <v>4418.67</v>
      </c>
      <c r="Q676" s="40">
        <f t="shared" ref="Q676:V676" si="502">SUM(Q677:Q677)</f>
        <v>0</v>
      </c>
      <c r="R676" s="40">
        <f t="shared" si="502"/>
        <v>0</v>
      </c>
      <c r="S676" s="40">
        <f t="shared" si="502"/>
        <v>0</v>
      </c>
      <c r="T676" s="40">
        <f t="shared" si="502"/>
        <v>0</v>
      </c>
      <c r="U676" s="40">
        <f t="shared" si="502"/>
        <v>0</v>
      </c>
      <c r="V676" s="40">
        <f t="shared" si="502"/>
        <v>0</v>
      </c>
      <c r="W676" s="40">
        <f>SUM(W677:W677)+4418.67</f>
        <v>4418.67</v>
      </c>
      <c r="X676" s="40">
        <f>SUM(X677:X677)</f>
        <v>0</v>
      </c>
      <c r="Y676" s="40">
        <f>SUM(Y677:Y677)</f>
        <v>0</v>
      </c>
      <c r="Z676" s="39" t="s">
        <v>1918</v>
      </c>
      <c r="AA676" s="41" t="s">
        <v>41</v>
      </c>
      <c r="AB676" s="42" t="s">
        <v>56</v>
      </c>
      <c r="AC676" s="42" t="s">
        <v>56</v>
      </c>
      <c r="AD676" s="43"/>
    </row>
    <row r="677" spans="1:30" ht="46.5" x14ac:dyDescent="0.25">
      <c r="A677" s="37" t="s">
        <v>1919</v>
      </c>
      <c r="B677" s="38" t="s">
        <v>1920</v>
      </c>
      <c r="C677" s="39"/>
      <c r="D677" s="39"/>
      <c r="E677" s="39"/>
      <c r="F677" s="44">
        <v>0</v>
      </c>
      <c r="G677" s="44">
        <v>0</v>
      </c>
      <c r="H677" s="44">
        <v>0</v>
      </c>
      <c r="I677" s="44">
        <v>0</v>
      </c>
      <c r="J677" s="44">
        <v>0</v>
      </c>
      <c r="K677" s="44">
        <v>0</v>
      </c>
      <c r="L677" s="44">
        <v>0</v>
      </c>
      <c r="M677" s="44">
        <v>0</v>
      </c>
      <c r="N677" s="44">
        <v>0</v>
      </c>
      <c r="O677" s="44">
        <v>0</v>
      </c>
      <c r="P677" s="44">
        <v>0</v>
      </c>
      <c r="Q677" s="44">
        <v>0</v>
      </c>
      <c r="R677" s="44">
        <v>0</v>
      </c>
      <c r="S677" s="44">
        <v>0</v>
      </c>
      <c r="T677" s="44">
        <v>0</v>
      </c>
      <c r="U677" s="44">
        <v>0</v>
      </c>
      <c r="V677" s="44">
        <v>0</v>
      </c>
      <c r="W677" s="44">
        <v>0</v>
      </c>
      <c r="X677" s="44">
        <v>0</v>
      </c>
      <c r="Y677" s="44">
        <v>0</v>
      </c>
      <c r="Z677" s="39"/>
      <c r="AA677" s="41"/>
      <c r="AB677" s="42"/>
      <c r="AC677" s="42"/>
      <c r="AD677" s="43"/>
    </row>
    <row r="678" spans="1:30" ht="46.5" x14ac:dyDescent="0.25">
      <c r="A678" s="37" t="s">
        <v>1921</v>
      </c>
      <c r="B678" s="38" t="s">
        <v>1922</v>
      </c>
      <c r="C678" s="39" t="s">
        <v>1541</v>
      </c>
      <c r="D678" s="39" t="s">
        <v>1685</v>
      </c>
      <c r="E678" s="39" t="s">
        <v>46</v>
      </c>
      <c r="F678" s="40">
        <f>SUM(F679:F679)+2270000</f>
        <v>2270000</v>
      </c>
      <c r="G678" s="40">
        <f t="shared" ref="G678:L678" si="503">SUM(G679:G679)</f>
        <v>0</v>
      </c>
      <c r="H678" s="40">
        <f t="shared" si="503"/>
        <v>0</v>
      </c>
      <c r="I678" s="40">
        <f t="shared" si="503"/>
        <v>0</v>
      </c>
      <c r="J678" s="40">
        <f t="shared" si="503"/>
        <v>0</v>
      </c>
      <c r="K678" s="40">
        <f t="shared" si="503"/>
        <v>0</v>
      </c>
      <c r="L678" s="40">
        <f t="shared" si="503"/>
        <v>0</v>
      </c>
      <c r="M678" s="40">
        <f>SUM(M679:M679)+2270000</f>
        <v>2270000</v>
      </c>
      <c r="N678" s="40">
        <f>SUM(N679:N679)</f>
        <v>0</v>
      </c>
      <c r="O678" s="40">
        <f>SUM(O679:O679)</f>
        <v>0</v>
      </c>
      <c r="P678" s="40">
        <f>SUM(P679:P679)+2261150.99</f>
        <v>2261150.9900000002</v>
      </c>
      <c r="Q678" s="40">
        <f t="shared" ref="Q678:V678" si="504">SUM(Q679:Q679)</f>
        <v>0</v>
      </c>
      <c r="R678" s="40">
        <f t="shared" si="504"/>
        <v>0</v>
      </c>
      <c r="S678" s="40">
        <f t="shared" si="504"/>
        <v>0</v>
      </c>
      <c r="T678" s="40">
        <f t="shared" si="504"/>
        <v>0</v>
      </c>
      <c r="U678" s="40">
        <f t="shared" si="504"/>
        <v>0</v>
      </c>
      <c r="V678" s="40">
        <f t="shared" si="504"/>
        <v>0</v>
      </c>
      <c r="W678" s="40">
        <f>SUM(W679:W679)+2261150.99</f>
        <v>2261150.9900000002</v>
      </c>
      <c r="X678" s="40">
        <f>SUM(X679:X679)</f>
        <v>0</v>
      </c>
      <c r="Y678" s="40">
        <f>SUM(Y679:Y679)</f>
        <v>0</v>
      </c>
      <c r="Z678" s="39" t="s">
        <v>1923</v>
      </c>
      <c r="AA678" s="41" t="s">
        <v>41</v>
      </c>
      <c r="AB678" s="42" t="s">
        <v>1924</v>
      </c>
      <c r="AC678" s="42" t="s">
        <v>1925</v>
      </c>
      <c r="AD678" s="43" t="s">
        <v>1764</v>
      </c>
    </row>
    <row r="679" spans="1:30" ht="46.5" x14ac:dyDescent="0.25">
      <c r="A679" s="37" t="s">
        <v>1926</v>
      </c>
      <c r="B679" s="38" t="s">
        <v>1927</v>
      </c>
      <c r="C679" s="39"/>
      <c r="D679" s="39"/>
      <c r="E679" s="39"/>
      <c r="F679" s="44">
        <v>0</v>
      </c>
      <c r="G679" s="44">
        <v>0</v>
      </c>
      <c r="H679" s="44">
        <v>0</v>
      </c>
      <c r="I679" s="44">
        <v>0</v>
      </c>
      <c r="J679" s="44">
        <v>0</v>
      </c>
      <c r="K679" s="44">
        <v>0</v>
      </c>
      <c r="L679" s="44">
        <v>0</v>
      </c>
      <c r="M679" s="44">
        <v>0</v>
      </c>
      <c r="N679" s="44">
        <v>0</v>
      </c>
      <c r="O679" s="44">
        <v>0</v>
      </c>
      <c r="P679" s="44">
        <v>0</v>
      </c>
      <c r="Q679" s="44">
        <v>0</v>
      </c>
      <c r="R679" s="44">
        <v>0</v>
      </c>
      <c r="S679" s="44">
        <v>0</v>
      </c>
      <c r="T679" s="44">
        <v>0</v>
      </c>
      <c r="U679" s="44">
        <v>0</v>
      </c>
      <c r="V679" s="44">
        <v>0</v>
      </c>
      <c r="W679" s="44">
        <v>0</v>
      </c>
      <c r="X679" s="44">
        <v>0</v>
      </c>
      <c r="Y679" s="44">
        <v>0</v>
      </c>
      <c r="Z679" s="39"/>
      <c r="AA679" s="41"/>
      <c r="AB679" s="42"/>
      <c r="AC679" s="42"/>
      <c r="AD679" s="43"/>
    </row>
    <row r="680" spans="1:30" ht="69.75" x14ac:dyDescent="0.25">
      <c r="A680" s="37" t="s">
        <v>1928</v>
      </c>
      <c r="B680" s="38" t="s">
        <v>1929</v>
      </c>
      <c r="C680" s="39" t="s">
        <v>1541</v>
      </c>
      <c r="D680" s="39" t="s">
        <v>1685</v>
      </c>
      <c r="E680" s="39" t="s">
        <v>46</v>
      </c>
      <c r="F680" s="40">
        <f>SUM(F681:F681)+1272730.6</f>
        <v>1272730.6000000001</v>
      </c>
      <c r="G680" s="40">
        <f t="shared" ref="G680:L680" si="505">SUM(G681:G681)</f>
        <v>0</v>
      </c>
      <c r="H680" s="40">
        <f t="shared" si="505"/>
        <v>0</v>
      </c>
      <c r="I680" s="40">
        <f t="shared" si="505"/>
        <v>0</v>
      </c>
      <c r="J680" s="40">
        <f t="shared" si="505"/>
        <v>0</v>
      </c>
      <c r="K680" s="40">
        <f t="shared" si="505"/>
        <v>0</v>
      </c>
      <c r="L680" s="40">
        <f t="shared" si="505"/>
        <v>0</v>
      </c>
      <c r="M680" s="40">
        <f>SUM(M681:M681)+1272730.6</f>
        <v>1272730.6000000001</v>
      </c>
      <c r="N680" s="40">
        <f>SUM(N681:N681)</f>
        <v>0</v>
      </c>
      <c r="O680" s="40">
        <f>SUM(O681:O681)</f>
        <v>0</v>
      </c>
      <c r="P680" s="40">
        <f>SUM(P681:P681)+1266802.27</f>
        <v>1266802.27</v>
      </c>
      <c r="Q680" s="40">
        <f t="shared" ref="Q680:V680" si="506">SUM(Q681:Q681)</f>
        <v>0</v>
      </c>
      <c r="R680" s="40">
        <f t="shared" si="506"/>
        <v>0</v>
      </c>
      <c r="S680" s="40">
        <f t="shared" si="506"/>
        <v>0</v>
      </c>
      <c r="T680" s="40">
        <f t="shared" si="506"/>
        <v>0</v>
      </c>
      <c r="U680" s="40">
        <f t="shared" si="506"/>
        <v>0</v>
      </c>
      <c r="V680" s="40">
        <f t="shared" si="506"/>
        <v>0</v>
      </c>
      <c r="W680" s="40">
        <f>SUM(W681:W681)+1266802.27</f>
        <v>1266802.27</v>
      </c>
      <c r="X680" s="40">
        <f>SUM(X681:X681)</f>
        <v>0</v>
      </c>
      <c r="Y680" s="40">
        <f>SUM(Y681:Y681)</f>
        <v>0</v>
      </c>
      <c r="Z680" s="39" t="s">
        <v>1930</v>
      </c>
      <c r="AA680" s="41" t="s">
        <v>41</v>
      </c>
      <c r="AB680" s="42" t="s">
        <v>1931</v>
      </c>
      <c r="AC680" s="42" t="s">
        <v>1932</v>
      </c>
      <c r="AD680" s="43" t="s">
        <v>1764</v>
      </c>
    </row>
    <row r="681" spans="1:30" ht="46.5" x14ac:dyDescent="0.25">
      <c r="A681" s="37" t="s">
        <v>1933</v>
      </c>
      <c r="B681" s="38" t="s">
        <v>1934</v>
      </c>
      <c r="C681" s="39"/>
      <c r="D681" s="39"/>
      <c r="E681" s="39"/>
      <c r="F681" s="44">
        <v>0</v>
      </c>
      <c r="G681" s="44">
        <v>0</v>
      </c>
      <c r="H681" s="44">
        <v>0</v>
      </c>
      <c r="I681" s="44">
        <v>0</v>
      </c>
      <c r="J681" s="44">
        <v>0</v>
      </c>
      <c r="K681" s="44">
        <v>0</v>
      </c>
      <c r="L681" s="44">
        <v>0</v>
      </c>
      <c r="M681" s="44">
        <v>0</v>
      </c>
      <c r="N681" s="44">
        <v>0</v>
      </c>
      <c r="O681" s="44">
        <v>0</v>
      </c>
      <c r="P681" s="44">
        <v>0</v>
      </c>
      <c r="Q681" s="44">
        <v>0</v>
      </c>
      <c r="R681" s="44">
        <v>0</v>
      </c>
      <c r="S681" s="44">
        <v>0</v>
      </c>
      <c r="T681" s="44">
        <v>0</v>
      </c>
      <c r="U681" s="44">
        <v>0</v>
      </c>
      <c r="V681" s="44">
        <v>0</v>
      </c>
      <c r="W681" s="44">
        <v>0</v>
      </c>
      <c r="X681" s="44">
        <v>0</v>
      </c>
      <c r="Y681" s="44">
        <v>0</v>
      </c>
      <c r="Z681" s="39"/>
      <c r="AA681" s="41"/>
      <c r="AB681" s="42"/>
      <c r="AC681" s="42"/>
      <c r="AD681" s="43"/>
    </row>
    <row r="682" spans="1:30" ht="46.5" x14ac:dyDescent="0.25">
      <c r="A682" s="37" t="s">
        <v>1935</v>
      </c>
      <c r="B682" s="38" t="s">
        <v>1936</v>
      </c>
      <c r="C682" s="39" t="s">
        <v>1541</v>
      </c>
      <c r="D682" s="39" t="s">
        <v>1685</v>
      </c>
      <c r="E682" s="39" t="s">
        <v>46</v>
      </c>
      <c r="F682" s="40">
        <f>SUM(F683:F683)+141777.2</f>
        <v>141777.20000000001</v>
      </c>
      <c r="G682" s="40">
        <f t="shared" ref="G682:L682" si="507">SUM(G683:G683)</f>
        <v>0</v>
      </c>
      <c r="H682" s="40">
        <f t="shared" si="507"/>
        <v>0</v>
      </c>
      <c r="I682" s="40">
        <f t="shared" si="507"/>
        <v>0</v>
      </c>
      <c r="J682" s="40">
        <f t="shared" si="507"/>
        <v>0</v>
      </c>
      <c r="K682" s="40">
        <f t="shared" si="507"/>
        <v>0</v>
      </c>
      <c r="L682" s="40">
        <f t="shared" si="507"/>
        <v>0</v>
      </c>
      <c r="M682" s="40">
        <f>SUM(M683:M683)+141777.2</f>
        <v>141777.20000000001</v>
      </c>
      <c r="N682" s="40">
        <f>SUM(N683:N683)</f>
        <v>0</v>
      </c>
      <c r="O682" s="40">
        <f>SUM(O683:O683)</f>
        <v>0</v>
      </c>
      <c r="P682" s="40">
        <f>SUM(P683:P683)+141118.06</f>
        <v>141118.06</v>
      </c>
      <c r="Q682" s="40">
        <f t="shared" ref="Q682:V682" si="508">SUM(Q683:Q683)</f>
        <v>0</v>
      </c>
      <c r="R682" s="40">
        <f t="shared" si="508"/>
        <v>0</v>
      </c>
      <c r="S682" s="40">
        <f t="shared" si="508"/>
        <v>0</v>
      </c>
      <c r="T682" s="40">
        <f t="shared" si="508"/>
        <v>0</v>
      </c>
      <c r="U682" s="40">
        <f t="shared" si="508"/>
        <v>0</v>
      </c>
      <c r="V682" s="40">
        <f t="shared" si="508"/>
        <v>0</v>
      </c>
      <c r="W682" s="40">
        <f>SUM(W683:W683)+141118.06</f>
        <v>141118.06</v>
      </c>
      <c r="X682" s="40">
        <f>SUM(X683:X683)</f>
        <v>0</v>
      </c>
      <c r="Y682" s="40">
        <f>SUM(Y683:Y683)</f>
        <v>0</v>
      </c>
      <c r="Z682" s="39" t="s">
        <v>1937</v>
      </c>
      <c r="AA682" s="41" t="s">
        <v>41</v>
      </c>
      <c r="AB682" s="42" t="s">
        <v>82</v>
      </c>
      <c r="AC682" s="42" t="s">
        <v>82</v>
      </c>
      <c r="AD682" s="43"/>
    </row>
    <row r="683" spans="1:30" ht="46.5" x14ac:dyDescent="0.25">
      <c r="A683" s="37" t="s">
        <v>1938</v>
      </c>
      <c r="B683" s="38" t="s">
        <v>1939</v>
      </c>
      <c r="C683" s="39"/>
      <c r="D683" s="39"/>
      <c r="E683" s="39"/>
      <c r="F683" s="44">
        <v>0</v>
      </c>
      <c r="G683" s="44">
        <v>0</v>
      </c>
      <c r="H683" s="44">
        <v>0</v>
      </c>
      <c r="I683" s="44">
        <v>0</v>
      </c>
      <c r="J683" s="44">
        <v>0</v>
      </c>
      <c r="K683" s="44">
        <v>0</v>
      </c>
      <c r="L683" s="44">
        <v>0</v>
      </c>
      <c r="M683" s="44">
        <v>0</v>
      </c>
      <c r="N683" s="44">
        <v>0</v>
      </c>
      <c r="O683" s="44">
        <v>0</v>
      </c>
      <c r="P683" s="44">
        <v>0</v>
      </c>
      <c r="Q683" s="44">
        <v>0</v>
      </c>
      <c r="R683" s="44">
        <v>0</v>
      </c>
      <c r="S683" s="44">
        <v>0</v>
      </c>
      <c r="T683" s="44">
        <v>0</v>
      </c>
      <c r="U683" s="44">
        <v>0</v>
      </c>
      <c r="V683" s="44">
        <v>0</v>
      </c>
      <c r="W683" s="44">
        <v>0</v>
      </c>
      <c r="X683" s="44">
        <v>0</v>
      </c>
      <c r="Y683" s="44">
        <v>0</v>
      </c>
      <c r="Z683" s="39"/>
      <c r="AA683" s="41"/>
      <c r="AB683" s="42"/>
      <c r="AC683" s="42"/>
      <c r="AD683" s="43"/>
    </row>
    <row r="684" spans="1:30" ht="69.75" x14ac:dyDescent="0.25">
      <c r="A684" s="37" t="s">
        <v>1940</v>
      </c>
      <c r="B684" s="38" t="s">
        <v>1941</v>
      </c>
      <c r="C684" s="39" t="s">
        <v>1541</v>
      </c>
      <c r="D684" s="39" t="s">
        <v>1752</v>
      </c>
      <c r="E684" s="39" t="s">
        <v>46</v>
      </c>
      <c r="F684" s="40">
        <f>SUM(F685:F685)+43735</f>
        <v>43735</v>
      </c>
      <c r="G684" s="40">
        <f t="shared" ref="G684:L684" si="509">SUM(G685:G685)</f>
        <v>0</v>
      </c>
      <c r="H684" s="40">
        <f t="shared" si="509"/>
        <v>0</v>
      </c>
      <c r="I684" s="40">
        <f t="shared" si="509"/>
        <v>0</v>
      </c>
      <c r="J684" s="40">
        <f t="shared" si="509"/>
        <v>0</v>
      </c>
      <c r="K684" s="40">
        <f t="shared" si="509"/>
        <v>0</v>
      </c>
      <c r="L684" s="40">
        <f t="shared" si="509"/>
        <v>0</v>
      </c>
      <c r="M684" s="40">
        <f>SUM(M685:M685)+43735</f>
        <v>43735</v>
      </c>
      <c r="N684" s="40">
        <f>SUM(N685:N685)</f>
        <v>0</v>
      </c>
      <c r="O684" s="40">
        <f>SUM(O685:O685)</f>
        <v>0</v>
      </c>
      <c r="P684" s="40">
        <f>SUM(P685:P685)+43557.52</f>
        <v>43557.52</v>
      </c>
      <c r="Q684" s="40">
        <f t="shared" ref="Q684:V684" si="510">SUM(Q685:Q685)</f>
        <v>0</v>
      </c>
      <c r="R684" s="40">
        <f t="shared" si="510"/>
        <v>0</v>
      </c>
      <c r="S684" s="40">
        <f t="shared" si="510"/>
        <v>0</v>
      </c>
      <c r="T684" s="40">
        <f t="shared" si="510"/>
        <v>0</v>
      </c>
      <c r="U684" s="40">
        <f t="shared" si="510"/>
        <v>0</v>
      </c>
      <c r="V684" s="40">
        <f t="shared" si="510"/>
        <v>0</v>
      </c>
      <c r="W684" s="40">
        <f>SUM(W685:W685)+43557.52</f>
        <v>43557.52</v>
      </c>
      <c r="X684" s="40">
        <f>SUM(X685:X685)</f>
        <v>0</v>
      </c>
      <c r="Y684" s="40">
        <f>SUM(Y685:Y685)</f>
        <v>0</v>
      </c>
      <c r="Z684" s="39" t="s">
        <v>1937</v>
      </c>
      <c r="AA684" s="41" t="s">
        <v>41</v>
      </c>
      <c r="AB684" s="42" t="s">
        <v>82</v>
      </c>
      <c r="AC684" s="42" t="s">
        <v>178</v>
      </c>
      <c r="AD684" s="43" t="s">
        <v>1942</v>
      </c>
    </row>
    <row r="685" spans="1:30" x14ac:dyDescent="0.25">
      <c r="A685" s="37" t="s">
        <v>1943</v>
      </c>
      <c r="B685" s="38" t="s">
        <v>1944</v>
      </c>
      <c r="C685" s="39"/>
      <c r="D685" s="39"/>
      <c r="E685" s="39"/>
      <c r="F685" s="44">
        <v>0</v>
      </c>
      <c r="G685" s="44">
        <v>0</v>
      </c>
      <c r="H685" s="44">
        <v>0</v>
      </c>
      <c r="I685" s="44">
        <v>0</v>
      </c>
      <c r="J685" s="44">
        <v>0</v>
      </c>
      <c r="K685" s="44">
        <v>0</v>
      </c>
      <c r="L685" s="44">
        <v>0</v>
      </c>
      <c r="M685" s="44">
        <v>0</v>
      </c>
      <c r="N685" s="44">
        <v>0</v>
      </c>
      <c r="O685" s="44">
        <v>0</v>
      </c>
      <c r="P685" s="44">
        <v>0</v>
      </c>
      <c r="Q685" s="44">
        <v>0</v>
      </c>
      <c r="R685" s="44">
        <v>0</v>
      </c>
      <c r="S685" s="44">
        <v>0</v>
      </c>
      <c r="T685" s="44">
        <v>0</v>
      </c>
      <c r="U685" s="44">
        <v>0</v>
      </c>
      <c r="V685" s="44">
        <v>0</v>
      </c>
      <c r="W685" s="44">
        <v>0</v>
      </c>
      <c r="X685" s="44">
        <v>0</v>
      </c>
      <c r="Y685" s="44">
        <v>0</v>
      </c>
      <c r="Z685" s="39"/>
      <c r="AA685" s="41"/>
      <c r="AB685" s="42"/>
      <c r="AC685" s="42"/>
      <c r="AD685" s="43"/>
    </row>
    <row r="686" spans="1:30" ht="93" x14ac:dyDescent="0.25">
      <c r="A686" s="37" t="s">
        <v>1945</v>
      </c>
      <c r="B686" s="38" t="s">
        <v>1946</v>
      </c>
      <c r="C686" s="39" t="s">
        <v>790</v>
      </c>
      <c r="D686" s="39" t="s">
        <v>791</v>
      </c>
      <c r="E686" s="39" t="s">
        <v>46</v>
      </c>
      <c r="F686" s="40">
        <f>SUM(F687:F687)+1150</f>
        <v>1150</v>
      </c>
      <c r="G686" s="40">
        <f>SUM(G687:G687)+1150</f>
        <v>1150</v>
      </c>
      <c r="H686" s="40">
        <f t="shared" ref="H686:O686" si="511">SUM(H687:H687)</f>
        <v>0</v>
      </c>
      <c r="I686" s="40">
        <f t="shared" si="511"/>
        <v>0</v>
      </c>
      <c r="J686" s="40">
        <f t="shared" si="511"/>
        <v>0</v>
      </c>
      <c r="K686" s="40">
        <f t="shared" si="511"/>
        <v>0</v>
      </c>
      <c r="L686" s="40">
        <f t="shared" si="511"/>
        <v>0</v>
      </c>
      <c r="M686" s="40">
        <f t="shared" si="511"/>
        <v>0</v>
      </c>
      <c r="N686" s="40">
        <f t="shared" si="511"/>
        <v>0</v>
      </c>
      <c r="O686" s="40">
        <f t="shared" si="511"/>
        <v>0</v>
      </c>
      <c r="P686" s="40">
        <f>SUM(P687:P687)+1149.51</f>
        <v>1149.51</v>
      </c>
      <c r="Q686" s="40">
        <f>SUM(Q687:Q687)+1149.51</f>
        <v>1149.51</v>
      </c>
      <c r="R686" s="40">
        <f t="shared" ref="R686:Y686" si="512">SUM(R687:R687)</f>
        <v>0</v>
      </c>
      <c r="S686" s="40">
        <f t="shared" si="512"/>
        <v>0</v>
      </c>
      <c r="T686" s="40">
        <f t="shared" si="512"/>
        <v>0</v>
      </c>
      <c r="U686" s="40">
        <f t="shared" si="512"/>
        <v>0</v>
      </c>
      <c r="V686" s="40">
        <f t="shared" si="512"/>
        <v>0</v>
      </c>
      <c r="W686" s="40">
        <f t="shared" si="512"/>
        <v>0</v>
      </c>
      <c r="X686" s="40">
        <f t="shared" si="512"/>
        <v>0</v>
      </c>
      <c r="Y686" s="40">
        <f t="shared" si="512"/>
        <v>0</v>
      </c>
      <c r="Z686" s="39" t="s">
        <v>1947</v>
      </c>
      <c r="AA686" s="41" t="s">
        <v>41</v>
      </c>
      <c r="AB686" s="42" t="s">
        <v>83</v>
      </c>
      <c r="AC686" s="42" t="s">
        <v>57</v>
      </c>
      <c r="AD686" s="43" t="s">
        <v>1948</v>
      </c>
    </row>
    <row r="687" spans="1:30" ht="46.5" x14ac:dyDescent="0.25">
      <c r="A687" s="37" t="s">
        <v>1949</v>
      </c>
      <c r="B687" s="38" t="s">
        <v>1950</v>
      </c>
      <c r="C687" s="39"/>
      <c r="D687" s="39"/>
      <c r="E687" s="39"/>
      <c r="F687" s="44">
        <v>0</v>
      </c>
      <c r="G687" s="44">
        <v>0</v>
      </c>
      <c r="H687" s="44">
        <v>0</v>
      </c>
      <c r="I687" s="44">
        <v>0</v>
      </c>
      <c r="J687" s="44">
        <v>0</v>
      </c>
      <c r="K687" s="44">
        <v>0</v>
      </c>
      <c r="L687" s="44">
        <v>0</v>
      </c>
      <c r="M687" s="44">
        <v>0</v>
      </c>
      <c r="N687" s="44">
        <v>0</v>
      </c>
      <c r="O687" s="44">
        <v>0</v>
      </c>
      <c r="P687" s="44">
        <v>0</v>
      </c>
      <c r="Q687" s="44">
        <v>0</v>
      </c>
      <c r="R687" s="44">
        <v>0</v>
      </c>
      <c r="S687" s="44">
        <v>0</v>
      </c>
      <c r="T687" s="44">
        <v>0</v>
      </c>
      <c r="U687" s="44">
        <v>0</v>
      </c>
      <c r="V687" s="44">
        <v>0</v>
      </c>
      <c r="W687" s="44">
        <v>0</v>
      </c>
      <c r="X687" s="44">
        <v>0</v>
      </c>
      <c r="Y687" s="44">
        <v>0</v>
      </c>
      <c r="Z687" s="39"/>
      <c r="AA687" s="41"/>
      <c r="AB687" s="42"/>
      <c r="AC687" s="42"/>
      <c r="AD687" s="43"/>
    </row>
    <row r="688" spans="1:30" ht="116.25" x14ac:dyDescent="0.25">
      <c r="A688" s="37" t="s">
        <v>1951</v>
      </c>
      <c r="B688" s="38" t="s">
        <v>1952</v>
      </c>
      <c r="C688" s="39" t="s">
        <v>799</v>
      </c>
      <c r="D688" s="39" t="s">
        <v>800</v>
      </c>
      <c r="E688" s="39" t="s">
        <v>46</v>
      </c>
      <c r="F688" s="40">
        <f>SUM(F689:F689)+3050</f>
        <v>3050</v>
      </c>
      <c r="G688" s="40">
        <f>SUM(G689:G689)+3050</f>
        <v>3050</v>
      </c>
      <c r="H688" s="40">
        <f t="shared" ref="H688:O688" si="513">SUM(H689:H689)</f>
        <v>0</v>
      </c>
      <c r="I688" s="40">
        <f t="shared" si="513"/>
        <v>0</v>
      </c>
      <c r="J688" s="40">
        <f t="shared" si="513"/>
        <v>0</v>
      </c>
      <c r="K688" s="40">
        <f t="shared" si="513"/>
        <v>0</v>
      </c>
      <c r="L688" s="40">
        <f t="shared" si="513"/>
        <v>0</v>
      </c>
      <c r="M688" s="40">
        <f t="shared" si="513"/>
        <v>0</v>
      </c>
      <c r="N688" s="40">
        <f t="shared" si="513"/>
        <v>0</v>
      </c>
      <c r="O688" s="40">
        <f t="shared" si="513"/>
        <v>0</v>
      </c>
      <c r="P688" s="40">
        <f>SUM(P689:P689)+3048.85</f>
        <v>3048.85</v>
      </c>
      <c r="Q688" s="40">
        <f>SUM(Q689:Q689)+3048.85</f>
        <v>3048.85</v>
      </c>
      <c r="R688" s="40">
        <f t="shared" ref="R688:Y688" si="514">SUM(R689:R689)</f>
        <v>0</v>
      </c>
      <c r="S688" s="40">
        <f t="shared" si="514"/>
        <v>0</v>
      </c>
      <c r="T688" s="40">
        <f t="shared" si="514"/>
        <v>0</v>
      </c>
      <c r="U688" s="40">
        <f t="shared" si="514"/>
        <v>0</v>
      </c>
      <c r="V688" s="40">
        <f t="shared" si="514"/>
        <v>0</v>
      </c>
      <c r="W688" s="40">
        <f t="shared" si="514"/>
        <v>0</v>
      </c>
      <c r="X688" s="40">
        <f t="shared" si="514"/>
        <v>0</v>
      </c>
      <c r="Y688" s="40">
        <f t="shared" si="514"/>
        <v>0</v>
      </c>
      <c r="Z688" s="39" t="s">
        <v>1947</v>
      </c>
      <c r="AA688" s="41" t="s">
        <v>41</v>
      </c>
      <c r="AB688" s="42" t="s">
        <v>218</v>
      </c>
      <c r="AC688" s="42" t="s">
        <v>42</v>
      </c>
      <c r="AD688" s="43" t="s">
        <v>1953</v>
      </c>
    </row>
    <row r="689" spans="1:30" ht="46.5" x14ac:dyDescent="0.25">
      <c r="A689" s="37" t="s">
        <v>1954</v>
      </c>
      <c r="B689" s="38" t="s">
        <v>1950</v>
      </c>
      <c r="C689" s="39"/>
      <c r="D689" s="39"/>
      <c r="E689" s="39"/>
      <c r="F689" s="44">
        <v>0</v>
      </c>
      <c r="G689" s="44">
        <v>0</v>
      </c>
      <c r="H689" s="44">
        <v>0</v>
      </c>
      <c r="I689" s="44">
        <v>0</v>
      </c>
      <c r="J689" s="44">
        <v>0</v>
      </c>
      <c r="K689" s="44">
        <v>0</v>
      </c>
      <c r="L689" s="44">
        <v>0</v>
      </c>
      <c r="M689" s="44">
        <v>0</v>
      </c>
      <c r="N689" s="44">
        <v>0</v>
      </c>
      <c r="O689" s="44">
        <v>0</v>
      </c>
      <c r="P689" s="44">
        <v>0</v>
      </c>
      <c r="Q689" s="44">
        <v>0</v>
      </c>
      <c r="R689" s="44">
        <v>0</v>
      </c>
      <c r="S689" s="44">
        <v>0</v>
      </c>
      <c r="T689" s="44">
        <v>0</v>
      </c>
      <c r="U689" s="44">
        <v>0</v>
      </c>
      <c r="V689" s="44">
        <v>0</v>
      </c>
      <c r="W689" s="44">
        <v>0</v>
      </c>
      <c r="X689" s="44">
        <v>0</v>
      </c>
      <c r="Y689" s="44">
        <v>0</v>
      </c>
      <c r="Z689" s="39"/>
      <c r="AA689" s="41"/>
      <c r="AB689" s="42"/>
      <c r="AC689" s="42"/>
      <c r="AD689" s="43"/>
    </row>
    <row r="690" spans="1:30" ht="93" x14ac:dyDescent="0.25">
      <c r="A690" s="37" t="s">
        <v>1955</v>
      </c>
      <c r="B690" s="38" t="s">
        <v>1956</v>
      </c>
      <c r="C690" s="39" t="s">
        <v>136</v>
      </c>
      <c r="D690" s="39" t="s">
        <v>805</v>
      </c>
      <c r="E690" s="39" t="s">
        <v>46</v>
      </c>
      <c r="F690" s="40">
        <f>SUM(F691:F691)+2620</f>
        <v>2620</v>
      </c>
      <c r="G690" s="40">
        <f>SUM(G691:G691)+2620</f>
        <v>2620</v>
      </c>
      <c r="H690" s="40">
        <f t="shared" ref="H690:O690" si="515">SUM(H691:H691)</f>
        <v>0</v>
      </c>
      <c r="I690" s="40">
        <f t="shared" si="515"/>
        <v>0</v>
      </c>
      <c r="J690" s="40">
        <f t="shared" si="515"/>
        <v>0</v>
      </c>
      <c r="K690" s="40">
        <f t="shared" si="515"/>
        <v>0</v>
      </c>
      <c r="L690" s="40">
        <f t="shared" si="515"/>
        <v>0</v>
      </c>
      <c r="M690" s="40">
        <f t="shared" si="515"/>
        <v>0</v>
      </c>
      <c r="N690" s="40">
        <f t="shared" si="515"/>
        <v>0</v>
      </c>
      <c r="O690" s="40">
        <f t="shared" si="515"/>
        <v>0</v>
      </c>
      <c r="P690" s="40">
        <f>SUM(P691:P691)+2619.32</f>
        <v>2619.3200000000002</v>
      </c>
      <c r="Q690" s="40">
        <f>SUM(Q691:Q691)+2619.32</f>
        <v>2619.3200000000002</v>
      </c>
      <c r="R690" s="40">
        <f t="shared" ref="R690:Y690" si="516">SUM(R691:R691)</f>
        <v>0</v>
      </c>
      <c r="S690" s="40">
        <f t="shared" si="516"/>
        <v>0</v>
      </c>
      <c r="T690" s="40">
        <f t="shared" si="516"/>
        <v>0</v>
      </c>
      <c r="U690" s="40">
        <f t="shared" si="516"/>
        <v>0</v>
      </c>
      <c r="V690" s="40">
        <f t="shared" si="516"/>
        <v>0</v>
      </c>
      <c r="W690" s="40">
        <f t="shared" si="516"/>
        <v>0</v>
      </c>
      <c r="X690" s="40">
        <f t="shared" si="516"/>
        <v>0</v>
      </c>
      <c r="Y690" s="40">
        <f t="shared" si="516"/>
        <v>0</v>
      </c>
      <c r="Z690" s="39" t="s">
        <v>1947</v>
      </c>
      <c r="AA690" s="41" t="s">
        <v>41</v>
      </c>
      <c r="AB690" s="42" t="s">
        <v>178</v>
      </c>
      <c r="AC690" s="42" t="s">
        <v>57</v>
      </c>
      <c r="AD690" s="43" t="s">
        <v>1948</v>
      </c>
    </row>
    <row r="691" spans="1:30" ht="46.5" x14ac:dyDescent="0.25">
      <c r="A691" s="37" t="s">
        <v>1957</v>
      </c>
      <c r="B691" s="38" t="s">
        <v>1950</v>
      </c>
      <c r="C691" s="39"/>
      <c r="D691" s="39"/>
      <c r="E691" s="39"/>
      <c r="F691" s="44">
        <v>0</v>
      </c>
      <c r="G691" s="44">
        <v>0</v>
      </c>
      <c r="H691" s="44">
        <v>0</v>
      </c>
      <c r="I691" s="44">
        <v>0</v>
      </c>
      <c r="J691" s="44">
        <v>0</v>
      </c>
      <c r="K691" s="44">
        <v>0</v>
      </c>
      <c r="L691" s="44">
        <v>0</v>
      </c>
      <c r="M691" s="44">
        <v>0</v>
      </c>
      <c r="N691" s="44">
        <v>0</v>
      </c>
      <c r="O691" s="44">
        <v>0</v>
      </c>
      <c r="P691" s="44">
        <v>0</v>
      </c>
      <c r="Q691" s="44">
        <v>0</v>
      </c>
      <c r="R691" s="44">
        <v>0</v>
      </c>
      <c r="S691" s="44">
        <v>0</v>
      </c>
      <c r="T691" s="44">
        <v>0</v>
      </c>
      <c r="U691" s="44">
        <v>0</v>
      </c>
      <c r="V691" s="44">
        <v>0</v>
      </c>
      <c r="W691" s="44">
        <v>0</v>
      </c>
      <c r="X691" s="44">
        <v>0</v>
      </c>
      <c r="Y691" s="44">
        <v>0</v>
      </c>
      <c r="Z691" s="39"/>
      <c r="AA691" s="41"/>
      <c r="AB691" s="42"/>
      <c r="AC691" s="42"/>
      <c r="AD691" s="43"/>
    </row>
    <row r="692" spans="1:30" ht="69.75" x14ac:dyDescent="0.25">
      <c r="A692" s="37" t="s">
        <v>1958</v>
      </c>
      <c r="B692" s="38" t="s">
        <v>1959</v>
      </c>
      <c r="C692" s="39" t="s">
        <v>810</v>
      </c>
      <c r="D692" s="39" t="s">
        <v>811</v>
      </c>
      <c r="E692" s="39" t="s">
        <v>46</v>
      </c>
      <c r="F692" s="40">
        <f>SUM(F693:F693)+2370</f>
        <v>2370</v>
      </c>
      <c r="G692" s="40">
        <f>SUM(G693:G693)+2370</f>
        <v>2370</v>
      </c>
      <c r="H692" s="40">
        <f t="shared" ref="H692:O692" si="517">SUM(H693:H693)</f>
        <v>0</v>
      </c>
      <c r="I692" s="40">
        <f t="shared" si="517"/>
        <v>0</v>
      </c>
      <c r="J692" s="40">
        <f t="shared" si="517"/>
        <v>0</v>
      </c>
      <c r="K692" s="40">
        <f t="shared" si="517"/>
        <v>0</v>
      </c>
      <c r="L692" s="40">
        <f t="shared" si="517"/>
        <v>0</v>
      </c>
      <c r="M692" s="40">
        <f t="shared" si="517"/>
        <v>0</v>
      </c>
      <c r="N692" s="40">
        <f t="shared" si="517"/>
        <v>0</v>
      </c>
      <c r="O692" s="40">
        <f t="shared" si="517"/>
        <v>0</v>
      </c>
      <c r="P692" s="40">
        <f>SUM(P693:P693)+2369.53</f>
        <v>2369.5300000000002</v>
      </c>
      <c r="Q692" s="40">
        <f>SUM(Q693:Q693)+2369.53</f>
        <v>2369.5300000000002</v>
      </c>
      <c r="R692" s="40">
        <f t="shared" ref="R692:Y692" si="518">SUM(R693:R693)</f>
        <v>0</v>
      </c>
      <c r="S692" s="40">
        <f t="shared" si="518"/>
        <v>0</v>
      </c>
      <c r="T692" s="40">
        <f t="shared" si="518"/>
        <v>0</v>
      </c>
      <c r="U692" s="40">
        <f t="shared" si="518"/>
        <v>0</v>
      </c>
      <c r="V692" s="40">
        <f t="shared" si="518"/>
        <v>0</v>
      </c>
      <c r="W692" s="40">
        <f t="shared" si="518"/>
        <v>0</v>
      </c>
      <c r="X692" s="40">
        <f t="shared" si="518"/>
        <v>0</v>
      </c>
      <c r="Y692" s="40">
        <f t="shared" si="518"/>
        <v>0</v>
      </c>
      <c r="Z692" s="39" t="s">
        <v>1947</v>
      </c>
      <c r="AA692" s="41" t="s">
        <v>41</v>
      </c>
      <c r="AB692" s="42" t="s">
        <v>178</v>
      </c>
      <c r="AC692" s="42" t="s">
        <v>178</v>
      </c>
      <c r="AD692" s="43"/>
    </row>
    <row r="693" spans="1:30" ht="46.5" x14ac:dyDescent="0.25">
      <c r="A693" s="37" t="s">
        <v>1960</v>
      </c>
      <c r="B693" s="38" t="s">
        <v>1950</v>
      </c>
      <c r="C693" s="39"/>
      <c r="D693" s="39"/>
      <c r="E693" s="39"/>
      <c r="F693" s="44">
        <v>0</v>
      </c>
      <c r="G693" s="44">
        <v>0</v>
      </c>
      <c r="H693" s="44">
        <v>0</v>
      </c>
      <c r="I693" s="44">
        <v>0</v>
      </c>
      <c r="J693" s="44">
        <v>0</v>
      </c>
      <c r="K693" s="44">
        <v>0</v>
      </c>
      <c r="L693" s="44">
        <v>0</v>
      </c>
      <c r="M693" s="44">
        <v>0</v>
      </c>
      <c r="N693" s="44">
        <v>0</v>
      </c>
      <c r="O693" s="44">
        <v>0</v>
      </c>
      <c r="P693" s="44">
        <v>0</v>
      </c>
      <c r="Q693" s="44">
        <v>0</v>
      </c>
      <c r="R693" s="44">
        <v>0</v>
      </c>
      <c r="S693" s="44">
        <v>0</v>
      </c>
      <c r="T693" s="44">
        <v>0</v>
      </c>
      <c r="U693" s="44">
        <v>0</v>
      </c>
      <c r="V693" s="44">
        <v>0</v>
      </c>
      <c r="W693" s="44">
        <v>0</v>
      </c>
      <c r="X693" s="44">
        <v>0</v>
      </c>
      <c r="Y693" s="44">
        <v>0</v>
      </c>
      <c r="Z693" s="39"/>
      <c r="AA693" s="41"/>
      <c r="AB693" s="42"/>
      <c r="AC693" s="42"/>
      <c r="AD693" s="43"/>
    </row>
    <row r="694" spans="1:30" ht="69.75" x14ac:dyDescent="0.25">
      <c r="A694" s="37" t="s">
        <v>1961</v>
      </c>
      <c r="B694" s="38" t="s">
        <v>1962</v>
      </c>
      <c r="C694" s="39" t="s">
        <v>144</v>
      </c>
      <c r="D694" s="39" t="s">
        <v>816</v>
      </c>
      <c r="E694" s="39" t="s">
        <v>46</v>
      </c>
      <c r="F694" s="40">
        <f>SUM(F695:F695)+2000</f>
        <v>2000</v>
      </c>
      <c r="G694" s="40">
        <f>SUM(G695:G695)+2000</f>
        <v>2000</v>
      </c>
      <c r="H694" s="40">
        <f t="shared" ref="H694:O694" si="519">SUM(H695:H695)</f>
        <v>0</v>
      </c>
      <c r="I694" s="40">
        <f t="shared" si="519"/>
        <v>0</v>
      </c>
      <c r="J694" s="40">
        <f t="shared" si="519"/>
        <v>0</v>
      </c>
      <c r="K694" s="40">
        <f t="shared" si="519"/>
        <v>0</v>
      </c>
      <c r="L694" s="40">
        <f t="shared" si="519"/>
        <v>0</v>
      </c>
      <c r="M694" s="40">
        <f t="shared" si="519"/>
        <v>0</v>
      </c>
      <c r="N694" s="40">
        <f t="shared" si="519"/>
        <v>0</v>
      </c>
      <c r="O694" s="40">
        <f t="shared" si="519"/>
        <v>0</v>
      </c>
      <c r="P694" s="40">
        <f>SUM(P695:P695)+1993.91</f>
        <v>1993.91</v>
      </c>
      <c r="Q694" s="40">
        <f>SUM(Q695:Q695)+1993.91</f>
        <v>1993.91</v>
      </c>
      <c r="R694" s="40">
        <f t="shared" ref="R694:Y694" si="520">SUM(R695:R695)</f>
        <v>0</v>
      </c>
      <c r="S694" s="40">
        <f t="shared" si="520"/>
        <v>0</v>
      </c>
      <c r="T694" s="40">
        <f t="shared" si="520"/>
        <v>0</v>
      </c>
      <c r="U694" s="40">
        <f t="shared" si="520"/>
        <v>0</v>
      </c>
      <c r="V694" s="40">
        <f t="shared" si="520"/>
        <v>0</v>
      </c>
      <c r="W694" s="40">
        <f t="shared" si="520"/>
        <v>0</v>
      </c>
      <c r="X694" s="40">
        <f t="shared" si="520"/>
        <v>0</v>
      </c>
      <c r="Y694" s="40">
        <f t="shared" si="520"/>
        <v>0</v>
      </c>
      <c r="Z694" s="39" t="s">
        <v>1947</v>
      </c>
      <c r="AA694" s="41" t="s">
        <v>41</v>
      </c>
      <c r="AB694" s="42" t="s">
        <v>434</v>
      </c>
      <c r="AC694" s="42" t="s">
        <v>434</v>
      </c>
      <c r="AD694" s="43"/>
    </row>
    <row r="695" spans="1:30" ht="46.5" x14ac:dyDescent="0.25">
      <c r="A695" s="37" t="s">
        <v>1963</v>
      </c>
      <c r="B695" s="38" t="s">
        <v>1950</v>
      </c>
      <c r="C695" s="39"/>
      <c r="D695" s="39"/>
      <c r="E695" s="39"/>
      <c r="F695" s="44">
        <v>0</v>
      </c>
      <c r="G695" s="44">
        <v>0</v>
      </c>
      <c r="H695" s="44">
        <v>0</v>
      </c>
      <c r="I695" s="44">
        <v>0</v>
      </c>
      <c r="J695" s="44">
        <v>0</v>
      </c>
      <c r="K695" s="44">
        <v>0</v>
      </c>
      <c r="L695" s="44">
        <v>0</v>
      </c>
      <c r="M695" s="44">
        <v>0</v>
      </c>
      <c r="N695" s="44">
        <v>0</v>
      </c>
      <c r="O695" s="44">
        <v>0</v>
      </c>
      <c r="P695" s="44">
        <v>0</v>
      </c>
      <c r="Q695" s="44">
        <v>0</v>
      </c>
      <c r="R695" s="44">
        <v>0</v>
      </c>
      <c r="S695" s="44">
        <v>0</v>
      </c>
      <c r="T695" s="44">
        <v>0</v>
      </c>
      <c r="U695" s="44">
        <v>0</v>
      </c>
      <c r="V695" s="44">
        <v>0</v>
      </c>
      <c r="W695" s="44">
        <v>0</v>
      </c>
      <c r="X695" s="44">
        <v>0</v>
      </c>
      <c r="Y695" s="44">
        <v>0</v>
      </c>
      <c r="Z695" s="39"/>
      <c r="AA695" s="41"/>
      <c r="AB695" s="42"/>
      <c r="AC695" s="42"/>
      <c r="AD695" s="43"/>
    </row>
    <row r="696" spans="1:30" ht="93" x14ac:dyDescent="0.25">
      <c r="A696" s="37" t="s">
        <v>1964</v>
      </c>
      <c r="B696" s="38" t="s">
        <v>1965</v>
      </c>
      <c r="C696" s="39" t="s">
        <v>149</v>
      </c>
      <c r="D696" s="39" t="s">
        <v>821</v>
      </c>
      <c r="E696" s="39" t="s">
        <v>46</v>
      </c>
      <c r="F696" s="40">
        <f>SUM(F697:F697)+2840</f>
        <v>2840</v>
      </c>
      <c r="G696" s="40">
        <f>SUM(G697:G697)+2840</f>
        <v>2840</v>
      </c>
      <c r="H696" s="40">
        <f t="shared" ref="H696:O696" si="521">SUM(H697:H697)</f>
        <v>0</v>
      </c>
      <c r="I696" s="40">
        <f t="shared" si="521"/>
        <v>0</v>
      </c>
      <c r="J696" s="40">
        <f t="shared" si="521"/>
        <v>0</v>
      </c>
      <c r="K696" s="40">
        <f t="shared" si="521"/>
        <v>0</v>
      </c>
      <c r="L696" s="40">
        <f t="shared" si="521"/>
        <v>0</v>
      </c>
      <c r="M696" s="40">
        <f t="shared" si="521"/>
        <v>0</v>
      </c>
      <c r="N696" s="40">
        <f t="shared" si="521"/>
        <v>0</v>
      </c>
      <c r="O696" s="40">
        <f t="shared" si="521"/>
        <v>0</v>
      </c>
      <c r="P696" s="40">
        <f>SUM(P697:P697)+2835.59</f>
        <v>2835.59</v>
      </c>
      <c r="Q696" s="40">
        <f>SUM(Q697:Q697)+2835.59</f>
        <v>2835.59</v>
      </c>
      <c r="R696" s="40">
        <f t="shared" ref="R696:Y696" si="522">SUM(R697:R697)</f>
        <v>0</v>
      </c>
      <c r="S696" s="40">
        <f t="shared" si="522"/>
        <v>0</v>
      </c>
      <c r="T696" s="40">
        <f t="shared" si="522"/>
        <v>0</v>
      </c>
      <c r="U696" s="40">
        <f t="shared" si="522"/>
        <v>0</v>
      </c>
      <c r="V696" s="40">
        <f t="shared" si="522"/>
        <v>0</v>
      </c>
      <c r="W696" s="40">
        <f t="shared" si="522"/>
        <v>0</v>
      </c>
      <c r="X696" s="40">
        <f t="shared" si="522"/>
        <v>0</v>
      </c>
      <c r="Y696" s="40">
        <f t="shared" si="522"/>
        <v>0</v>
      </c>
      <c r="Z696" s="39" t="s">
        <v>1947</v>
      </c>
      <c r="AA696" s="41" t="s">
        <v>41</v>
      </c>
      <c r="AB696" s="42" t="s">
        <v>544</v>
      </c>
      <c r="AC696" s="42" t="s">
        <v>57</v>
      </c>
      <c r="AD696" s="43" t="s">
        <v>1966</v>
      </c>
    </row>
    <row r="697" spans="1:30" ht="46.5" x14ac:dyDescent="0.25">
      <c r="A697" s="37" t="s">
        <v>1967</v>
      </c>
      <c r="B697" s="38" t="s">
        <v>1950</v>
      </c>
      <c r="C697" s="39"/>
      <c r="D697" s="39"/>
      <c r="E697" s="39"/>
      <c r="F697" s="44">
        <v>0</v>
      </c>
      <c r="G697" s="44">
        <v>0</v>
      </c>
      <c r="H697" s="44">
        <v>0</v>
      </c>
      <c r="I697" s="44">
        <v>0</v>
      </c>
      <c r="J697" s="44">
        <v>0</v>
      </c>
      <c r="K697" s="44">
        <v>0</v>
      </c>
      <c r="L697" s="44">
        <v>0</v>
      </c>
      <c r="M697" s="44">
        <v>0</v>
      </c>
      <c r="N697" s="44">
        <v>0</v>
      </c>
      <c r="O697" s="44">
        <v>0</v>
      </c>
      <c r="P697" s="44">
        <v>0</v>
      </c>
      <c r="Q697" s="44">
        <v>0</v>
      </c>
      <c r="R697" s="44">
        <v>0</v>
      </c>
      <c r="S697" s="44">
        <v>0</v>
      </c>
      <c r="T697" s="44">
        <v>0</v>
      </c>
      <c r="U697" s="44">
        <v>0</v>
      </c>
      <c r="V697" s="44">
        <v>0</v>
      </c>
      <c r="W697" s="44">
        <v>0</v>
      </c>
      <c r="X697" s="44">
        <v>0</v>
      </c>
      <c r="Y697" s="44">
        <v>0</v>
      </c>
      <c r="Z697" s="39"/>
      <c r="AA697" s="41"/>
      <c r="AB697" s="42"/>
      <c r="AC697" s="42"/>
      <c r="AD697" s="43"/>
    </row>
    <row r="698" spans="1:30" ht="69.75" x14ac:dyDescent="0.25">
      <c r="A698" s="37" t="s">
        <v>1968</v>
      </c>
      <c r="B698" s="38" t="s">
        <v>1969</v>
      </c>
      <c r="C698" s="39" t="s">
        <v>156</v>
      </c>
      <c r="D698" s="39" t="s">
        <v>826</v>
      </c>
      <c r="E698" s="39" t="s">
        <v>46</v>
      </c>
      <c r="F698" s="40">
        <f>SUM(F699:F699)+1790</f>
        <v>1790</v>
      </c>
      <c r="G698" s="40">
        <f>SUM(G699:G699)+1790</f>
        <v>1790</v>
      </c>
      <c r="H698" s="40">
        <f t="shared" ref="H698:O698" si="523">SUM(H699:H699)</f>
        <v>0</v>
      </c>
      <c r="I698" s="40">
        <f t="shared" si="523"/>
        <v>0</v>
      </c>
      <c r="J698" s="40">
        <f t="shared" si="523"/>
        <v>0</v>
      </c>
      <c r="K698" s="40">
        <f t="shared" si="523"/>
        <v>0</v>
      </c>
      <c r="L698" s="40">
        <f t="shared" si="523"/>
        <v>0</v>
      </c>
      <c r="M698" s="40">
        <f t="shared" si="523"/>
        <v>0</v>
      </c>
      <c r="N698" s="40">
        <f t="shared" si="523"/>
        <v>0</v>
      </c>
      <c r="O698" s="40">
        <f t="shared" si="523"/>
        <v>0</v>
      </c>
      <c r="P698" s="40">
        <f>SUM(P699:P699)+1789.96</f>
        <v>1789.96</v>
      </c>
      <c r="Q698" s="40">
        <f>SUM(Q699:Q699)+1789.96</f>
        <v>1789.96</v>
      </c>
      <c r="R698" s="40">
        <f t="shared" ref="R698:Y698" si="524">SUM(R699:R699)</f>
        <v>0</v>
      </c>
      <c r="S698" s="40">
        <f t="shared" si="524"/>
        <v>0</v>
      </c>
      <c r="T698" s="40">
        <f t="shared" si="524"/>
        <v>0</v>
      </c>
      <c r="U698" s="40">
        <f t="shared" si="524"/>
        <v>0</v>
      </c>
      <c r="V698" s="40">
        <f t="shared" si="524"/>
        <v>0</v>
      </c>
      <c r="W698" s="40">
        <f t="shared" si="524"/>
        <v>0</v>
      </c>
      <c r="X698" s="40">
        <f t="shared" si="524"/>
        <v>0</v>
      </c>
      <c r="Y698" s="40">
        <f t="shared" si="524"/>
        <v>0</v>
      </c>
      <c r="Z698" s="39" t="s">
        <v>1947</v>
      </c>
      <c r="AA698" s="41" t="s">
        <v>41</v>
      </c>
      <c r="AB698" s="42" t="s">
        <v>64</v>
      </c>
      <c r="AC698" s="42" t="s">
        <v>85</v>
      </c>
      <c r="AD698" s="43" t="s">
        <v>1970</v>
      </c>
    </row>
    <row r="699" spans="1:30" ht="46.5" x14ac:dyDescent="0.25">
      <c r="A699" s="37" t="s">
        <v>1971</v>
      </c>
      <c r="B699" s="38" t="s">
        <v>1950</v>
      </c>
      <c r="C699" s="39"/>
      <c r="D699" s="39"/>
      <c r="E699" s="39"/>
      <c r="F699" s="44">
        <v>0</v>
      </c>
      <c r="G699" s="44">
        <v>0</v>
      </c>
      <c r="H699" s="44">
        <v>0</v>
      </c>
      <c r="I699" s="44">
        <v>0</v>
      </c>
      <c r="J699" s="44">
        <v>0</v>
      </c>
      <c r="K699" s="44">
        <v>0</v>
      </c>
      <c r="L699" s="44">
        <v>0</v>
      </c>
      <c r="M699" s="44">
        <v>0</v>
      </c>
      <c r="N699" s="44">
        <v>0</v>
      </c>
      <c r="O699" s="44">
        <v>0</v>
      </c>
      <c r="P699" s="44">
        <v>0</v>
      </c>
      <c r="Q699" s="44">
        <v>0</v>
      </c>
      <c r="R699" s="44">
        <v>0</v>
      </c>
      <c r="S699" s="44">
        <v>0</v>
      </c>
      <c r="T699" s="44">
        <v>0</v>
      </c>
      <c r="U699" s="44">
        <v>0</v>
      </c>
      <c r="V699" s="44">
        <v>0</v>
      </c>
      <c r="W699" s="44">
        <v>0</v>
      </c>
      <c r="X699" s="44">
        <v>0</v>
      </c>
      <c r="Y699" s="44">
        <v>0</v>
      </c>
      <c r="Z699" s="39"/>
      <c r="AA699" s="41"/>
      <c r="AB699" s="42"/>
      <c r="AC699" s="42"/>
      <c r="AD699" s="43"/>
    </row>
    <row r="700" spans="1:30" ht="93" x14ac:dyDescent="0.25">
      <c r="A700" s="37" t="s">
        <v>1972</v>
      </c>
      <c r="B700" s="38" t="s">
        <v>1973</v>
      </c>
      <c r="C700" s="39" t="s">
        <v>831</v>
      </c>
      <c r="D700" s="39" t="s">
        <v>832</v>
      </c>
      <c r="E700" s="39" t="s">
        <v>46</v>
      </c>
      <c r="F700" s="40">
        <f>SUM(F701:F701)+2650</f>
        <v>2650</v>
      </c>
      <c r="G700" s="40">
        <f>SUM(G701:G701)+2650</f>
        <v>2650</v>
      </c>
      <c r="H700" s="40">
        <f t="shared" ref="H700:O700" si="525">SUM(H701:H701)</f>
        <v>0</v>
      </c>
      <c r="I700" s="40">
        <f t="shared" si="525"/>
        <v>0</v>
      </c>
      <c r="J700" s="40">
        <f t="shared" si="525"/>
        <v>0</v>
      </c>
      <c r="K700" s="40">
        <f t="shared" si="525"/>
        <v>0</v>
      </c>
      <c r="L700" s="40">
        <f t="shared" si="525"/>
        <v>0</v>
      </c>
      <c r="M700" s="40">
        <f t="shared" si="525"/>
        <v>0</v>
      </c>
      <c r="N700" s="40">
        <f t="shared" si="525"/>
        <v>0</v>
      </c>
      <c r="O700" s="40">
        <f t="shared" si="525"/>
        <v>0</v>
      </c>
      <c r="P700" s="40">
        <f>SUM(P701:P701)+2650</f>
        <v>2650</v>
      </c>
      <c r="Q700" s="40">
        <f>SUM(Q701:Q701)+2650</f>
        <v>2650</v>
      </c>
      <c r="R700" s="40">
        <f t="shared" ref="R700:Y700" si="526">SUM(R701:R701)</f>
        <v>0</v>
      </c>
      <c r="S700" s="40">
        <f t="shared" si="526"/>
        <v>0</v>
      </c>
      <c r="T700" s="40">
        <f t="shared" si="526"/>
        <v>0</v>
      </c>
      <c r="U700" s="40">
        <f t="shared" si="526"/>
        <v>0</v>
      </c>
      <c r="V700" s="40">
        <f t="shared" si="526"/>
        <v>0</v>
      </c>
      <c r="W700" s="40">
        <f t="shared" si="526"/>
        <v>0</v>
      </c>
      <c r="X700" s="40">
        <f t="shared" si="526"/>
        <v>0</v>
      </c>
      <c r="Y700" s="40">
        <f t="shared" si="526"/>
        <v>0</v>
      </c>
      <c r="Z700" s="39" t="s">
        <v>1947</v>
      </c>
      <c r="AA700" s="41" t="s">
        <v>41</v>
      </c>
      <c r="AB700" s="42" t="s">
        <v>225</v>
      </c>
      <c r="AC700" s="42" t="s">
        <v>107</v>
      </c>
      <c r="AD700" s="43" t="s">
        <v>1974</v>
      </c>
    </row>
    <row r="701" spans="1:30" ht="46.5" x14ac:dyDescent="0.25">
      <c r="A701" s="37" t="s">
        <v>1975</v>
      </c>
      <c r="B701" s="38" t="s">
        <v>1950</v>
      </c>
      <c r="C701" s="39"/>
      <c r="D701" s="39"/>
      <c r="E701" s="39"/>
      <c r="F701" s="44">
        <v>0</v>
      </c>
      <c r="G701" s="44">
        <v>0</v>
      </c>
      <c r="H701" s="44">
        <v>0</v>
      </c>
      <c r="I701" s="44">
        <v>0</v>
      </c>
      <c r="J701" s="44">
        <v>0</v>
      </c>
      <c r="K701" s="44">
        <v>0</v>
      </c>
      <c r="L701" s="44">
        <v>0</v>
      </c>
      <c r="M701" s="44">
        <v>0</v>
      </c>
      <c r="N701" s="44">
        <v>0</v>
      </c>
      <c r="O701" s="44">
        <v>0</v>
      </c>
      <c r="P701" s="44">
        <v>0</v>
      </c>
      <c r="Q701" s="44">
        <v>0</v>
      </c>
      <c r="R701" s="44">
        <v>0</v>
      </c>
      <c r="S701" s="44">
        <v>0</v>
      </c>
      <c r="T701" s="44">
        <v>0</v>
      </c>
      <c r="U701" s="44">
        <v>0</v>
      </c>
      <c r="V701" s="44">
        <v>0</v>
      </c>
      <c r="W701" s="44">
        <v>0</v>
      </c>
      <c r="X701" s="44">
        <v>0</v>
      </c>
      <c r="Y701" s="44">
        <v>0</v>
      </c>
      <c r="Z701" s="39"/>
      <c r="AA701" s="41"/>
      <c r="AB701" s="42"/>
      <c r="AC701" s="42"/>
      <c r="AD701" s="43"/>
    </row>
    <row r="702" spans="1:30" ht="69.75" x14ac:dyDescent="0.25">
      <c r="A702" s="37" t="s">
        <v>1976</v>
      </c>
      <c r="B702" s="38" t="s">
        <v>1977</v>
      </c>
      <c r="C702" s="39" t="s">
        <v>837</v>
      </c>
      <c r="D702" s="39" t="s">
        <v>838</v>
      </c>
      <c r="E702" s="39" t="s">
        <v>46</v>
      </c>
      <c r="F702" s="40">
        <f>SUM(F703:F703)+888</f>
        <v>888</v>
      </c>
      <c r="G702" s="40">
        <f>SUM(G703:G703)+888</f>
        <v>888</v>
      </c>
      <c r="H702" s="40">
        <f t="shared" ref="H702:O702" si="527">SUM(H703:H703)</f>
        <v>0</v>
      </c>
      <c r="I702" s="40">
        <f t="shared" si="527"/>
        <v>0</v>
      </c>
      <c r="J702" s="40">
        <f t="shared" si="527"/>
        <v>0</v>
      </c>
      <c r="K702" s="40">
        <f t="shared" si="527"/>
        <v>0</v>
      </c>
      <c r="L702" s="40">
        <f t="shared" si="527"/>
        <v>0</v>
      </c>
      <c r="M702" s="40">
        <f t="shared" si="527"/>
        <v>0</v>
      </c>
      <c r="N702" s="40">
        <f t="shared" si="527"/>
        <v>0</v>
      </c>
      <c r="O702" s="40">
        <f t="shared" si="527"/>
        <v>0</v>
      </c>
      <c r="P702" s="40">
        <f>SUM(P703:P703)+888</f>
        <v>888</v>
      </c>
      <c r="Q702" s="40">
        <f>SUM(Q703:Q703)+888</f>
        <v>888</v>
      </c>
      <c r="R702" s="40">
        <f t="shared" ref="R702:Y702" si="528">SUM(R703:R703)</f>
        <v>0</v>
      </c>
      <c r="S702" s="40">
        <f t="shared" si="528"/>
        <v>0</v>
      </c>
      <c r="T702" s="40">
        <f t="shared" si="528"/>
        <v>0</v>
      </c>
      <c r="U702" s="40">
        <f t="shared" si="528"/>
        <v>0</v>
      </c>
      <c r="V702" s="40">
        <f t="shared" si="528"/>
        <v>0</v>
      </c>
      <c r="W702" s="40">
        <f t="shared" si="528"/>
        <v>0</v>
      </c>
      <c r="X702" s="40">
        <f t="shared" si="528"/>
        <v>0</v>
      </c>
      <c r="Y702" s="40">
        <f t="shared" si="528"/>
        <v>0</v>
      </c>
      <c r="Z702" s="39" t="s">
        <v>1947</v>
      </c>
      <c r="AA702" s="41" t="s">
        <v>41</v>
      </c>
      <c r="AB702" s="42" t="s">
        <v>434</v>
      </c>
      <c r="AC702" s="42" t="s">
        <v>82</v>
      </c>
      <c r="AD702" s="43" t="s">
        <v>1978</v>
      </c>
    </row>
    <row r="703" spans="1:30" ht="46.5" x14ac:dyDescent="0.25">
      <c r="A703" s="37" t="s">
        <v>1979</v>
      </c>
      <c r="B703" s="38" t="s">
        <v>1950</v>
      </c>
      <c r="C703" s="39"/>
      <c r="D703" s="39"/>
      <c r="E703" s="39"/>
      <c r="F703" s="44">
        <v>0</v>
      </c>
      <c r="G703" s="44">
        <v>0</v>
      </c>
      <c r="H703" s="44">
        <v>0</v>
      </c>
      <c r="I703" s="44">
        <v>0</v>
      </c>
      <c r="J703" s="44">
        <v>0</v>
      </c>
      <c r="K703" s="44">
        <v>0</v>
      </c>
      <c r="L703" s="44">
        <v>0</v>
      </c>
      <c r="M703" s="44">
        <v>0</v>
      </c>
      <c r="N703" s="44">
        <v>0</v>
      </c>
      <c r="O703" s="44">
        <v>0</v>
      </c>
      <c r="P703" s="44">
        <v>0</v>
      </c>
      <c r="Q703" s="44">
        <v>0</v>
      </c>
      <c r="R703" s="44">
        <v>0</v>
      </c>
      <c r="S703" s="44">
        <v>0</v>
      </c>
      <c r="T703" s="44">
        <v>0</v>
      </c>
      <c r="U703" s="44">
        <v>0</v>
      </c>
      <c r="V703" s="44">
        <v>0</v>
      </c>
      <c r="W703" s="44">
        <v>0</v>
      </c>
      <c r="X703" s="44">
        <v>0</v>
      </c>
      <c r="Y703" s="44">
        <v>0</v>
      </c>
      <c r="Z703" s="39"/>
      <c r="AA703" s="41"/>
      <c r="AB703" s="42"/>
      <c r="AC703" s="42"/>
      <c r="AD703" s="43"/>
    </row>
    <row r="704" spans="1:30" ht="116.25" x14ac:dyDescent="0.25">
      <c r="A704" s="37" t="s">
        <v>1980</v>
      </c>
      <c r="B704" s="38" t="s">
        <v>1981</v>
      </c>
      <c r="C704" s="39" t="s">
        <v>843</v>
      </c>
      <c r="D704" s="39" t="s">
        <v>844</v>
      </c>
      <c r="E704" s="39" t="s">
        <v>46</v>
      </c>
      <c r="F704" s="40">
        <f>SUM(F705:F705)+1840</f>
        <v>1840</v>
      </c>
      <c r="G704" s="40">
        <f>SUM(G705:G705)+1840</f>
        <v>1840</v>
      </c>
      <c r="H704" s="40">
        <f t="shared" ref="H704:O704" si="529">SUM(H705:H705)</f>
        <v>0</v>
      </c>
      <c r="I704" s="40">
        <f t="shared" si="529"/>
        <v>0</v>
      </c>
      <c r="J704" s="40">
        <f t="shared" si="529"/>
        <v>0</v>
      </c>
      <c r="K704" s="40">
        <f t="shared" si="529"/>
        <v>0</v>
      </c>
      <c r="L704" s="40">
        <f t="shared" si="529"/>
        <v>0</v>
      </c>
      <c r="M704" s="40">
        <f t="shared" si="529"/>
        <v>0</v>
      </c>
      <c r="N704" s="40">
        <f t="shared" si="529"/>
        <v>0</v>
      </c>
      <c r="O704" s="40">
        <f t="shared" si="529"/>
        <v>0</v>
      </c>
      <c r="P704" s="40">
        <f>SUM(P705:P705)+1838.95</f>
        <v>1838.95</v>
      </c>
      <c r="Q704" s="40">
        <f>SUM(Q705:Q705)+1838.95</f>
        <v>1838.95</v>
      </c>
      <c r="R704" s="40">
        <f t="shared" ref="R704:Y704" si="530">SUM(R705:R705)</f>
        <v>0</v>
      </c>
      <c r="S704" s="40">
        <f t="shared" si="530"/>
        <v>0</v>
      </c>
      <c r="T704" s="40">
        <f t="shared" si="530"/>
        <v>0</v>
      </c>
      <c r="U704" s="40">
        <f t="shared" si="530"/>
        <v>0</v>
      </c>
      <c r="V704" s="40">
        <f t="shared" si="530"/>
        <v>0</v>
      </c>
      <c r="W704" s="40">
        <f t="shared" si="530"/>
        <v>0</v>
      </c>
      <c r="X704" s="40">
        <f t="shared" si="530"/>
        <v>0</v>
      </c>
      <c r="Y704" s="40">
        <f t="shared" si="530"/>
        <v>0</v>
      </c>
      <c r="Z704" s="39" t="s">
        <v>1947</v>
      </c>
      <c r="AA704" s="41" t="s">
        <v>41</v>
      </c>
      <c r="AB704" s="42" t="s">
        <v>42</v>
      </c>
      <c r="AC704" s="42" t="s">
        <v>57</v>
      </c>
      <c r="AD704" s="43" t="s">
        <v>1982</v>
      </c>
    </row>
    <row r="705" spans="1:30" ht="46.5" x14ac:dyDescent="0.25">
      <c r="A705" s="37" t="s">
        <v>1983</v>
      </c>
      <c r="B705" s="38" t="s">
        <v>1950</v>
      </c>
      <c r="C705" s="39"/>
      <c r="D705" s="39"/>
      <c r="E705" s="39"/>
      <c r="F705" s="44">
        <v>0</v>
      </c>
      <c r="G705" s="44">
        <v>0</v>
      </c>
      <c r="H705" s="44">
        <v>0</v>
      </c>
      <c r="I705" s="44">
        <v>0</v>
      </c>
      <c r="J705" s="44">
        <v>0</v>
      </c>
      <c r="K705" s="44">
        <v>0</v>
      </c>
      <c r="L705" s="44">
        <v>0</v>
      </c>
      <c r="M705" s="44">
        <v>0</v>
      </c>
      <c r="N705" s="44">
        <v>0</v>
      </c>
      <c r="O705" s="44">
        <v>0</v>
      </c>
      <c r="P705" s="44">
        <v>0</v>
      </c>
      <c r="Q705" s="44">
        <v>0</v>
      </c>
      <c r="R705" s="44">
        <v>0</v>
      </c>
      <c r="S705" s="44">
        <v>0</v>
      </c>
      <c r="T705" s="44">
        <v>0</v>
      </c>
      <c r="U705" s="44">
        <v>0</v>
      </c>
      <c r="V705" s="44">
        <v>0</v>
      </c>
      <c r="W705" s="44">
        <v>0</v>
      </c>
      <c r="X705" s="44">
        <v>0</v>
      </c>
      <c r="Y705" s="44">
        <v>0</v>
      </c>
      <c r="Z705" s="39"/>
      <c r="AA705" s="41"/>
      <c r="AB705" s="42"/>
      <c r="AC705" s="42"/>
      <c r="AD705" s="43"/>
    </row>
    <row r="706" spans="1:30" ht="69.75" x14ac:dyDescent="0.25">
      <c r="A706" s="37" t="s">
        <v>1984</v>
      </c>
      <c r="B706" s="38" t="s">
        <v>1985</v>
      </c>
      <c r="C706" s="39" t="s">
        <v>851</v>
      </c>
      <c r="D706" s="39" t="s">
        <v>852</v>
      </c>
      <c r="E706" s="39" t="s">
        <v>46</v>
      </c>
      <c r="F706" s="40">
        <f>SUM(F707:F707)+890</f>
        <v>890</v>
      </c>
      <c r="G706" s="40">
        <f>SUM(G707:G707)+890</f>
        <v>890</v>
      </c>
      <c r="H706" s="40">
        <f t="shared" ref="H706:O706" si="531">SUM(H707:H707)</f>
        <v>0</v>
      </c>
      <c r="I706" s="40">
        <f t="shared" si="531"/>
        <v>0</v>
      </c>
      <c r="J706" s="40">
        <f t="shared" si="531"/>
        <v>0</v>
      </c>
      <c r="K706" s="40">
        <f t="shared" si="531"/>
        <v>0</v>
      </c>
      <c r="L706" s="40">
        <f t="shared" si="531"/>
        <v>0</v>
      </c>
      <c r="M706" s="40">
        <f t="shared" si="531"/>
        <v>0</v>
      </c>
      <c r="N706" s="40">
        <f t="shared" si="531"/>
        <v>0</v>
      </c>
      <c r="O706" s="40">
        <f t="shared" si="531"/>
        <v>0</v>
      </c>
      <c r="P706" s="40">
        <f>SUM(P707:P707)+890</f>
        <v>890</v>
      </c>
      <c r="Q706" s="40">
        <f>SUM(Q707:Q707)+890</f>
        <v>890</v>
      </c>
      <c r="R706" s="40">
        <f t="shared" ref="R706:Y706" si="532">SUM(R707:R707)</f>
        <v>0</v>
      </c>
      <c r="S706" s="40">
        <f t="shared" si="532"/>
        <v>0</v>
      </c>
      <c r="T706" s="40">
        <f t="shared" si="532"/>
        <v>0</v>
      </c>
      <c r="U706" s="40">
        <f t="shared" si="532"/>
        <v>0</v>
      </c>
      <c r="V706" s="40">
        <f t="shared" si="532"/>
        <v>0</v>
      </c>
      <c r="W706" s="40">
        <f t="shared" si="532"/>
        <v>0</v>
      </c>
      <c r="X706" s="40">
        <f t="shared" si="532"/>
        <v>0</v>
      </c>
      <c r="Y706" s="40">
        <f t="shared" si="532"/>
        <v>0</v>
      </c>
      <c r="Z706" s="39" t="s">
        <v>1947</v>
      </c>
      <c r="AA706" s="41" t="s">
        <v>41</v>
      </c>
      <c r="AB706" s="42" t="s">
        <v>56</v>
      </c>
      <c r="AC706" s="42" t="s">
        <v>57</v>
      </c>
      <c r="AD706" s="43" t="s">
        <v>1986</v>
      </c>
    </row>
    <row r="707" spans="1:30" ht="46.5" x14ac:dyDescent="0.25">
      <c r="A707" s="37" t="s">
        <v>1987</v>
      </c>
      <c r="B707" s="38" t="s">
        <v>1950</v>
      </c>
      <c r="C707" s="39"/>
      <c r="D707" s="39"/>
      <c r="E707" s="39"/>
      <c r="F707" s="44">
        <v>0</v>
      </c>
      <c r="G707" s="44">
        <v>0</v>
      </c>
      <c r="H707" s="44">
        <v>0</v>
      </c>
      <c r="I707" s="44">
        <v>0</v>
      </c>
      <c r="J707" s="44">
        <v>0</v>
      </c>
      <c r="K707" s="44">
        <v>0</v>
      </c>
      <c r="L707" s="44">
        <v>0</v>
      </c>
      <c r="M707" s="44">
        <v>0</v>
      </c>
      <c r="N707" s="44">
        <v>0</v>
      </c>
      <c r="O707" s="44">
        <v>0</v>
      </c>
      <c r="P707" s="44">
        <v>0</v>
      </c>
      <c r="Q707" s="44">
        <v>0</v>
      </c>
      <c r="R707" s="44">
        <v>0</v>
      </c>
      <c r="S707" s="44">
        <v>0</v>
      </c>
      <c r="T707" s="44">
        <v>0</v>
      </c>
      <c r="U707" s="44">
        <v>0</v>
      </c>
      <c r="V707" s="44">
        <v>0</v>
      </c>
      <c r="W707" s="44">
        <v>0</v>
      </c>
      <c r="X707" s="44">
        <v>0</v>
      </c>
      <c r="Y707" s="44">
        <v>0</v>
      </c>
      <c r="Z707" s="39"/>
      <c r="AA707" s="41"/>
      <c r="AB707" s="42"/>
      <c r="AC707" s="42"/>
      <c r="AD707" s="43"/>
    </row>
    <row r="708" spans="1:30" ht="93" x14ac:dyDescent="0.25">
      <c r="A708" s="37" t="s">
        <v>1988</v>
      </c>
      <c r="B708" s="38" t="s">
        <v>1989</v>
      </c>
      <c r="C708" s="39" t="s">
        <v>161</v>
      </c>
      <c r="D708" s="39" t="s">
        <v>857</v>
      </c>
      <c r="E708" s="39" t="s">
        <v>46</v>
      </c>
      <c r="F708" s="40">
        <f>SUM(F709:F709)+2130</f>
        <v>2130</v>
      </c>
      <c r="G708" s="40">
        <f>SUM(G709:G709)+2130</f>
        <v>2130</v>
      </c>
      <c r="H708" s="40">
        <f t="shared" ref="H708:O708" si="533">SUM(H709:H709)</f>
        <v>0</v>
      </c>
      <c r="I708" s="40">
        <f t="shared" si="533"/>
        <v>0</v>
      </c>
      <c r="J708" s="40">
        <f t="shared" si="533"/>
        <v>0</v>
      </c>
      <c r="K708" s="40">
        <f t="shared" si="533"/>
        <v>0</v>
      </c>
      <c r="L708" s="40">
        <f t="shared" si="533"/>
        <v>0</v>
      </c>
      <c r="M708" s="40">
        <f t="shared" si="533"/>
        <v>0</v>
      </c>
      <c r="N708" s="40">
        <f t="shared" si="533"/>
        <v>0</v>
      </c>
      <c r="O708" s="40">
        <f t="shared" si="533"/>
        <v>0</v>
      </c>
      <c r="P708" s="40">
        <f>SUM(P709:P709)+2129.71</f>
        <v>2129.71</v>
      </c>
      <c r="Q708" s="40">
        <f>SUM(Q709:Q709)+2129.71</f>
        <v>2129.71</v>
      </c>
      <c r="R708" s="40">
        <f t="shared" ref="R708:Y708" si="534">SUM(R709:R709)</f>
        <v>0</v>
      </c>
      <c r="S708" s="40">
        <f t="shared" si="534"/>
        <v>0</v>
      </c>
      <c r="T708" s="40">
        <f t="shared" si="534"/>
        <v>0</v>
      </c>
      <c r="U708" s="40">
        <f t="shared" si="534"/>
        <v>0</v>
      </c>
      <c r="V708" s="40">
        <f t="shared" si="534"/>
        <v>0</v>
      </c>
      <c r="W708" s="40">
        <f t="shared" si="534"/>
        <v>0</v>
      </c>
      <c r="X708" s="40">
        <f t="shared" si="534"/>
        <v>0</v>
      </c>
      <c r="Y708" s="40">
        <f t="shared" si="534"/>
        <v>0</v>
      </c>
      <c r="Z708" s="39" t="s">
        <v>1947</v>
      </c>
      <c r="AA708" s="41" t="s">
        <v>41</v>
      </c>
      <c r="AB708" s="42" t="s">
        <v>56</v>
      </c>
      <c r="AC708" s="42" t="s">
        <v>57</v>
      </c>
      <c r="AD708" s="43" t="s">
        <v>1990</v>
      </c>
    </row>
    <row r="709" spans="1:30" ht="46.5" x14ac:dyDescent="0.25">
      <c r="A709" s="37" t="s">
        <v>1991</v>
      </c>
      <c r="B709" s="38" t="s">
        <v>1950</v>
      </c>
      <c r="C709" s="39"/>
      <c r="D709" s="39"/>
      <c r="E709" s="39"/>
      <c r="F709" s="44">
        <v>0</v>
      </c>
      <c r="G709" s="44">
        <v>0</v>
      </c>
      <c r="H709" s="44">
        <v>0</v>
      </c>
      <c r="I709" s="44">
        <v>0</v>
      </c>
      <c r="J709" s="44">
        <v>0</v>
      </c>
      <c r="K709" s="44">
        <v>0</v>
      </c>
      <c r="L709" s="44">
        <v>0</v>
      </c>
      <c r="M709" s="44">
        <v>0</v>
      </c>
      <c r="N709" s="44">
        <v>0</v>
      </c>
      <c r="O709" s="44">
        <v>0</v>
      </c>
      <c r="P709" s="44">
        <v>0</v>
      </c>
      <c r="Q709" s="44">
        <v>0</v>
      </c>
      <c r="R709" s="44">
        <v>0</v>
      </c>
      <c r="S709" s="44">
        <v>0</v>
      </c>
      <c r="T709" s="44">
        <v>0</v>
      </c>
      <c r="U709" s="44">
        <v>0</v>
      </c>
      <c r="V709" s="44">
        <v>0</v>
      </c>
      <c r="W709" s="44">
        <v>0</v>
      </c>
      <c r="X709" s="44">
        <v>0</v>
      </c>
      <c r="Y709" s="44">
        <v>0</v>
      </c>
      <c r="Z709" s="39"/>
      <c r="AA709" s="41"/>
      <c r="AB709" s="42"/>
      <c r="AC709" s="42"/>
      <c r="AD709" s="43"/>
    </row>
    <row r="710" spans="1:30" ht="69.75" x14ac:dyDescent="0.25">
      <c r="A710" s="37" t="s">
        <v>1992</v>
      </c>
      <c r="B710" s="38" t="s">
        <v>1993</v>
      </c>
      <c r="C710" s="39" t="s">
        <v>862</v>
      </c>
      <c r="D710" s="39" t="s">
        <v>863</v>
      </c>
      <c r="E710" s="39" t="s">
        <v>46</v>
      </c>
      <c r="F710" s="40">
        <f>SUM(F711:F711)+3640</f>
        <v>3640</v>
      </c>
      <c r="G710" s="40">
        <f>SUM(G711:G711)+3640</f>
        <v>3640</v>
      </c>
      <c r="H710" s="40">
        <f t="shared" ref="H710:O710" si="535">SUM(H711:H711)</f>
        <v>0</v>
      </c>
      <c r="I710" s="40">
        <f t="shared" si="535"/>
        <v>0</v>
      </c>
      <c r="J710" s="40">
        <f t="shared" si="535"/>
        <v>0</v>
      </c>
      <c r="K710" s="40">
        <f t="shared" si="535"/>
        <v>0</v>
      </c>
      <c r="L710" s="40">
        <f t="shared" si="535"/>
        <v>0</v>
      </c>
      <c r="M710" s="40">
        <f t="shared" si="535"/>
        <v>0</v>
      </c>
      <c r="N710" s="40">
        <f t="shared" si="535"/>
        <v>0</v>
      </c>
      <c r="O710" s="40">
        <f t="shared" si="535"/>
        <v>0</v>
      </c>
      <c r="P710" s="40">
        <f>SUM(P711:P711)+3640</f>
        <v>3640</v>
      </c>
      <c r="Q710" s="40">
        <f>SUM(Q711:Q711)+3640</f>
        <v>3640</v>
      </c>
      <c r="R710" s="40">
        <f t="shared" ref="R710:Y710" si="536">SUM(R711:R711)</f>
        <v>0</v>
      </c>
      <c r="S710" s="40">
        <f t="shared" si="536"/>
        <v>0</v>
      </c>
      <c r="T710" s="40">
        <f t="shared" si="536"/>
        <v>0</v>
      </c>
      <c r="U710" s="40">
        <f t="shared" si="536"/>
        <v>0</v>
      </c>
      <c r="V710" s="40">
        <f t="shared" si="536"/>
        <v>0</v>
      </c>
      <c r="W710" s="40">
        <f t="shared" si="536"/>
        <v>0</v>
      </c>
      <c r="X710" s="40">
        <f t="shared" si="536"/>
        <v>0</v>
      </c>
      <c r="Y710" s="40">
        <f t="shared" si="536"/>
        <v>0</v>
      </c>
      <c r="Z710" s="39" t="s">
        <v>1947</v>
      </c>
      <c r="AA710" s="41" t="s">
        <v>41</v>
      </c>
      <c r="AB710" s="42" t="s">
        <v>1496</v>
      </c>
      <c r="AC710" s="42" t="s">
        <v>1015</v>
      </c>
      <c r="AD710" s="43" t="s">
        <v>1978</v>
      </c>
    </row>
    <row r="711" spans="1:30" ht="46.5" x14ac:dyDescent="0.25">
      <c r="A711" s="37" t="s">
        <v>1994</v>
      </c>
      <c r="B711" s="38" t="s">
        <v>1950</v>
      </c>
      <c r="C711" s="39"/>
      <c r="D711" s="39"/>
      <c r="E711" s="39"/>
      <c r="F711" s="44">
        <v>0</v>
      </c>
      <c r="G711" s="44">
        <v>0</v>
      </c>
      <c r="H711" s="44">
        <v>0</v>
      </c>
      <c r="I711" s="44">
        <v>0</v>
      </c>
      <c r="J711" s="44">
        <v>0</v>
      </c>
      <c r="K711" s="44">
        <v>0</v>
      </c>
      <c r="L711" s="44">
        <v>0</v>
      </c>
      <c r="M711" s="44">
        <v>0</v>
      </c>
      <c r="N711" s="44">
        <v>0</v>
      </c>
      <c r="O711" s="44">
        <v>0</v>
      </c>
      <c r="P711" s="44">
        <v>0</v>
      </c>
      <c r="Q711" s="44">
        <v>0</v>
      </c>
      <c r="R711" s="44">
        <v>0</v>
      </c>
      <c r="S711" s="44">
        <v>0</v>
      </c>
      <c r="T711" s="44">
        <v>0</v>
      </c>
      <c r="U711" s="44">
        <v>0</v>
      </c>
      <c r="V711" s="44">
        <v>0</v>
      </c>
      <c r="W711" s="44">
        <v>0</v>
      </c>
      <c r="X711" s="44">
        <v>0</v>
      </c>
      <c r="Y711" s="44">
        <v>0</v>
      </c>
      <c r="Z711" s="39"/>
      <c r="AA711" s="41"/>
      <c r="AB711" s="42"/>
      <c r="AC711" s="42"/>
      <c r="AD711" s="43"/>
    </row>
    <row r="712" spans="1:30" ht="69.75" x14ac:dyDescent="0.25">
      <c r="A712" s="37" t="s">
        <v>1995</v>
      </c>
      <c r="B712" s="38" t="s">
        <v>1996</v>
      </c>
      <c r="C712" s="39" t="s">
        <v>868</v>
      </c>
      <c r="D712" s="39" t="s">
        <v>869</v>
      </c>
      <c r="E712" s="39" t="s">
        <v>46</v>
      </c>
      <c r="F712" s="40">
        <f>SUM(F713:F713)+830</f>
        <v>830</v>
      </c>
      <c r="G712" s="40">
        <f>SUM(G713:G713)+830</f>
        <v>830</v>
      </c>
      <c r="H712" s="40">
        <f t="shared" ref="H712:O712" si="537">SUM(H713:H713)</f>
        <v>0</v>
      </c>
      <c r="I712" s="40">
        <f t="shared" si="537"/>
        <v>0</v>
      </c>
      <c r="J712" s="40">
        <f t="shared" si="537"/>
        <v>0</v>
      </c>
      <c r="K712" s="40">
        <f t="shared" si="537"/>
        <v>0</v>
      </c>
      <c r="L712" s="40">
        <f t="shared" si="537"/>
        <v>0</v>
      </c>
      <c r="M712" s="40">
        <f t="shared" si="537"/>
        <v>0</v>
      </c>
      <c r="N712" s="40">
        <f t="shared" si="537"/>
        <v>0</v>
      </c>
      <c r="O712" s="40">
        <f t="shared" si="537"/>
        <v>0</v>
      </c>
      <c r="P712" s="40">
        <f>SUM(P713:P713)+830</f>
        <v>830</v>
      </c>
      <c r="Q712" s="40">
        <f>SUM(Q713:Q713)+830</f>
        <v>830</v>
      </c>
      <c r="R712" s="40">
        <f t="shared" ref="R712:Y712" si="538">SUM(R713:R713)</f>
        <v>0</v>
      </c>
      <c r="S712" s="40">
        <f t="shared" si="538"/>
        <v>0</v>
      </c>
      <c r="T712" s="40">
        <f t="shared" si="538"/>
        <v>0</v>
      </c>
      <c r="U712" s="40">
        <f t="shared" si="538"/>
        <v>0</v>
      </c>
      <c r="V712" s="40">
        <f t="shared" si="538"/>
        <v>0</v>
      </c>
      <c r="W712" s="40">
        <f t="shared" si="538"/>
        <v>0</v>
      </c>
      <c r="X712" s="40">
        <f t="shared" si="538"/>
        <v>0</v>
      </c>
      <c r="Y712" s="40">
        <f t="shared" si="538"/>
        <v>0</v>
      </c>
      <c r="Z712" s="39" t="s">
        <v>1947</v>
      </c>
      <c r="AA712" s="41" t="s">
        <v>41</v>
      </c>
      <c r="AB712" s="42" t="s">
        <v>49</v>
      </c>
      <c r="AC712" s="42" t="s">
        <v>178</v>
      </c>
      <c r="AD712" s="43" t="s">
        <v>1997</v>
      </c>
    </row>
    <row r="713" spans="1:30" ht="46.5" x14ac:dyDescent="0.25">
      <c r="A713" s="37" t="s">
        <v>1998</v>
      </c>
      <c r="B713" s="38" t="s">
        <v>1950</v>
      </c>
      <c r="C713" s="39"/>
      <c r="D713" s="39"/>
      <c r="E713" s="39"/>
      <c r="F713" s="44">
        <v>0</v>
      </c>
      <c r="G713" s="44">
        <v>0</v>
      </c>
      <c r="H713" s="44">
        <v>0</v>
      </c>
      <c r="I713" s="44">
        <v>0</v>
      </c>
      <c r="J713" s="44">
        <v>0</v>
      </c>
      <c r="K713" s="44">
        <v>0</v>
      </c>
      <c r="L713" s="44">
        <v>0</v>
      </c>
      <c r="M713" s="44">
        <v>0</v>
      </c>
      <c r="N713" s="44">
        <v>0</v>
      </c>
      <c r="O713" s="44">
        <v>0</v>
      </c>
      <c r="P713" s="44">
        <v>0</v>
      </c>
      <c r="Q713" s="44">
        <v>0</v>
      </c>
      <c r="R713" s="44">
        <v>0</v>
      </c>
      <c r="S713" s="44">
        <v>0</v>
      </c>
      <c r="T713" s="44">
        <v>0</v>
      </c>
      <c r="U713" s="44">
        <v>0</v>
      </c>
      <c r="V713" s="44">
        <v>0</v>
      </c>
      <c r="W713" s="44">
        <v>0</v>
      </c>
      <c r="X713" s="44">
        <v>0</v>
      </c>
      <c r="Y713" s="44">
        <v>0</v>
      </c>
      <c r="Z713" s="39"/>
      <c r="AA713" s="41"/>
      <c r="AB713" s="42"/>
      <c r="AC713" s="42"/>
      <c r="AD713" s="43"/>
    </row>
    <row r="714" spans="1:30" ht="67.5" x14ac:dyDescent="0.25">
      <c r="A714" s="30" t="s">
        <v>1999</v>
      </c>
      <c r="B714" s="31" t="s">
        <v>2000</v>
      </c>
      <c r="C714" s="32" t="s">
        <v>1541</v>
      </c>
      <c r="D714" s="32" t="s">
        <v>1544</v>
      </c>
      <c r="E714" s="32" t="s">
        <v>39</v>
      </c>
      <c r="F714" s="33">
        <f t="shared" ref="F714:Y714" si="539">SUM(F715:F715)</f>
        <v>5064.45</v>
      </c>
      <c r="G714" s="33">
        <f t="shared" si="539"/>
        <v>5064.45</v>
      </c>
      <c r="H714" s="33">
        <f t="shared" si="539"/>
        <v>0</v>
      </c>
      <c r="I714" s="33">
        <f t="shared" si="539"/>
        <v>0</v>
      </c>
      <c r="J714" s="33">
        <f t="shared" si="539"/>
        <v>0</v>
      </c>
      <c r="K714" s="33">
        <f t="shared" si="539"/>
        <v>0</v>
      </c>
      <c r="L714" s="33">
        <f t="shared" si="539"/>
        <v>0</v>
      </c>
      <c r="M714" s="33">
        <f t="shared" si="539"/>
        <v>0</v>
      </c>
      <c r="N714" s="33">
        <f t="shared" si="539"/>
        <v>0</v>
      </c>
      <c r="O714" s="33">
        <f t="shared" si="539"/>
        <v>0</v>
      </c>
      <c r="P714" s="33">
        <f t="shared" si="539"/>
        <v>5064.33</v>
      </c>
      <c r="Q714" s="33">
        <f t="shared" si="539"/>
        <v>5064.33</v>
      </c>
      <c r="R714" s="33">
        <f t="shared" si="539"/>
        <v>0</v>
      </c>
      <c r="S714" s="33">
        <f t="shared" si="539"/>
        <v>0</v>
      </c>
      <c r="T714" s="33">
        <f t="shared" si="539"/>
        <v>0</v>
      </c>
      <c r="U714" s="33">
        <f t="shared" si="539"/>
        <v>0</v>
      </c>
      <c r="V714" s="33">
        <f t="shared" si="539"/>
        <v>0</v>
      </c>
      <c r="W714" s="33">
        <f t="shared" si="539"/>
        <v>0</v>
      </c>
      <c r="X714" s="33">
        <f t="shared" si="539"/>
        <v>0</v>
      </c>
      <c r="Y714" s="33">
        <f t="shared" si="539"/>
        <v>0</v>
      </c>
      <c r="Z714" s="32" t="s">
        <v>2001</v>
      </c>
      <c r="AA714" s="34" t="s">
        <v>41</v>
      </c>
      <c r="AB714" s="35" t="s">
        <v>56</v>
      </c>
      <c r="AC714" s="35" t="s">
        <v>83</v>
      </c>
      <c r="AD714" s="36" t="s">
        <v>2002</v>
      </c>
    </row>
    <row r="715" spans="1:30" ht="46.5" x14ac:dyDescent="0.25">
      <c r="A715" s="37" t="s">
        <v>2003</v>
      </c>
      <c r="B715" s="38" t="s">
        <v>2004</v>
      </c>
      <c r="C715" s="39" t="s">
        <v>1541</v>
      </c>
      <c r="D715" s="39" t="s">
        <v>1645</v>
      </c>
      <c r="E715" s="39" t="s">
        <v>46</v>
      </c>
      <c r="F715" s="40">
        <f>SUM(F716:F716)+5064.45</f>
        <v>5064.45</v>
      </c>
      <c r="G715" s="40">
        <f>SUM(G716:G716)+5064.45</f>
        <v>5064.45</v>
      </c>
      <c r="H715" s="40">
        <f t="shared" ref="H715:O715" si="540">SUM(H716:H716)</f>
        <v>0</v>
      </c>
      <c r="I715" s="40">
        <f t="shared" si="540"/>
        <v>0</v>
      </c>
      <c r="J715" s="40">
        <f t="shared" si="540"/>
        <v>0</v>
      </c>
      <c r="K715" s="40">
        <f t="shared" si="540"/>
        <v>0</v>
      </c>
      <c r="L715" s="40">
        <f t="shared" si="540"/>
        <v>0</v>
      </c>
      <c r="M715" s="40">
        <f t="shared" si="540"/>
        <v>0</v>
      </c>
      <c r="N715" s="40">
        <f t="shared" si="540"/>
        <v>0</v>
      </c>
      <c r="O715" s="40">
        <f t="shared" si="540"/>
        <v>0</v>
      </c>
      <c r="P715" s="40">
        <f>SUM(P716:P716)+5064.33</f>
        <v>5064.33</v>
      </c>
      <c r="Q715" s="40">
        <f>SUM(Q716:Q716)+5064.33</f>
        <v>5064.33</v>
      </c>
      <c r="R715" s="40">
        <f t="shared" ref="R715:Y715" si="541">SUM(R716:R716)</f>
        <v>0</v>
      </c>
      <c r="S715" s="40">
        <f t="shared" si="541"/>
        <v>0</v>
      </c>
      <c r="T715" s="40">
        <f t="shared" si="541"/>
        <v>0</v>
      </c>
      <c r="U715" s="40">
        <f t="shared" si="541"/>
        <v>0</v>
      </c>
      <c r="V715" s="40">
        <f t="shared" si="541"/>
        <v>0</v>
      </c>
      <c r="W715" s="40">
        <f t="shared" si="541"/>
        <v>0</v>
      </c>
      <c r="X715" s="40">
        <f t="shared" si="541"/>
        <v>0</v>
      </c>
      <c r="Y715" s="40">
        <f t="shared" si="541"/>
        <v>0</v>
      </c>
      <c r="Z715" s="39" t="s">
        <v>2005</v>
      </c>
      <c r="AA715" s="41" t="s">
        <v>41</v>
      </c>
      <c r="AB715" s="42" t="s">
        <v>56</v>
      </c>
      <c r="AC715" s="42" t="s">
        <v>83</v>
      </c>
      <c r="AD715" s="43" t="s">
        <v>2002</v>
      </c>
    </row>
    <row r="716" spans="1:30" ht="46.5" x14ac:dyDescent="0.25">
      <c r="A716" s="37" t="s">
        <v>2006</v>
      </c>
      <c r="B716" s="38" t="s">
        <v>2007</v>
      </c>
      <c r="C716" s="39"/>
      <c r="D716" s="39"/>
      <c r="E716" s="39"/>
      <c r="F716" s="44">
        <v>0</v>
      </c>
      <c r="G716" s="44">
        <v>0</v>
      </c>
      <c r="H716" s="44">
        <v>0</v>
      </c>
      <c r="I716" s="44">
        <v>0</v>
      </c>
      <c r="J716" s="44">
        <v>0</v>
      </c>
      <c r="K716" s="44">
        <v>0</v>
      </c>
      <c r="L716" s="44">
        <v>0</v>
      </c>
      <c r="M716" s="44">
        <v>0</v>
      </c>
      <c r="N716" s="44">
        <v>0</v>
      </c>
      <c r="O716" s="44">
        <v>0</v>
      </c>
      <c r="P716" s="44">
        <v>0</v>
      </c>
      <c r="Q716" s="44">
        <v>0</v>
      </c>
      <c r="R716" s="44">
        <v>0</v>
      </c>
      <c r="S716" s="44">
        <v>0</v>
      </c>
      <c r="T716" s="44">
        <v>0</v>
      </c>
      <c r="U716" s="44">
        <v>0</v>
      </c>
      <c r="V716" s="44">
        <v>0</v>
      </c>
      <c r="W716" s="44">
        <v>0</v>
      </c>
      <c r="X716" s="44">
        <v>0</v>
      </c>
      <c r="Y716" s="44">
        <v>0</v>
      </c>
      <c r="Z716" s="39"/>
      <c r="AA716" s="41"/>
      <c r="AB716" s="42"/>
      <c r="AC716" s="42"/>
      <c r="AD716" s="43"/>
    </row>
    <row r="717" spans="1:30" ht="45" x14ac:dyDescent="0.25">
      <c r="A717" s="30" t="s">
        <v>2008</v>
      </c>
      <c r="B717" s="31" t="s">
        <v>2009</v>
      </c>
      <c r="C717" s="32" t="s">
        <v>1541</v>
      </c>
      <c r="D717" s="32" t="s">
        <v>1544</v>
      </c>
      <c r="E717" s="32" t="s">
        <v>39</v>
      </c>
      <c r="F717" s="33">
        <f t="shared" ref="F717:Y717" si="542">F718+F720+F722+F724+F726+F728+F730+F732+F734+F736+F738+F740+F742</f>
        <v>126613.24</v>
      </c>
      <c r="G717" s="33">
        <f t="shared" si="542"/>
        <v>3350</v>
      </c>
      <c r="H717" s="33">
        <f t="shared" si="542"/>
        <v>114419.24</v>
      </c>
      <c r="I717" s="33">
        <f t="shared" si="542"/>
        <v>0</v>
      </c>
      <c r="J717" s="33">
        <f t="shared" si="542"/>
        <v>3744</v>
      </c>
      <c r="K717" s="33">
        <f t="shared" si="542"/>
        <v>0</v>
      </c>
      <c r="L717" s="33">
        <f t="shared" si="542"/>
        <v>0</v>
      </c>
      <c r="M717" s="33">
        <f t="shared" si="542"/>
        <v>5100</v>
      </c>
      <c r="N717" s="33">
        <f t="shared" si="542"/>
        <v>0</v>
      </c>
      <c r="O717" s="33">
        <f t="shared" si="542"/>
        <v>0</v>
      </c>
      <c r="P717" s="33">
        <f t="shared" si="542"/>
        <v>94911.23000000001</v>
      </c>
      <c r="Q717" s="33">
        <f t="shared" si="542"/>
        <v>3350</v>
      </c>
      <c r="R717" s="33">
        <f t="shared" si="542"/>
        <v>40105.31</v>
      </c>
      <c r="S717" s="33">
        <f t="shared" si="542"/>
        <v>0</v>
      </c>
      <c r="T717" s="33">
        <f t="shared" si="542"/>
        <v>0</v>
      </c>
      <c r="U717" s="33">
        <f t="shared" si="542"/>
        <v>0</v>
      </c>
      <c r="V717" s="33">
        <f t="shared" si="542"/>
        <v>0</v>
      </c>
      <c r="W717" s="33">
        <f t="shared" si="542"/>
        <v>0</v>
      </c>
      <c r="X717" s="33">
        <f t="shared" si="542"/>
        <v>0</v>
      </c>
      <c r="Y717" s="33">
        <f t="shared" si="542"/>
        <v>0</v>
      </c>
      <c r="Z717" s="32" t="s">
        <v>2010</v>
      </c>
      <c r="AA717" s="34" t="s">
        <v>41</v>
      </c>
      <c r="AB717" s="35" t="s">
        <v>42</v>
      </c>
      <c r="AC717" s="35" t="s">
        <v>57</v>
      </c>
      <c r="AD717" s="36" t="s">
        <v>2011</v>
      </c>
    </row>
    <row r="718" spans="1:30" ht="46.5" x14ac:dyDescent="0.25">
      <c r="A718" s="37" t="s">
        <v>2012</v>
      </c>
      <c r="B718" s="38" t="s">
        <v>2013</v>
      </c>
      <c r="C718" s="39" t="s">
        <v>911</v>
      </c>
      <c r="D718" s="39" t="s">
        <v>933</v>
      </c>
      <c r="E718" s="39" t="s">
        <v>46</v>
      </c>
      <c r="F718" s="40">
        <f>SUM(F719:F719)+3744</f>
        <v>3744</v>
      </c>
      <c r="G718" s="40">
        <f>SUM(G719:G719)</f>
        <v>0</v>
      </c>
      <c r="H718" s="40">
        <f>SUM(H719:H719)</f>
        <v>0</v>
      </c>
      <c r="I718" s="40">
        <f>SUM(I719:I719)</f>
        <v>0</v>
      </c>
      <c r="J718" s="40">
        <f>SUM(J719:J719)+3744</f>
        <v>3744</v>
      </c>
      <c r="K718" s="40">
        <f>SUM(K719:K719)</f>
        <v>0</v>
      </c>
      <c r="L718" s="40">
        <f>SUM(L719:L719)</f>
        <v>0</v>
      </c>
      <c r="M718" s="40">
        <f>SUM(M719:M719)</f>
        <v>0</v>
      </c>
      <c r="N718" s="40">
        <f>SUM(N719:N719)</f>
        <v>0</v>
      </c>
      <c r="O718" s="40">
        <f>SUM(O719:O719)</f>
        <v>0</v>
      </c>
      <c r="P718" s="40">
        <f>SUM(P719:P719)+2646.69</f>
        <v>2646.69</v>
      </c>
      <c r="Q718" s="40">
        <f t="shared" ref="Q718:Y718" si="543">SUM(Q719:Q719)</f>
        <v>0</v>
      </c>
      <c r="R718" s="40">
        <f t="shared" si="543"/>
        <v>0</v>
      </c>
      <c r="S718" s="40">
        <f t="shared" si="543"/>
        <v>0</v>
      </c>
      <c r="T718" s="40">
        <f t="shared" si="543"/>
        <v>0</v>
      </c>
      <c r="U718" s="40">
        <f t="shared" si="543"/>
        <v>0</v>
      </c>
      <c r="V718" s="40">
        <f t="shared" si="543"/>
        <v>0</v>
      </c>
      <c r="W718" s="40">
        <f t="shared" si="543"/>
        <v>0</v>
      </c>
      <c r="X718" s="40">
        <f t="shared" si="543"/>
        <v>0</v>
      </c>
      <c r="Y718" s="40">
        <f t="shared" si="543"/>
        <v>0</v>
      </c>
      <c r="Z718" s="39" t="s">
        <v>2014</v>
      </c>
      <c r="AA718" s="41" t="s">
        <v>41</v>
      </c>
      <c r="AB718" s="42" t="s">
        <v>107</v>
      </c>
      <c r="AC718" s="42" t="s">
        <v>85</v>
      </c>
      <c r="AD718" s="43" t="s">
        <v>2015</v>
      </c>
    </row>
    <row r="719" spans="1:30" ht="46.5" x14ac:dyDescent="0.25">
      <c r="A719" s="37" t="s">
        <v>2016</v>
      </c>
      <c r="B719" s="38" t="s">
        <v>2017</v>
      </c>
      <c r="C719" s="39"/>
      <c r="D719" s="39"/>
      <c r="E719" s="39"/>
      <c r="F719" s="44">
        <v>0</v>
      </c>
      <c r="G719" s="44">
        <v>0</v>
      </c>
      <c r="H719" s="44">
        <v>0</v>
      </c>
      <c r="I719" s="44">
        <v>0</v>
      </c>
      <c r="J719" s="44">
        <v>0</v>
      </c>
      <c r="K719" s="44">
        <v>0</v>
      </c>
      <c r="L719" s="44">
        <v>0</v>
      </c>
      <c r="M719" s="44">
        <v>0</v>
      </c>
      <c r="N719" s="44">
        <v>0</v>
      </c>
      <c r="O719" s="44">
        <v>0</v>
      </c>
      <c r="P719" s="44">
        <v>0</v>
      </c>
      <c r="Q719" s="44">
        <v>0</v>
      </c>
      <c r="R719" s="44">
        <v>0</v>
      </c>
      <c r="S719" s="44">
        <v>0</v>
      </c>
      <c r="T719" s="44">
        <v>0</v>
      </c>
      <c r="U719" s="44">
        <v>0</v>
      </c>
      <c r="V719" s="44">
        <v>0</v>
      </c>
      <c r="W719" s="44">
        <v>0</v>
      </c>
      <c r="X719" s="44">
        <v>0</v>
      </c>
      <c r="Y719" s="44">
        <v>0</v>
      </c>
      <c r="Z719" s="39"/>
      <c r="AA719" s="41"/>
      <c r="AB719" s="42"/>
      <c r="AC719" s="42"/>
      <c r="AD719" s="43"/>
    </row>
    <row r="720" spans="1:30" ht="46.5" x14ac:dyDescent="0.25">
      <c r="A720" s="37" t="s">
        <v>2018</v>
      </c>
      <c r="B720" s="38" t="s">
        <v>2019</v>
      </c>
      <c r="C720" s="39" t="s">
        <v>1541</v>
      </c>
      <c r="D720" s="39" t="s">
        <v>1544</v>
      </c>
      <c r="E720" s="39" t="s">
        <v>46</v>
      </c>
      <c r="F720" s="40">
        <f t="shared" ref="F720:Y720" si="544">SUM(F721:F721)</f>
        <v>0</v>
      </c>
      <c r="G720" s="40">
        <f t="shared" si="544"/>
        <v>0</v>
      </c>
      <c r="H720" s="40">
        <f t="shared" si="544"/>
        <v>0</v>
      </c>
      <c r="I720" s="40">
        <f t="shared" si="544"/>
        <v>0</v>
      </c>
      <c r="J720" s="40">
        <f t="shared" si="544"/>
        <v>0</v>
      </c>
      <c r="K720" s="40">
        <f t="shared" si="544"/>
        <v>0</v>
      </c>
      <c r="L720" s="40">
        <f t="shared" si="544"/>
        <v>0</v>
      </c>
      <c r="M720" s="40">
        <f t="shared" si="544"/>
        <v>0</v>
      </c>
      <c r="N720" s="40">
        <f t="shared" si="544"/>
        <v>0</v>
      </c>
      <c r="O720" s="40">
        <f t="shared" si="544"/>
        <v>0</v>
      </c>
      <c r="P720" s="40">
        <f t="shared" si="544"/>
        <v>0</v>
      </c>
      <c r="Q720" s="40">
        <f t="shared" si="544"/>
        <v>0</v>
      </c>
      <c r="R720" s="40">
        <f t="shared" si="544"/>
        <v>0</v>
      </c>
      <c r="S720" s="40">
        <f t="shared" si="544"/>
        <v>0</v>
      </c>
      <c r="T720" s="40">
        <f t="shared" si="544"/>
        <v>0</v>
      </c>
      <c r="U720" s="40">
        <f t="shared" si="544"/>
        <v>0</v>
      </c>
      <c r="V720" s="40">
        <f t="shared" si="544"/>
        <v>0</v>
      </c>
      <c r="W720" s="40">
        <f t="shared" si="544"/>
        <v>0</v>
      </c>
      <c r="X720" s="40">
        <f t="shared" si="544"/>
        <v>0</v>
      </c>
      <c r="Y720" s="40">
        <f t="shared" si="544"/>
        <v>0</v>
      </c>
      <c r="Z720" s="39" t="s">
        <v>2020</v>
      </c>
      <c r="AA720" s="41" t="s">
        <v>41</v>
      </c>
      <c r="AB720" s="42" t="s">
        <v>57</v>
      </c>
      <c r="AC720" s="42" t="s">
        <v>57</v>
      </c>
      <c r="AD720" s="43"/>
    </row>
    <row r="721" spans="1:30" ht="69.75" x14ac:dyDescent="0.25">
      <c r="A721" s="37" t="s">
        <v>2021</v>
      </c>
      <c r="B721" s="38" t="s">
        <v>2022</v>
      </c>
      <c r="C721" s="39"/>
      <c r="D721" s="39"/>
      <c r="E721" s="39"/>
      <c r="F721" s="44">
        <v>0</v>
      </c>
      <c r="G721" s="44">
        <v>0</v>
      </c>
      <c r="H721" s="44">
        <v>0</v>
      </c>
      <c r="I721" s="44">
        <v>0</v>
      </c>
      <c r="J721" s="44">
        <v>0</v>
      </c>
      <c r="K721" s="44">
        <v>0</v>
      </c>
      <c r="L721" s="44">
        <v>0</v>
      </c>
      <c r="M721" s="44">
        <v>0</v>
      </c>
      <c r="N721" s="44">
        <v>0</v>
      </c>
      <c r="O721" s="44">
        <v>0</v>
      </c>
      <c r="P721" s="44">
        <v>0</v>
      </c>
      <c r="Q721" s="44">
        <v>0</v>
      </c>
      <c r="R721" s="44">
        <v>0</v>
      </c>
      <c r="S721" s="44">
        <v>0</v>
      </c>
      <c r="T721" s="44">
        <v>0</v>
      </c>
      <c r="U721" s="44">
        <v>0</v>
      </c>
      <c r="V721" s="44">
        <v>0</v>
      </c>
      <c r="W721" s="44">
        <v>0</v>
      </c>
      <c r="X721" s="44">
        <v>0</v>
      </c>
      <c r="Y721" s="44">
        <v>0</v>
      </c>
      <c r="Z721" s="39"/>
      <c r="AA721" s="41"/>
      <c r="AB721" s="42"/>
      <c r="AC721" s="42"/>
      <c r="AD721" s="43"/>
    </row>
    <row r="722" spans="1:30" ht="46.5" x14ac:dyDescent="0.25">
      <c r="A722" s="37" t="s">
        <v>2023</v>
      </c>
      <c r="B722" s="38" t="s">
        <v>2024</v>
      </c>
      <c r="C722" s="39" t="s">
        <v>862</v>
      </c>
      <c r="D722" s="39" t="s">
        <v>863</v>
      </c>
      <c r="E722" s="39"/>
      <c r="F722" s="40">
        <f>SUM(F723:F723)+55099.56</f>
        <v>55099.56</v>
      </c>
      <c r="G722" s="40">
        <f>SUM(G723:G723)</f>
        <v>0</v>
      </c>
      <c r="H722" s="40">
        <f>SUM(H723:H723)+55099.56</f>
        <v>55099.56</v>
      </c>
      <c r="I722" s="40">
        <f t="shared" ref="I722:O722" si="545">SUM(I723:I723)</f>
        <v>0</v>
      </c>
      <c r="J722" s="40">
        <f t="shared" si="545"/>
        <v>0</v>
      </c>
      <c r="K722" s="40">
        <f t="shared" si="545"/>
        <v>0</v>
      </c>
      <c r="L722" s="40">
        <f t="shared" si="545"/>
        <v>0</v>
      </c>
      <c r="M722" s="40">
        <f t="shared" si="545"/>
        <v>0</v>
      </c>
      <c r="N722" s="40">
        <f t="shared" si="545"/>
        <v>0</v>
      </c>
      <c r="O722" s="40">
        <f t="shared" si="545"/>
        <v>0</v>
      </c>
      <c r="P722" s="40">
        <f>SUM(P723:P723)+55098.57</f>
        <v>55098.57</v>
      </c>
      <c r="Q722" s="40">
        <f>SUM(Q723:Q723)</f>
        <v>0</v>
      </c>
      <c r="R722" s="40">
        <f>SUM(R723:R723)+19999.03</f>
        <v>19999.03</v>
      </c>
      <c r="S722" s="40">
        <f t="shared" ref="S722:Y722" si="546">SUM(S723:S723)</f>
        <v>0</v>
      </c>
      <c r="T722" s="40">
        <f t="shared" si="546"/>
        <v>0</v>
      </c>
      <c r="U722" s="40">
        <f t="shared" si="546"/>
        <v>0</v>
      </c>
      <c r="V722" s="40">
        <f t="shared" si="546"/>
        <v>0</v>
      </c>
      <c r="W722" s="40">
        <f t="shared" si="546"/>
        <v>0</v>
      </c>
      <c r="X722" s="40">
        <f t="shared" si="546"/>
        <v>0</v>
      </c>
      <c r="Y722" s="40">
        <f t="shared" si="546"/>
        <v>0</v>
      </c>
      <c r="Z722" s="39" t="s">
        <v>2020</v>
      </c>
      <c r="AA722" s="41" t="s">
        <v>41</v>
      </c>
      <c r="AB722" s="42" t="s">
        <v>82</v>
      </c>
      <c r="AC722" s="42" t="s">
        <v>82</v>
      </c>
      <c r="AD722" s="43"/>
    </row>
    <row r="723" spans="1:30" ht="46.5" x14ac:dyDescent="0.25">
      <c r="A723" s="37" t="s">
        <v>2025</v>
      </c>
      <c r="B723" s="38" t="s">
        <v>2026</v>
      </c>
      <c r="C723" s="39"/>
      <c r="D723" s="39"/>
      <c r="E723" s="39"/>
      <c r="F723" s="44">
        <v>0</v>
      </c>
      <c r="G723" s="44">
        <v>0</v>
      </c>
      <c r="H723" s="44">
        <v>0</v>
      </c>
      <c r="I723" s="44">
        <v>0</v>
      </c>
      <c r="J723" s="44">
        <v>0</v>
      </c>
      <c r="K723" s="44">
        <v>0</v>
      </c>
      <c r="L723" s="44">
        <v>0</v>
      </c>
      <c r="M723" s="44">
        <v>0</v>
      </c>
      <c r="N723" s="44">
        <v>0</v>
      </c>
      <c r="O723" s="44">
        <v>0</v>
      </c>
      <c r="P723" s="44">
        <v>0</v>
      </c>
      <c r="Q723" s="44">
        <v>0</v>
      </c>
      <c r="R723" s="44">
        <v>0</v>
      </c>
      <c r="S723" s="44">
        <v>0</v>
      </c>
      <c r="T723" s="44">
        <v>0</v>
      </c>
      <c r="U723" s="44">
        <v>0</v>
      </c>
      <c r="V723" s="44">
        <v>0</v>
      </c>
      <c r="W723" s="44">
        <v>0</v>
      </c>
      <c r="X723" s="44">
        <v>0</v>
      </c>
      <c r="Y723" s="44">
        <v>0</v>
      </c>
      <c r="Z723" s="39"/>
      <c r="AA723" s="41"/>
      <c r="AB723" s="42"/>
      <c r="AC723" s="42"/>
      <c r="AD723" s="43"/>
    </row>
    <row r="724" spans="1:30" ht="46.5" x14ac:dyDescent="0.25">
      <c r="A724" s="37" t="s">
        <v>2027</v>
      </c>
      <c r="B724" s="38" t="s">
        <v>2028</v>
      </c>
      <c r="C724" s="39" t="s">
        <v>799</v>
      </c>
      <c r="D724" s="39" t="s">
        <v>800</v>
      </c>
      <c r="E724" s="39" t="s">
        <v>46</v>
      </c>
      <c r="F724" s="40">
        <f>SUM(F725:F725)+8261.93</f>
        <v>8261.93</v>
      </c>
      <c r="G724" s="40">
        <f>SUM(G725:G725)</f>
        <v>0</v>
      </c>
      <c r="H724" s="40">
        <f>SUM(H725:H725)+8261.93</f>
        <v>8261.93</v>
      </c>
      <c r="I724" s="40">
        <f t="shared" ref="I724:O724" si="547">SUM(I725:I725)</f>
        <v>0</v>
      </c>
      <c r="J724" s="40">
        <f t="shared" si="547"/>
        <v>0</v>
      </c>
      <c r="K724" s="40">
        <f t="shared" si="547"/>
        <v>0</v>
      </c>
      <c r="L724" s="40">
        <f t="shared" si="547"/>
        <v>0</v>
      </c>
      <c r="M724" s="40">
        <f t="shared" si="547"/>
        <v>0</v>
      </c>
      <c r="N724" s="40">
        <f t="shared" si="547"/>
        <v>0</v>
      </c>
      <c r="O724" s="40">
        <f t="shared" si="547"/>
        <v>0</v>
      </c>
      <c r="P724" s="40">
        <f>SUM(P725:P725)+5235.62</f>
        <v>5235.62</v>
      </c>
      <c r="Q724" s="40">
        <f>SUM(Q725:Q725)</f>
        <v>0</v>
      </c>
      <c r="R724" s="40">
        <f>SUM(R725:R725)+2973.69</f>
        <v>2973.69</v>
      </c>
      <c r="S724" s="40">
        <f t="shared" ref="S724:Y724" si="548">SUM(S725:S725)</f>
        <v>0</v>
      </c>
      <c r="T724" s="40">
        <f t="shared" si="548"/>
        <v>0</v>
      </c>
      <c r="U724" s="40">
        <f t="shared" si="548"/>
        <v>0</v>
      </c>
      <c r="V724" s="40">
        <f t="shared" si="548"/>
        <v>0</v>
      </c>
      <c r="W724" s="40">
        <f t="shared" si="548"/>
        <v>0</v>
      </c>
      <c r="X724" s="40">
        <f t="shared" si="548"/>
        <v>0</v>
      </c>
      <c r="Y724" s="40">
        <f t="shared" si="548"/>
        <v>0</v>
      </c>
      <c r="Z724" s="39" t="s">
        <v>2020</v>
      </c>
      <c r="AA724" s="41" t="s">
        <v>41</v>
      </c>
      <c r="AB724" s="42" t="s">
        <v>56</v>
      </c>
      <c r="AC724" s="42" t="s">
        <v>56</v>
      </c>
      <c r="AD724" s="43"/>
    </row>
    <row r="725" spans="1:30" ht="46.5" x14ac:dyDescent="0.25">
      <c r="A725" s="37" t="s">
        <v>2029</v>
      </c>
      <c r="B725" s="38" t="s">
        <v>2026</v>
      </c>
      <c r="C725" s="39"/>
      <c r="D725" s="39"/>
      <c r="E725" s="39"/>
      <c r="F725" s="44">
        <v>0</v>
      </c>
      <c r="G725" s="44">
        <v>0</v>
      </c>
      <c r="H725" s="44">
        <v>0</v>
      </c>
      <c r="I725" s="44">
        <v>0</v>
      </c>
      <c r="J725" s="44">
        <v>0</v>
      </c>
      <c r="K725" s="44">
        <v>0</v>
      </c>
      <c r="L725" s="44">
        <v>0</v>
      </c>
      <c r="M725" s="44">
        <v>0</v>
      </c>
      <c r="N725" s="44">
        <v>0</v>
      </c>
      <c r="O725" s="44">
        <v>0</v>
      </c>
      <c r="P725" s="44">
        <v>0</v>
      </c>
      <c r="Q725" s="44">
        <v>0</v>
      </c>
      <c r="R725" s="44">
        <v>0</v>
      </c>
      <c r="S725" s="44">
        <v>0</v>
      </c>
      <c r="T725" s="44">
        <v>0</v>
      </c>
      <c r="U725" s="44">
        <v>0</v>
      </c>
      <c r="V725" s="44">
        <v>0</v>
      </c>
      <c r="W725" s="44">
        <v>0</v>
      </c>
      <c r="X725" s="44">
        <v>0</v>
      </c>
      <c r="Y725" s="44">
        <v>0</v>
      </c>
      <c r="Z725" s="39"/>
      <c r="AA725" s="41"/>
      <c r="AB725" s="42"/>
      <c r="AC725" s="42"/>
      <c r="AD725" s="43"/>
    </row>
    <row r="726" spans="1:30" ht="69.75" x14ac:dyDescent="0.25">
      <c r="A726" s="37" t="s">
        <v>2030</v>
      </c>
      <c r="B726" s="38" t="s">
        <v>2031</v>
      </c>
      <c r="C726" s="39" t="s">
        <v>136</v>
      </c>
      <c r="D726" s="39" t="s">
        <v>805</v>
      </c>
      <c r="E726" s="39"/>
      <c r="F726" s="40">
        <f>SUM(F727:F727)+7360.03</f>
        <v>7360.03</v>
      </c>
      <c r="G726" s="40">
        <f>SUM(G727:G727)</f>
        <v>0</v>
      </c>
      <c r="H726" s="40">
        <f>SUM(H727:H727)+7360.03</f>
        <v>7360.03</v>
      </c>
      <c r="I726" s="40">
        <f t="shared" ref="I726:O726" si="549">SUM(I727:I727)</f>
        <v>0</v>
      </c>
      <c r="J726" s="40">
        <f t="shared" si="549"/>
        <v>0</v>
      </c>
      <c r="K726" s="40">
        <f t="shared" si="549"/>
        <v>0</v>
      </c>
      <c r="L726" s="40">
        <f t="shared" si="549"/>
        <v>0</v>
      </c>
      <c r="M726" s="40">
        <f t="shared" si="549"/>
        <v>0</v>
      </c>
      <c r="N726" s="40">
        <f t="shared" si="549"/>
        <v>0</v>
      </c>
      <c r="O726" s="40">
        <f t="shared" si="549"/>
        <v>0</v>
      </c>
      <c r="P726" s="40">
        <f>SUM(P727:P727)+2309.3</f>
        <v>2309.3000000000002</v>
      </c>
      <c r="Q726" s="40">
        <f t="shared" ref="Q726:Y726" si="550">SUM(Q727:Q727)</f>
        <v>0</v>
      </c>
      <c r="R726" s="40">
        <f t="shared" si="550"/>
        <v>0</v>
      </c>
      <c r="S726" s="40">
        <f t="shared" si="550"/>
        <v>0</v>
      </c>
      <c r="T726" s="40">
        <f t="shared" si="550"/>
        <v>0</v>
      </c>
      <c r="U726" s="40">
        <f t="shared" si="550"/>
        <v>0</v>
      </c>
      <c r="V726" s="40">
        <f t="shared" si="550"/>
        <v>0</v>
      </c>
      <c r="W726" s="40">
        <f t="shared" si="550"/>
        <v>0</v>
      </c>
      <c r="X726" s="40">
        <f t="shared" si="550"/>
        <v>0</v>
      </c>
      <c r="Y726" s="40">
        <f t="shared" si="550"/>
        <v>0</v>
      </c>
      <c r="Z726" s="39" t="s">
        <v>2032</v>
      </c>
      <c r="AA726" s="41" t="s">
        <v>41</v>
      </c>
      <c r="AB726" s="42" t="s">
        <v>56</v>
      </c>
      <c r="AC726" s="42" t="s">
        <v>56</v>
      </c>
      <c r="AD726" s="43" t="s">
        <v>2033</v>
      </c>
    </row>
    <row r="727" spans="1:30" ht="46.5" x14ac:dyDescent="0.25">
      <c r="A727" s="37" t="s">
        <v>2034</v>
      </c>
      <c r="B727" s="38" t="s">
        <v>2026</v>
      </c>
      <c r="C727" s="39"/>
      <c r="D727" s="39"/>
      <c r="E727" s="39"/>
      <c r="F727" s="44">
        <v>0</v>
      </c>
      <c r="G727" s="44">
        <v>0</v>
      </c>
      <c r="H727" s="44">
        <v>0</v>
      </c>
      <c r="I727" s="44">
        <v>0</v>
      </c>
      <c r="J727" s="44">
        <v>0</v>
      </c>
      <c r="K727" s="44">
        <v>0</v>
      </c>
      <c r="L727" s="44">
        <v>0</v>
      </c>
      <c r="M727" s="44">
        <v>0</v>
      </c>
      <c r="N727" s="44">
        <v>0</v>
      </c>
      <c r="O727" s="44">
        <v>0</v>
      </c>
      <c r="P727" s="44">
        <v>0</v>
      </c>
      <c r="Q727" s="44">
        <v>0</v>
      </c>
      <c r="R727" s="44">
        <v>0</v>
      </c>
      <c r="S727" s="44">
        <v>0</v>
      </c>
      <c r="T727" s="44">
        <v>0</v>
      </c>
      <c r="U727" s="44">
        <v>0</v>
      </c>
      <c r="V727" s="44">
        <v>0</v>
      </c>
      <c r="W727" s="44">
        <v>0</v>
      </c>
      <c r="X727" s="44">
        <v>0</v>
      </c>
      <c r="Y727" s="44">
        <v>0</v>
      </c>
      <c r="Z727" s="39"/>
      <c r="AA727" s="41"/>
      <c r="AB727" s="42"/>
      <c r="AC727" s="42"/>
      <c r="AD727" s="43"/>
    </row>
    <row r="728" spans="1:30" ht="46.5" x14ac:dyDescent="0.25">
      <c r="A728" s="37" t="s">
        <v>2035</v>
      </c>
      <c r="B728" s="38" t="s">
        <v>2036</v>
      </c>
      <c r="C728" s="39" t="s">
        <v>810</v>
      </c>
      <c r="D728" s="39" t="s">
        <v>811</v>
      </c>
      <c r="E728" s="39" t="s">
        <v>46</v>
      </c>
      <c r="F728" s="40">
        <f>SUM(F729:F729)+2160.32</f>
        <v>2160.3200000000002</v>
      </c>
      <c r="G728" s="40">
        <f>SUM(G729:G729)</f>
        <v>0</v>
      </c>
      <c r="H728" s="40">
        <f>SUM(H729:H729)+2160.32</f>
        <v>2160.3200000000002</v>
      </c>
      <c r="I728" s="40">
        <f t="shared" ref="I728:O728" si="551">SUM(I729:I729)</f>
        <v>0</v>
      </c>
      <c r="J728" s="40">
        <f t="shared" si="551"/>
        <v>0</v>
      </c>
      <c r="K728" s="40">
        <f t="shared" si="551"/>
        <v>0</v>
      </c>
      <c r="L728" s="40">
        <f t="shared" si="551"/>
        <v>0</v>
      </c>
      <c r="M728" s="40">
        <f t="shared" si="551"/>
        <v>0</v>
      </c>
      <c r="N728" s="40">
        <f t="shared" si="551"/>
        <v>0</v>
      </c>
      <c r="O728" s="40">
        <f t="shared" si="551"/>
        <v>0</v>
      </c>
      <c r="P728" s="40">
        <f>SUM(P729:P729)+2160.32</f>
        <v>2160.3200000000002</v>
      </c>
      <c r="Q728" s="40">
        <f>SUM(Q729:Q729)</f>
        <v>0</v>
      </c>
      <c r="R728" s="40">
        <f>SUM(R729:R729)+1500</f>
        <v>1500</v>
      </c>
      <c r="S728" s="40">
        <f t="shared" ref="S728:Y728" si="552">SUM(S729:S729)</f>
        <v>0</v>
      </c>
      <c r="T728" s="40">
        <f t="shared" si="552"/>
        <v>0</v>
      </c>
      <c r="U728" s="40">
        <f t="shared" si="552"/>
        <v>0</v>
      </c>
      <c r="V728" s="40">
        <f t="shared" si="552"/>
        <v>0</v>
      </c>
      <c r="W728" s="40">
        <f t="shared" si="552"/>
        <v>0</v>
      </c>
      <c r="X728" s="40">
        <f t="shared" si="552"/>
        <v>0</v>
      </c>
      <c r="Y728" s="40">
        <f t="shared" si="552"/>
        <v>0</v>
      </c>
      <c r="Z728" s="39" t="s">
        <v>2020</v>
      </c>
      <c r="AA728" s="41" t="s">
        <v>41</v>
      </c>
      <c r="AB728" s="42" t="s">
        <v>56</v>
      </c>
      <c r="AC728" s="42" t="s">
        <v>56</v>
      </c>
      <c r="AD728" s="43"/>
    </row>
    <row r="729" spans="1:30" ht="46.5" x14ac:dyDescent="0.25">
      <c r="A729" s="37" t="s">
        <v>2037</v>
      </c>
      <c r="B729" s="38" t="s">
        <v>2026</v>
      </c>
      <c r="C729" s="39"/>
      <c r="D729" s="39"/>
      <c r="E729" s="39"/>
      <c r="F729" s="44">
        <v>0</v>
      </c>
      <c r="G729" s="44">
        <v>0</v>
      </c>
      <c r="H729" s="44">
        <v>0</v>
      </c>
      <c r="I729" s="44">
        <v>0</v>
      </c>
      <c r="J729" s="44">
        <v>0</v>
      </c>
      <c r="K729" s="44">
        <v>0</v>
      </c>
      <c r="L729" s="44">
        <v>0</v>
      </c>
      <c r="M729" s="44">
        <v>0</v>
      </c>
      <c r="N729" s="44">
        <v>0</v>
      </c>
      <c r="O729" s="44">
        <v>0</v>
      </c>
      <c r="P729" s="44">
        <v>0</v>
      </c>
      <c r="Q729" s="44">
        <v>0</v>
      </c>
      <c r="R729" s="44">
        <v>0</v>
      </c>
      <c r="S729" s="44">
        <v>0</v>
      </c>
      <c r="T729" s="44">
        <v>0</v>
      </c>
      <c r="U729" s="44">
        <v>0</v>
      </c>
      <c r="V729" s="44">
        <v>0</v>
      </c>
      <c r="W729" s="44">
        <v>0</v>
      </c>
      <c r="X729" s="44">
        <v>0</v>
      </c>
      <c r="Y729" s="44">
        <v>0</v>
      </c>
      <c r="Z729" s="39"/>
      <c r="AA729" s="41"/>
      <c r="AB729" s="42"/>
      <c r="AC729" s="42"/>
      <c r="AD729" s="43"/>
    </row>
    <row r="730" spans="1:30" ht="69.75" x14ac:dyDescent="0.25">
      <c r="A730" s="37" t="s">
        <v>2038</v>
      </c>
      <c r="B730" s="38" t="s">
        <v>2039</v>
      </c>
      <c r="C730" s="39" t="s">
        <v>144</v>
      </c>
      <c r="D730" s="39" t="s">
        <v>816</v>
      </c>
      <c r="E730" s="39" t="s">
        <v>46</v>
      </c>
      <c r="F730" s="40">
        <f>SUM(F731:F731)+9019.55</f>
        <v>9019.5499999999993</v>
      </c>
      <c r="G730" s="40">
        <f>SUM(G731:G731)</f>
        <v>0</v>
      </c>
      <c r="H730" s="40">
        <f>SUM(H731:H731)+9019.55</f>
        <v>9019.5499999999993</v>
      </c>
      <c r="I730" s="40">
        <f t="shared" ref="I730:O730" si="553">SUM(I731:I731)</f>
        <v>0</v>
      </c>
      <c r="J730" s="40">
        <f t="shared" si="553"/>
        <v>0</v>
      </c>
      <c r="K730" s="40">
        <f t="shared" si="553"/>
        <v>0</v>
      </c>
      <c r="L730" s="40">
        <f t="shared" si="553"/>
        <v>0</v>
      </c>
      <c r="M730" s="40">
        <f t="shared" si="553"/>
        <v>0</v>
      </c>
      <c r="N730" s="40">
        <f t="shared" si="553"/>
        <v>0</v>
      </c>
      <c r="O730" s="40">
        <f t="shared" si="553"/>
        <v>0</v>
      </c>
      <c r="P730" s="40">
        <f>SUM(P731:P731)+9015.52</f>
        <v>9015.52</v>
      </c>
      <c r="Q730" s="40">
        <f>SUM(Q731:Q731)</f>
        <v>0</v>
      </c>
      <c r="R730" s="40">
        <f>SUM(R731:R731)+8095.97</f>
        <v>8095.97</v>
      </c>
      <c r="S730" s="40">
        <f t="shared" ref="S730:Y730" si="554">SUM(S731:S731)</f>
        <v>0</v>
      </c>
      <c r="T730" s="40">
        <f t="shared" si="554"/>
        <v>0</v>
      </c>
      <c r="U730" s="40">
        <f t="shared" si="554"/>
        <v>0</v>
      </c>
      <c r="V730" s="40">
        <f t="shared" si="554"/>
        <v>0</v>
      </c>
      <c r="W730" s="40">
        <f t="shared" si="554"/>
        <v>0</v>
      </c>
      <c r="X730" s="40">
        <f t="shared" si="554"/>
        <v>0</v>
      </c>
      <c r="Y730" s="40">
        <f t="shared" si="554"/>
        <v>0</v>
      </c>
      <c r="Z730" s="39" t="s">
        <v>2020</v>
      </c>
      <c r="AA730" s="41" t="s">
        <v>41</v>
      </c>
      <c r="AB730" s="42" t="s">
        <v>56</v>
      </c>
      <c r="AC730" s="42" t="s">
        <v>83</v>
      </c>
      <c r="AD730" s="43" t="s">
        <v>2040</v>
      </c>
    </row>
    <row r="731" spans="1:30" ht="46.5" x14ac:dyDescent="0.25">
      <c r="A731" s="37" t="s">
        <v>2041</v>
      </c>
      <c r="B731" s="38" t="s">
        <v>2026</v>
      </c>
      <c r="C731" s="39"/>
      <c r="D731" s="39"/>
      <c r="E731" s="39"/>
      <c r="F731" s="44">
        <v>0</v>
      </c>
      <c r="G731" s="44">
        <v>0</v>
      </c>
      <c r="H731" s="44">
        <v>0</v>
      </c>
      <c r="I731" s="44">
        <v>0</v>
      </c>
      <c r="J731" s="44">
        <v>0</v>
      </c>
      <c r="K731" s="44">
        <v>0</v>
      </c>
      <c r="L731" s="44">
        <v>0</v>
      </c>
      <c r="M731" s="44">
        <v>0</v>
      </c>
      <c r="N731" s="44">
        <v>0</v>
      </c>
      <c r="O731" s="44">
        <v>0</v>
      </c>
      <c r="P731" s="44">
        <v>0</v>
      </c>
      <c r="Q731" s="44">
        <v>0</v>
      </c>
      <c r="R731" s="44">
        <v>0</v>
      </c>
      <c r="S731" s="44">
        <v>0</v>
      </c>
      <c r="T731" s="44">
        <v>0</v>
      </c>
      <c r="U731" s="44">
        <v>0</v>
      </c>
      <c r="V731" s="44">
        <v>0</v>
      </c>
      <c r="W731" s="44">
        <v>0</v>
      </c>
      <c r="X731" s="44">
        <v>0</v>
      </c>
      <c r="Y731" s="44">
        <v>0</v>
      </c>
      <c r="Z731" s="39"/>
      <c r="AA731" s="41"/>
      <c r="AB731" s="42"/>
      <c r="AC731" s="42"/>
      <c r="AD731" s="43"/>
    </row>
    <row r="732" spans="1:30" ht="46.5" x14ac:dyDescent="0.25">
      <c r="A732" s="37" t="s">
        <v>2042</v>
      </c>
      <c r="B732" s="38" t="s">
        <v>2043</v>
      </c>
      <c r="C732" s="39" t="s">
        <v>149</v>
      </c>
      <c r="D732" s="39" t="s">
        <v>821</v>
      </c>
      <c r="E732" s="39" t="s">
        <v>46</v>
      </c>
      <c r="F732" s="40">
        <f>SUM(F733:F733)+15263.59</f>
        <v>15263.59</v>
      </c>
      <c r="G732" s="40">
        <f>SUM(G733:G733)</f>
        <v>0</v>
      </c>
      <c r="H732" s="40">
        <f>SUM(H733:H733)+15263.59</f>
        <v>15263.59</v>
      </c>
      <c r="I732" s="40">
        <f t="shared" ref="I732:O732" si="555">SUM(I733:I733)</f>
        <v>0</v>
      </c>
      <c r="J732" s="40">
        <f t="shared" si="555"/>
        <v>0</v>
      </c>
      <c r="K732" s="40">
        <f t="shared" si="555"/>
        <v>0</v>
      </c>
      <c r="L732" s="40">
        <f t="shared" si="555"/>
        <v>0</v>
      </c>
      <c r="M732" s="40">
        <f t="shared" si="555"/>
        <v>0</v>
      </c>
      <c r="N732" s="40">
        <f t="shared" si="555"/>
        <v>0</v>
      </c>
      <c r="O732" s="40">
        <f t="shared" si="555"/>
        <v>0</v>
      </c>
      <c r="P732" s="40">
        <f>SUM(P733:P733)+13770.2</f>
        <v>13770.2</v>
      </c>
      <c r="Q732" s="40">
        <f>SUM(Q733:Q733)</f>
        <v>0</v>
      </c>
      <c r="R732" s="40">
        <f>SUM(R733:R733)+7406.61</f>
        <v>7406.61</v>
      </c>
      <c r="S732" s="40">
        <f t="shared" ref="S732:Y732" si="556">SUM(S733:S733)</f>
        <v>0</v>
      </c>
      <c r="T732" s="40">
        <f t="shared" si="556"/>
        <v>0</v>
      </c>
      <c r="U732" s="40">
        <f t="shared" si="556"/>
        <v>0</v>
      </c>
      <c r="V732" s="40">
        <f t="shared" si="556"/>
        <v>0</v>
      </c>
      <c r="W732" s="40">
        <f t="shared" si="556"/>
        <v>0</v>
      </c>
      <c r="X732" s="40">
        <f t="shared" si="556"/>
        <v>0</v>
      </c>
      <c r="Y732" s="40">
        <f t="shared" si="556"/>
        <v>0</v>
      </c>
      <c r="Z732" s="39" t="s">
        <v>2020</v>
      </c>
      <c r="AA732" s="41" t="s">
        <v>41</v>
      </c>
      <c r="AB732" s="42" t="s">
        <v>83</v>
      </c>
      <c r="AC732" s="42" t="s">
        <v>82</v>
      </c>
      <c r="AD732" s="43" t="s">
        <v>2015</v>
      </c>
    </row>
    <row r="733" spans="1:30" ht="46.5" x14ac:dyDescent="0.25">
      <c r="A733" s="37" t="s">
        <v>2044</v>
      </c>
      <c r="B733" s="38" t="s">
        <v>2026</v>
      </c>
      <c r="C733" s="39"/>
      <c r="D733" s="39"/>
      <c r="E733" s="39"/>
      <c r="F733" s="44">
        <v>0</v>
      </c>
      <c r="G733" s="44">
        <v>0</v>
      </c>
      <c r="H733" s="44">
        <v>0</v>
      </c>
      <c r="I733" s="44">
        <v>0</v>
      </c>
      <c r="J733" s="44">
        <v>0</v>
      </c>
      <c r="K733" s="44">
        <v>0</v>
      </c>
      <c r="L733" s="44">
        <v>0</v>
      </c>
      <c r="M733" s="44">
        <v>0</v>
      </c>
      <c r="N733" s="44">
        <v>0</v>
      </c>
      <c r="O733" s="44">
        <v>0</v>
      </c>
      <c r="P733" s="44">
        <v>0</v>
      </c>
      <c r="Q733" s="44">
        <v>0</v>
      </c>
      <c r="R733" s="44">
        <v>0</v>
      </c>
      <c r="S733" s="44">
        <v>0</v>
      </c>
      <c r="T733" s="44">
        <v>0</v>
      </c>
      <c r="U733" s="44">
        <v>0</v>
      </c>
      <c r="V733" s="44">
        <v>0</v>
      </c>
      <c r="W733" s="44">
        <v>0</v>
      </c>
      <c r="X733" s="44">
        <v>0</v>
      </c>
      <c r="Y733" s="44">
        <v>0</v>
      </c>
      <c r="Z733" s="39"/>
      <c r="AA733" s="41"/>
      <c r="AB733" s="42"/>
      <c r="AC733" s="42"/>
      <c r="AD733" s="43"/>
    </row>
    <row r="734" spans="1:30" ht="139.5" x14ac:dyDescent="0.25">
      <c r="A734" s="37" t="s">
        <v>2045</v>
      </c>
      <c r="B734" s="38" t="s">
        <v>2046</v>
      </c>
      <c r="C734" s="39" t="s">
        <v>156</v>
      </c>
      <c r="D734" s="39" t="s">
        <v>826</v>
      </c>
      <c r="E734" s="39" t="s">
        <v>46</v>
      </c>
      <c r="F734" s="40">
        <f>SUM(F735:F735)+5067.76</f>
        <v>5067.76</v>
      </c>
      <c r="G734" s="40">
        <f>SUM(G735:G735)</f>
        <v>0</v>
      </c>
      <c r="H734" s="40">
        <f>SUM(H735:H735)+5067.76</f>
        <v>5067.76</v>
      </c>
      <c r="I734" s="40">
        <f t="shared" ref="I734:O734" si="557">SUM(I735:I735)</f>
        <v>0</v>
      </c>
      <c r="J734" s="40">
        <f t="shared" si="557"/>
        <v>0</v>
      </c>
      <c r="K734" s="40">
        <f t="shared" si="557"/>
        <v>0</v>
      </c>
      <c r="L734" s="40">
        <f t="shared" si="557"/>
        <v>0</v>
      </c>
      <c r="M734" s="40">
        <f t="shared" si="557"/>
        <v>0</v>
      </c>
      <c r="N734" s="40">
        <f t="shared" si="557"/>
        <v>0</v>
      </c>
      <c r="O734" s="40">
        <f t="shared" si="557"/>
        <v>0</v>
      </c>
      <c r="P734" s="40">
        <f>SUM(P735:P735)+163.54</f>
        <v>163.54</v>
      </c>
      <c r="Q734" s="40">
        <f>SUM(Q735:Q735)</f>
        <v>0</v>
      </c>
      <c r="R734" s="40">
        <f>SUM(R735:R735)+12.58</f>
        <v>12.58</v>
      </c>
      <c r="S734" s="40">
        <f t="shared" ref="S734:Y734" si="558">SUM(S735:S735)</f>
        <v>0</v>
      </c>
      <c r="T734" s="40">
        <f t="shared" si="558"/>
        <v>0</v>
      </c>
      <c r="U734" s="40">
        <f t="shared" si="558"/>
        <v>0</v>
      </c>
      <c r="V734" s="40">
        <f t="shared" si="558"/>
        <v>0</v>
      </c>
      <c r="W734" s="40">
        <f t="shared" si="558"/>
        <v>0</v>
      </c>
      <c r="X734" s="40">
        <f t="shared" si="558"/>
        <v>0</v>
      </c>
      <c r="Y734" s="40">
        <f t="shared" si="558"/>
        <v>0</v>
      </c>
      <c r="Z734" s="39" t="s">
        <v>2020</v>
      </c>
      <c r="AA734" s="41" t="s">
        <v>41</v>
      </c>
      <c r="AB734" s="42" t="s">
        <v>42</v>
      </c>
      <c r="AC734" s="42" t="s">
        <v>57</v>
      </c>
      <c r="AD734" s="43" t="s">
        <v>2047</v>
      </c>
    </row>
    <row r="735" spans="1:30" ht="46.5" x14ac:dyDescent="0.25">
      <c r="A735" s="37" t="s">
        <v>2048</v>
      </c>
      <c r="B735" s="38" t="s">
        <v>2026</v>
      </c>
      <c r="C735" s="39"/>
      <c r="D735" s="39"/>
      <c r="E735" s="39"/>
      <c r="F735" s="44">
        <v>0</v>
      </c>
      <c r="G735" s="44">
        <v>0</v>
      </c>
      <c r="H735" s="44">
        <v>0</v>
      </c>
      <c r="I735" s="44">
        <v>0</v>
      </c>
      <c r="J735" s="44">
        <v>0</v>
      </c>
      <c r="K735" s="44">
        <v>0</v>
      </c>
      <c r="L735" s="44">
        <v>0</v>
      </c>
      <c r="M735" s="44">
        <v>0</v>
      </c>
      <c r="N735" s="44">
        <v>0</v>
      </c>
      <c r="O735" s="44">
        <v>0</v>
      </c>
      <c r="P735" s="44">
        <v>0</v>
      </c>
      <c r="Q735" s="44">
        <v>0</v>
      </c>
      <c r="R735" s="44">
        <v>0</v>
      </c>
      <c r="S735" s="44">
        <v>0</v>
      </c>
      <c r="T735" s="44">
        <v>0</v>
      </c>
      <c r="U735" s="44">
        <v>0</v>
      </c>
      <c r="V735" s="44">
        <v>0</v>
      </c>
      <c r="W735" s="44">
        <v>0</v>
      </c>
      <c r="X735" s="44">
        <v>0</v>
      </c>
      <c r="Y735" s="44">
        <v>0</v>
      </c>
      <c r="Z735" s="39"/>
      <c r="AA735" s="41"/>
      <c r="AB735" s="42"/>
      <c r="AC735" s="42"/>
      <c r="AD735" s="43"/>
    </row>
    <row r="736" spans="1:30" ht="46.5" x14ac:dyDescent="0.25">
      <c r="A736" s="37" t="s">
        <v>2049</v>
      </c>
      <c r="B736" s="38" t="s">
        <v>2050</v>
      </c>
      <c r="C736" s="39" t="s">
        <v>831</v>
      </c>
      <c r="D736" s="39" t="s">
        <v>832</v>
      </c>
      <c r="E736" s="39" t="s">
        <v>46</v>
      </c>
      <c r="F736" s="40">
        <f>SUM(F737:F737)+10394.04</f>
        <v>10394.040000000001</v>
      </c>
      <c r="G736" s="40">
        <f>SUM(G737:G737)+3350</f>
        <v>3350</v>
      </c>
      <c r="H736" s="40">
        <f>SUM(H737:H737)+7044.04</f>
        <v>7044.04</v>
      </c>
      <c r="I736" s="40">
        <f t="shared" ref="I736:O736" si="559">SUM(I737:I737)</f>
        <v>0</v>
      </c>
      <c r="J736" s="40">
        <f t="shared" si="559"/>
        <v>0</v>
      </c>
      <c r="K736" s="40">
        <f t="shared" si="559"/>
        <v>0</v>
      </c>
      <c r="L736" s="40">
        <f t="shared" si="559"/>
        <v>0</v>
      </c>
      <c r="M736" s="40">
        <f t="shared" si="559"/>
        <v>0</v>
      </c>
      <c r="N736" s="40">
        <f t="shared" si="559"/>
        <v>0</v>
      </c>
      <c r="O736" s="40">
        <f t="shared" si="559"/>
        <v>0</v>
      </c>
      <c r="P736" s="40">
        <f>SUM(P737:P737)+4511.47</f>
        <v>4511.47</v>
      </c>
      <c r="Q736" s="40">
        <f>SUM(Q737:Q737)+3350</f>
        <v>3350</v>
      </c>
      <c r="R736" s="40">
        <f>SUM(R737:R737)+117.43</f>
        <v>117.43</v>
      </c>
      <c r="S736" s="40">
        <f t="shared" ref="S736:Y736" si="560">SUM(S737:S737)</f>
        <v>0</v>
      </c>
      <c r="T736" s="40">
        <f t="shared" si="560"/>
        <v>0</v>
      </c>
      <c r="U736" s="40">
        <f t="shared" si="560"/>
        <v>0</v>
      </c>
      <c r="V736" s="40">
        <f t="shared" si="560"/>
        <v>0</v>
      </c>
      <c r="W736" s="40">
        <f t="shared" si="560"/>
        <v>0</v>
      </c>
      <c r="X736" s="40">
        <f t="shared" si="560"/>
        <v>0</v>
      </c>
      <c r="Y736" s="40">
        <f t="shared" si="560"/>
        <v>0</v>
      </c>
      <c r="Z736" s="39" t="s">
        <v>2020</v>
      </c>
      <c r="AA736" s="41" t="s">
        <v>41</v>
      </c>
      <c r="AB736" s="42" t="s">
        <v>56</v>
      </c>
      <c r="AC736" s="42" t="s">
        <v>56</v>
      </c>
      <c r="AD736" s="43"/>
    </row>
    <row r="737" spans="1:30" ht="46.5" x14ac:dyDescent="0.25">
      <c r="A737" s="37" t="s">
        <v>2051</v>
      </c>
      <c r="B737" s="38" t="s">
        <v>2026</v>
      </c>
      <c r="C737" s="39"/>
      <c r="D737" s="39"/>
      <c r="E737" s="39"/>
      <c r="F737" s="44">
        <v>0</v>
      </c>
      <c r="G737" s="44">
        <v>0</v>
      </c>
      <c r="H737" s="44">
        <v>0</v>
      </c>
      <c r="I737" s="44">
        <v>0</v>
      </c>
      <c r="J737" s="44">
        <v>0</v>
      </c>
      <c r="K737" s="44">
        <v>0</v>
      </c>
      <c r="L737" s="44">
        <v>0</v>
      </c>
      <c r="M737" s="44">
        <v>0</v>
      </c>
      <c r="N737" s="44">
        <v>0</v>
      </c>
      <c r="O737" s="44">
        <v>0</v>
      </c>
      <c r="P737" s="44">
        <v>0</v>
      </c>
      <c r="Q737" s="44">
        <v>0</v>
      </c>
      <c r="R737" s="44">
        <v>0</v>
      </c>
      <c r="S737" s="44">
        <v>0</v>
      </c>
      <c r="T737" s="44">
        <v>0</v>
      </c>
      <c r="U737" s="44">
        <v>0</v>
      </c>
      <c r="V737" s="44">
        <v>0</v>
      </c>
      <c r="W737" s="44">
        <v>0</v>
      </c>
      <c r="X737" s="44">
        <v>0</v>
      </c>
      <c r="Y737" s="44">
        <v>0</v>
      </c>
      <c r="Z737" s="39"/>
      <c r="AA737" s="41"/>
      <c r="AB737" s="42"/>
      <c r="AC737" s="42"/>
      <c r="AD737" s="43"/>
    </row>
    <row r="738" spans="1:30" ht="46.5" x14ac:dyDescent="0.25">
      <c r="A738" s="37" t="s">
        <v>2052</v>
      </c>
      <c r="B738" s="38" t="s">
        <v>2053</v>
      </c>
      <c r="C738" s="39" t="s">
        <v>837</v>
      </c>
      <c r="D738" s="39" t="s">
        <v>838</v>
      </c>
      <c r="E738" s="39" t="s">
        <v>46</v>
      </c>
      <c r="F738" s="40">
        <f>SUM(F739:F739)+5142.46</f>
        <v>5142.46</v>
      </c>
      <c r="G738" s="40">
        <f>SUM(G739:G739)</f>
        <v>0</v>
      </c>
      <c r="H738" s="40">
        <f>SUM(H739:H739)+5142.46</f>
        <v>5142.46</v>
      </c>
      <c r="I738" s="40">
        <f t="shared" ref="I738:Y738" si="561">SUM(I739:I739)</f>
        <v>0</v>
      </c>
      <c r="J738" s="40">
        <f t="shared" si="561"/>
        <v>0</v>
      </c>
      <c r="K738" s="40">
        <f t="shared" si="561"/>
        <v>0</v>
      </c>
      <c r="L738" s="40">
        <f t="shared" si="561"/>
        <v>0</v>
      </c>
      <c r="M738" s="40">
        <f t="shared" si="561"/>
        <v>0</v>
      </c>
      <c r="N738" s="40">
        <f t="shared" si="561"/>
        <v>0</v>
      </c>
      <c r="O738" s="40">
        <f t="shared" si="561"/>
        <v>0</v>
      </c>
      <c r="P738" s="40">
        <f t="shared" si="561"/>
        <v>0</v>
      </c>
      <c r="Q738" s="40">
        <f t="shared" si="561"/>
        <v>0</v>
      </c>
      <c r="R738" s="40">
        <f t="shared" si="561"/>
        <v>0</v>
      </c>
      <c r="S738" s="40">
        <f t="shared" si="561"/>
        <v>0</v>
      </c>
      <c r="T738" s="40">
        <f t="shared" si="561"/>
        <v>0</v>
      </c>
      <c r="U738" s="40">
        <f t="shared" si="561"/>
        <v>0</v>
      </c>
      <c r="V738" s="40">
        <f t="shared" si="561"/>
        <v>0</v>
      </c>
      <c r="W738" s="40">
        <f t="shared" si="561"/>
        <v>0</v>
      </c>
      <c r="X738" s="40">
        <f t="shared" si="561"/>
        <v>0</v>
      </c>
      <c r="Y738" s="40">
        <f t="shared" si="561"/>
        <v>0</v>
      </c>
      <c r="Z738" s="39" t="s">
        <v>2020</v>
      </c>
      <c r="AA738" s="41" t="s">
        <v>41</v>
      </c>
      <c r="AB738" s="42" t="s">
        <v>42</v>
      </c>
      <c r="AC738" s="42" t="s">
        <v>57</v>
      </c>
      <c r="AD738" s="43" t="s">
        <v>2054</v>
      </c>
    </row>
    <row r="739" spans="1:30" ht="46.5" x14ac:dyDescent="0.25">
      <c r="A739" s="37" t="s">
        <v>2055</v>
      </c>
      <c r="B739" s="38" t="s">
        <v>2026</v>
      </c>
      <c r="C739" s="39"/>
      <c r="D739" s="39"/>
      <c r="E739" s="39"/>
      <c r="F739" s="44">
        <v>0</v>
      </c>
      <c r="G739" s="44">
        <v>0</v>
      </c>
      <c r="H739" s="44">
        <v>0</v>
      </c>
      <c r="I739" s="44">
        <v>0</v>
      </c>
      <c r="J739" s="44">
        <v>0</v>
      </c>
      <c r="K739" s="44">
        <v>0</v>
      </c>
      <c r="L739" s="44">
        <v>0</v>
      </c>
      <c r="M739" s="44">
        <v>0</v>
      </c>
      <c r="N739" s="44">
        <v>0</v>
      </c>
      <c r="O739" s="44">
        <v>0</v>
      </c>
      <c r="P739" s="44">
        <v>0</v>
      </c>
      <c r="Q739" s="44">
        <v>0</v>
      </c>
      <c r="R739" s="44">
        <v>0</v>
      </c>
      <c r="S739" s="44">
        <v>0</v>
      </c>
      <c r="T739" s="44">
        <v>0</v>
      </c>
      <c r="U739" s="44">
        <v>0</v>
      </c>
      <c r="V739" s="44">
        <v>0</v>
      </c>
      <c r="W739" s="44">
        <v>0</v>
      </c>
      <c r="X739" s="44">
        <v>0</v>
      </c>
      <c r="Y739" s="44">
        <v>0</v>
      </c>
      <c r="Z739" s="39"/>
      <c r="AA739" s="41"/>
      <c r="AB739" s="42"/>
      <c r="AC739" s="42"/>
      <c r="AD739" s="43"/>
    </row>
    <row r="740" spans="1:30" ht="69.75" x14ac:dyDescent="0.25">
      <c r="A740" s="37" t="s">
        <v>2056</v>
      </c>
      <c r="B740" s="38" t="s">
        <v>2057</v>
      </c>
      <c r="C740" s="39" t="s">
        <v>843</v>
      </c>
      <c r="D740" s="39" t="s">
        <v>844</v>
      </c>
      <c r="E740" s="39"/>
      <c r="F740" s="40">
        <f t="shared" ref="F740:Y740" si="562">SUM(F741:F741)</f>
        <v>0</v>
      </c>
      <c r="G740" s="40">
        <f t="shared" si="562"/>
        <v>0</v>
      </c>
      <c r="H740" s="40">
        <f t="shared" si="562"/>
        <v>0</v>
      </c>
      <c r="I740" s="40">
        <f t="shared" si="562"/>
        <v>0</v>
      </c>
      <c r="J740" s="40">
        <f t="shared" si="562"/>
        <v>0</v>
      </c>
      <c r="K740" s="40">
        <f t="shared" si="562"/>
        <v>0</v>
      </c>
      <c r="L740" s="40">
        <f t="shared" si="562"/>
        <v>0</v>
      </c>
      <c r="M740" s="40">
        <f t="shared" si="562"/>
        <v>0</v>
      </c>
      <c r="N740" s="40">
        <f t="shared" si="562"/>
        <v>0</v>
      </c>
      <c r="O740" s="40">
        <f t="shared" si="562"/>
        <v>0</v>
      </c>
      <c r="P740" s="40">
        <f t="shared" si="562"/>
        <v>0</v>
      </c>
      <c r="Q740" s="40">
        <f t="shared" si="562"/>
        <v>0</v>
      </c>
      <c r="R740" s="40">
        <f t="shared" si="562"/>
        <v>0</v>
      </c>
      <c r="S740" s="40">
        <f t="shared" si="562"/>
        <v>0</v>
      </c>
      <c r="T740" s="40">
        <f t="shared" si="562"/>
        <v>0</v>
      </c>
      <c r="U740" s="40">
        <f t="shared" si="562"/>
        <v>0</v>
      </c>
      <c r="V740" s="40">
        <f t="shared" si="562"/>
        <v>0</v>
      </c>
      <c r="W740" s="40">
        <f t="shared" si="562"/>
        <v>0</v>
      </c>
      <c r="X740" s="40">
        <f t="shared" si="562"/>
        <v>0</v>
      </c>
      <c r="Y740" s="40">
        <f t="shared" si="562"/>
        <v>0</v>
      </c>
      <c r="Z740" s="39" t="s">
        <v>2020</v>
      </c>
      <c r="AA740" s="41" t="s">
        <v>41</v>
      </c>
      <c r="AB740" s="42" t="s">
        <v>57</v>
      </c>
      <c r="AC740" s="42" t="s">
        <v>56</v>
      </c>
      <c r="AD740" s="43" t="s">
        <v>2058</v>
      </c>
    </row>
    <row r="741" spans="1:30" ht="46.5" x14ac:dyDescent="0.25">
      <c r="A741" s="37" t="s">
        <v>2059</v>
      </c>
      <c r="B741" s="38" t="s">
        <v>2026</v>
      </c>
      <c r="C741" s="39"/>
      <c r="D741" s="39"/>
      <c r="E741" s="39"/>
      <c r="F741" s="44">
        <v>0</v>
      </c>
      <c r="G741" s="44">
        <v>0</v>
      </c>
      <c r="H741" s="44">
        <v>0</v>
      </c>
      <c r="I741" s="44">
        <v>0</v>
      </c>
      <c r="J741" s="44">
        <v>0</v>
      </c>
      <c r="K741" s="44">
        <v>0</v>
      </c>
      <c r="L741" s="44">
        <v>0</v>
      </c>
      <c r="M741" s="44">
        <v>0</v>
      </c>
      <c r="N741" s="44">
        <v>0</v>
      </c>
      <c r="O741" s="44">
        <v>0</v>
      </c>
      <c r="P741" s="44">
        <v>0</v>
      </c>
      <c r="Q741" s="44">
        <v>0</v>
      </c>
      <c r="R741" s="44">
        <v>0</v>
      </c>
      <c r="S741" s="44">
        <v>0</v>
      </c>
      <c r="T741" s="44">
        <v>0</v>
      </c>
      <c r="U741" s="44">
        <v>0</v>
      </c>
      <c r="V741" s="44">
        <v>0</v>
      </c>
      <c r="W741" s="44">
        <v>0</v>
      </c>
      <c r="X741" s="44">
        <v>0</v>
      </c>
      <c r="Y741" s="44">
        <v>0</v>
      </c>
      <c r="Z741" s="39"/>
      <c r="AA741" s="41"/>
      <c r="AB741" s="42"/>
      <c r="AC741" s="42"/>
      <c r="AD741" s="43"/>
    </row>
    <row r="742" spans="1:30" ht="46.5" x14ac:dyDescent="0.25">
      <c r="A742" s="37" t="s">
        <v>2060</v>
      </c>
      <c r="B742" s="38" t="s">
        <v>2061</v>
      </c>
      <c r="C742" s="39" t="s">
        <v>911</v>
      </c>
      <c r="D742" s="39" t="s">
        <v>933</v>
      </c>
      <c r="E742" s="39"/>
      <c r="F742" s="40">
        <f>SUM(F743:F743)+5100</f>
        <v>5100</v>
      </c>
      <c r="G742" s="40">
        <f t="shared" ref="G742:L742" si="563">SUM(G743:G743)</f>
        <v>0</v>
      </c>
      <c r="H742" s="40">
        <f t="shared" si="563"/>
        <v>0</v>
      </c>
      <c r="I742" s="40">
        <f t="shared" si="563"/>
        <v>0</v>
      </c>
      <c r="J742" s="40">
        <f t="shared" si="563"/>
        <v>0</v>
      </c>
      <c r="K742" s="40">
        <f t="shared" si="563"/>
        <v>0</v>
      </c>
      <c r="L742" s="40">
        <f t="shared" si="563"/>
        <v>0</v>
      </c>
      <c r="M742" s="40">
        <f>SUM(M743:M743)+5100</f>
        <v>5100</v>
      </c>
      <c r="N742" s="40">
        <f t="shared" ref="N742:Y742" si="564">SUM(N743:N743)</f>
        <v>0</v>
      </c>
      <c r="O742" s="40">
        <f t="shared" si="564"/>
        <v>0</v>
      </c>
      <c r="P742" s="40">
        <f t="shared" si="564"/>
        <v>0</v>
      </c>
      <c r="Q742" s="40">
        <f t="shared" si="564"/>
        <v>0</v>
      </c>
      <c r="R742" s="40">
        <f t="shared" si="564"/>
        <v>0</v>
      </c>
      <c r="S742" s="40">
        <f t="shared" si="564"/>
        <v>0</v>
      </c>
      <c r="T742" s="40">
        <f t="shared" si="564"/>
        <v>0</v>
      </c>
      <c r="U742" s="40">
        <f t="shared" si="564"/>
        <v>0</v>
      </c>
      <c r="V742" s="40">
        <f t="shared" si="564"/>
        <v>0</v>
      </c>
      <c r="W742" s="40">
        <f t="shared" si="564"/>
        <v>0</v>
      </c>
      <c r="X742" s="40">
        <f t="shared" si="564"/>
        <v>0</v>
      </c>
      <c r="Y742" s="40">
        <f t="shared" si="564"/>
        <v>0</v>
      </c>
      <c r="Z742" s="39" t="s">
        <v>2062</v>
      </c>
      <c r="AA742" s="41" t="s">
        <v>41</v>
      </c>
      <c r="AB742" s="42" t="s">
        <v>42</v>
      </c>
      <c r="AC742" s="42" t="s">
        <v>57</v>
      </c>
      <c r="AD742" s="43" t="s">
        <v>2011</v>
      </c>
    </row>
    <row r="743" spans="1:30" ht="46.5" x14ac:dyDescent="0.25">
      <c r="A743" s="37" t="s">
        <v>2063</v>
      </c>
      <c r="B743" s="38" t="s">
        <v>2064</v>
      </c>
      <c r="C743" s="39"/>
      <c r="D743" s="39"/>
      <c r="E743" s="39"/>
      <c r="F743" s="44">
        <v>0</v>
      </c>
      <c r="G743" s="44">
        <v>0</v>
      </c>
      <c r="H743" s="44">
        <v>0</v>
      </c>
      <c r="I743" s="44">
        <v>0</v>
      </c>
      <c r="J743" s="44">
        <v>0</v>
      </c>
      <c r="K743" s="44">
        <v>0</v>
      </c>
      <c r="L743" s="44">
        <v>0</v>
      </c>
      <c r="M743" s="44">
        <v>0</v>
      </c>
      <c r="N743" s="44">
        <v>0</v>
      </c>
      <c r="O743" s="44">
        <v>0</v>
      </c>
      <c r="P743" s="44">
        <v>0</v>
      </c>
      <c r="Q743" s="44">
        <v>0</v>
      </c>
      <c r="R743" s="44">
        <v>0</v>
      </c>
      <c r="S743" s="44">
        <v>0</v>
      </c>
      <c r="T743" s="44">
        <v>0</v>
      </c>
      <c r="U743" s="44">
        <v>0</v>
      </c>
      <c r="V743" s="44">
        <v>0</v>
      </c>
      <c r="W743" s="44">
        <v>0</v>
      </c>
      <c r="X743" s="44">
        <v>0</v>
      </c>
      <c r="Y743" s="44">
        <v>0</v>
      </c>
      <c r="Z743" s="39"/>
      <c r="AA743" s="41"/>
      <c r="AB743" s="42"/>
      <c r="AC743" s="42"/>
      <c r="AD743" s="43"/>
    </row>
    <row r="744" spans="1:30" ht="45" x14ac:dyDescent="0.25">
      <c r="A744" s="23" t="s">
        <v>2065</v>
      </c>
      <c r="B744" s="24" t="s">
        <v>2066</v>
      </c>
      <c r="C744" s="25" t="s">
        <v>2067</v>
      </c>
      <c r="D744" s="25" t="s">
        <v>2068</v>
      </c>
      <c r="E744" s="25"/>
      <c r="F744" s="26">
        <f t="shared" ref="F744:Y744" si="565">F745+F748+F751+F754</f>
        <v>1414466.73</v>
      </c>
      <c r="G744" s="26">
        <f t="shared" si="565"/>
        <v>41966.73</v>
      </c>
      <c r="H744" s="26">
        <f t="shared" si="565"/>
        <v>0</v>
      </c>
      <c r="I744" s="26">
        <f t="shared" si="565"/>
        <v>0</v>
      </c>
      <c r="J744" s="26">
        <f t="shared" si="565"/>
        <v>1372500</v>
      </c>
      <c r="K744" s="26">
        <f t="shared" si="565"/>
        <v>0</v>
      </c>
      <c r="L744" s="26">
        <f t="shared" si="565"/>
        <v>0</v>
      </c>
      <c r="M744" s="26">
        <f t="shared" si="565"/>
        <v>0</v>
      </c>
      <c r="N744" s="26">
        <f t="shared" si="565"/>
        <v>0</v>
      </c>
      <c r="O744" s="26">
        <f t="shared" si="565"/>
        <v>0</v>
      </c>
      <c r="P744" s="26">
        <f t="shared" si="565"/>
        <v>1414466.73</v>
      </c>
      <c r="Q744" s="26">
        <f t="shared" si="565"/>
        <v>41966.73</v>
      </c>
      <c r="R744" s="26">
        <f t="shared" si="565"/>
        <v>0</v>
      </c>
      <c r="S744" s="26">
        <f t="shared" si="565"/>
        <v>0</v>
      </c>
      <c r="T744" s="26">
        <f t="shared" si="565"/>
        <v>0</v>
      </c>
      <c r="U744" s="26">
        <f t="shared" si="565"/>
        <v>0</v>
      </c>
      <c r="V744" s="26">
        <f t="shared" si="565"/>
        <v>0</v>
      </c>
      <c r="W744" s="26">
        <f t="shared" si="565"/>
        <v>0</v>
      </c>
      <c r="X744" s="26">
        <f t="shared" si="565"/>
        <v>0</v>
      </c>
      <c r="Y744" s="26">
        <f t="shared" si="565"/>
        <v>0</v>
      </c>
      <c r="Z744" s="25" t="s">
        <v>2069</v>
      </c>
      <c r="AA744" s="27" t="s">
        <v>35</v>
      </c>
      <c r="AB744" s="28" t="s">
        <v>2070</v>
      </c>
      <c r="AC744" s="28" t="s">
        <v>285</v>
      </c>
      <c r="AD744" s="29" t="s">
        <v>2071</v>
      </c>
    </row>
    <row r="745" spans="1:30" ht="45" x14ac:dyDescent="0.25">
      <c r="A745" s="30" t="s">
        <v>2072</v>
      </c>
      <c r="B745" s="31" t="s">
        <v>2073</v>
      </c>
      <c r="C745" s="32" t="s">
        <v>2067</v>
      </c>
      <c r="D745" s="32" t="s">
        <v>2074</v>
      </c>
      <c r="E745" s="32" t="s">
        <v>39</v>
      </c>
      <c r="F745" s="33">
        <f t="shared" ref="F745:O746" si="566">SUM(F746:F746)</f>
        <v>0</v>
      </c>
      <c r="G745" s="33">
        <f t="shared" si="566"/>
        <v>0</v>
      </c>
      <c r="H745" s="33">
        <f t="shared" si="566"/>
        <v>0</v>
      </c>
      <c r="I745" s="33">
        <f t="shared" si="566"/>
        <v>0</v>
      </c>
      <c r="J745" s="33">
        <f t="shared" si="566"/>
        <v>0</v>
      </c>
      <c r="K745" s="33">
        <f t="shared" si="566"/>
        <v>0</v>
      </c>
      <c r="L745" s="33">
        <f t="shared" si="566"/>
        <v>0</v>
      </c>
      <c r="M745" s="33">
        <f t="shared" si="566"/>
        <v>0</v>
      </c>
      <c r="N745" s="33">
        <f t="shared" si="566"/>
        <v>0</v>
      </c>
      <c r="O745" s="33">
        <f t="shared" si="566"/>
        <v>0</v>
      </c>
      <c r="P745" s="33">
        <f t="shared" ref="P745:Y746" si="567">SUM(P746:P746)</f>
        <v>0</v>
      </c>
      <c r="Q745" s="33">
        <f t="shared" si="567"/>
        <v>0</v>
      </c>
      <c r="R745" s="33">
        <f t="shared" si="567"/>
        <v>0</v>
      </c>
      <c r="S745" s="33">
        <f t="shared" si="567"/>
        <v>0</v>
      </c>
      <c r="T745" s="33">
        <f t="shared" si="567"/>
        <v>0</v>
      </c>
      <c r="U745" s="33">
        <f t="shared" si="567"/>
        <v>0</v>
      </c>
      <c r="V745" s="33">
        <f t="shared" si="567"/>
        <v>0</v>
      </c>
      <c r="W745" s="33">
        <f t="shared" si="567"/>
        <v>0</v>
      </c>
      <c r="X745" s="33">
        <f t="shared" si="567"/>
        <v>0</v>
      </c>
      <c r="Y745" s="33">
        <f t="shared" si="567"/>
        <v>0</v>
      </c>
      <c r="Z745" s="32" t="s">
        <v>2075</v>
      </c>
      <c r="AA745" s="34" t="s">
        <v>41</v>
      </c>
      <c r="AB745" s="35" t="s">
        <v>56</v>
      </c>
      <c r="AC745" s="35" t="s">
        <v>56</v>
      </c>
      <c r="AD745" s="36"/>
    </row>
    <row r="746" spans="1:30" ht="46.5" x14ac:dyDescent="0.25">
      <c r="A746" s="37" t="s">
        <v>2076</v>
      </c>
      <c r="B746" s="38" t="s">
        <v>2077</v>
      </c>
      <c r="C746" s="39" t="s">
        <v>2067</v>
      </c>
      <c r="D746" s="39" t="s">
        <v>2074</v>
      </c>
      <c r="E746" s="39" t="s">
        <v>46</v>
      </c>
      <c r="F746" s="40">
        <f t="shared" si="566"/>
        <v>0</v>
      </c>
      <c r="G746" s="40">
        <f t="shared" si="566"/>
        <v>0</v>
      </c>
      <c r="H746" s="40">
        <f t="shared" si="566"/>
        <v>0</v>
      </c>
      <c r="I746" s="40">
        <f t="shared" si="566"/>
        <v>0</v>
      </c>
      <c r="J746" s="40">
        <f t="shared" si="566"/>
        <v>0</v>
      </c>
      <c r="K746" s="40">
        <f t="shared" si="566"/>
        <v>0</v>
      </c>
      <c r="L746" s="40">
        <f t="shared" si="566"/>
        <v>0</v>
      </c>
      <c r="M746" s="40">
        <f t="shared" si="566"/>
        <v>0</v>
      </c>
      <c r="N746" s="40">
        <f t="shared" si="566"/>
        <v>0</v>
      </c>
      <c r="O746" s="40">
        <f t="shared" si="566"/>
        <v>0</v>
      </c>
      <c r="P746" s="40">
        <f t="shared" si="567"/>
        <v>0</v>
      </c>
      <c r="Q746" s="40">
        <f t="shared" si="567"/>
        <v>0</v>
      </c>
      <c r="R746" s="40">
        <f t="shared" si="567"/>
        <v>0</v>
      </c>
      <c r="S746" s="40">
        <f t="shared" si="567"/>
        <v>0</v>
      </c>
      <c r="T746" s="40">
        <f t="shared" si="567"/>
        <v>0</v>
      </c>
      <c r="U746" s="40">
        <f t="shared" si="567"/>
        <v>0</v>
      </c>
      <c r="V746" s="40">
        <f t="shared" si="567"/>
        <v>0</v>
      </c>
      <c r="W746" s="40">
        <f t="shared" si="567"/>
        <v>0</v>
      </c>
      <c r="X746" s="40">
        <f t="shared" si="567"/>
        <v>0</v>
      </c>
      <c r="Y746" s="40">
        <f t="shared" si="567"/>
        <v>0</v>
      </c>
      <c r="Z746" s="39" t="s">
        <v>2075</v>
      </c>
      <c r="AA746" s="41" t="s">
        <v>41</v>
      </c>
      <c r="AB746" s="42" t="s">
        <v>56</v>
      </c>
      <c r="AC746" s="42" t="s">
        <v>56</v>
      </c>
      <c r="AD746" s="43" t="s">
        <v>2078</v>
      </c>
    </row>
    <row r="747" spans="1:30" x14ac:dyDescent="0.25">
      <c r="A747" s="37" t="s">
        <v>2079</v>
      </c>
      <c r="B747" s="38" t="s">
        <v>2080</v>
      </c>
      <c r="C747" s="39"/>
      <c r="D747" s="39"/>
      <c r="E747" s="39"/>
      <c r="F747" s="44">
        <v>0</v>
      </c>
      <c r="G747" s="44">
        <v>0</v>
      </c>
      <c r="H747" s="44">
        <v>0</v>
      </c>
      <c r="I747" s="44">
        <v>0</v>
      </c>
      <c r="J747" s="44">
        <v>0</v>
      </c>
      <c r="K747" s="44">
        <v>0</v>
      </c>
      <c r="L747" s="44">
        <v>0</v>
      </c>
      <c r="M747" s="44">
        <v>0</v>
      </c>
      <c r="N747" s="44">
        <v>0</v>
      </c>
      <c r="O747" s="44">
        <v>0</v>
      </c>
      <c r="P747" s="44">
        <v>0</v>
      </c>
      <c r="Q747" s="44">
        <v>0</v>
      </c>
      <c r="R747" s="44">
        <v>0</v>
      </c>
      <c r="S747" s="44">
        <v>0</v>
      </c>
      <c r="T747" s="44">
        <v>0</v>
      </c>
      <c r="U747" s="44">
        <v>0</v>
      </c>
      <c r="V747" s="44">
        <v>0</v>
      </c>
      <c r="W747" s="44">
        <v>0</v>
      </c>
      <c r="X747" s="44">
        <v>0</v>
      </c>
      <c r="Y747" s="44">
        <v>0</v>
      </c>
      <c r="Z747" s="39"/>
      <c r="AA747" s="41"/>
      <c r="AB747" s="42"/>
      <c r="AC747" s="42"/>
      <c r="AD747" s="43"/>
    </row>
    <row r="748" spans="1:30" ht="90" x14ac:dyDescent="0.25">
      <c r="A748" s="30" t="s">
        <v>2081</v>
      </c>
      <c r="B748" s="31" t="s">
        <v>2082</v>
      </c>
      <c r="C748" s="32" t="s">
        <v>2067</v>
      </c>
      <c r="D748" s="32" t="s">
        <v>2074</v>
      </c>
      <c r="E748" s="32" t="s">
        <v>39</v>
      </c>
      <c r="F748" s="33">
        <f t="shared" ref="F748:Y748" si="568">SUM(F749:F749)</f>
        <v>1361700</v>
      </c>
      <c r="G748" s="33">
        <f t="shared" si="568"/>
        <v>40000</v>
      </c>
      <c r="H748" s="33">
        <f t="shared" si="568"/>
        <v>0</v>
      </c>
      <c r="I748" s="33">
        <f t="shared" si="568"/>
        <v>0</v>
      </c>
      <c r="J748" s="33">
        <f t="shared" si="568"/>
        <v>1321700</v>
      </c>
      <c r="K748" s="33">
        <f t="shared" si="568"/>
        <v>0</v>
      </c>
      <c r="L748" s="33">
        <f t="shared" si="568"/>
        <v>0</v>
      </c>
      <c r="M748" s="33">
        <f t="shared" si="568"/>
        <v>0</v>
      </c>
      <c r="N748" s="33">
        <f t="shared" si="568"/>
        <v>0</v>
      </c>
      <c r="O748" s="33">
        <f t="shared" si="568"/>
        <v>0</v>
      </c>
      <c r="P748" s="33">
        <f t="shared" si="568"/>
        <v>1361700</v>
      </c>
      <c r="Q748" s="33">
        <f t="shared" si="568"/>
        <v>40000</v>
      </c>
      <c r="R748" s="33">
        <f t="shared" si="568"/>
        <v>0</v>
      </c>
      <c r="S748" s="33">
        <f t="shared" si="568"/>
        <v>0</v>
      </c>
      <c r="T748" s="33">
        <f t="shared" si="568"/>
        <v>0</v>
      </c>
      <c r="U748" s="33">
        <f t="shared" si="568"/>
        <v>0</v>
      </c>
      <c r="V748" s="33">
        <f t="shared" si="568"/>
        <v>0</v>
      </c>
      <c r="W748" s="33">
        <f t="shared" si="568"/>
        <v>0</v>
      </c>
      <c r="X748" s="33">
        <f t="shared" si="568"/>
        <v>0</v>
      </c>
      <c r="Y748" s="33">
        <f t="shared" si="568"/>
        <v>0</v>
      </c>
      <c r="Z748" s="32" t="s">
        <v>2083</v>
      </c>
      <c r="AA748" s="34" t="s">
        <v>41</v>
      </c>
      <c r="AB748" s="35" t="s">
        <v>218</v>
      </c>
      <c r="AC748" s="35" t="s">
        <v>218</v>
      </c>
      <c r="AD748" s="36"/>
    </row>
    <row r="749" spans="1:30" ht="46.5" x14ac:dyDescent="0.25">
      <c r="A749" s="37" t="s">
        <v>2084</v>
      </c>
      <c r="B749" s="38" t="s">
        <v>2085</v>
      </c>
      <c r="C749" s="39" t="s">
        <v>2067</v>
      </c>
      <c r="D749" s="39" t="s">
        <v>2074</v>
      </c>
      <c r="E749" s="39" t="s">
        <v>46</v>
      </c>
      <c r="F749" s="40">
        <f>SUM(F750:F750)+1361700</f>
        <v>1361700</v>
      </c>
      <c r="G749" s="40">
        <f>SUM(G750:G750)+40000</f>
        <v>40000</v>
      </c>
      <c r="H749" s="40">
        <f>SUM(H750:H750)</f>
        <v>0</v>
      </c>
      <c r="I749" s="40">
        <f>SUM(I750:I750)</f>
        <v>0</v>
      </c>
      <c r="J749" s="40">
        <f>SUM(J750:J750)+1321700</f>
        <v>1321700</v>
      </c>
      <c r="K749" s="40">
        <f>SUM(K750:K750)</f>
        <v>0</v>
      </c>
      <c r="L749" s="40">
        <f>SUM(L750:L750)</f>
        <v>0</v>
      </c>
      <c r="M749" s="40">
        <f>SUM(M750:M750)</f>
        <v>0</v>
      </c>
      <c r="N749" s="40">
        <f>SUM(N750:N750)</f>
        <v>0</v>
      </c>
      <c r="O749" s="40">
        <f>SUM(O750:O750)</f>
        <v>0</v>
      </c>
      <c r="P749" s="40">
        <f>SUM(P750:P750)+1361700</f>
        <v>1361700</v>
      </c>
      <c r="Q749" s="40">
        <f>SUM(Q750:Q750)+40000</f>
        <v>40000</v>
      </c>
      <c r="R749" s="40">
        <f t="shared" ref="R749:Y749" si="569">SUM(R750:R750)</f>
        <v>0</v>
      </c>
      <c r="S749" s="40">
        <f t="shared" si="569"/>
        <v>0</v>
      </c>
      <c r="T749" s="40">
        <f t="shared" si="569"/>
        <v>0</v>
      </c>
      <c r="U749" s="40">
        <f t="shared" si="569"/>
        <v>0</v>
      </c>
      <c r="V749" s="40">
        <f t="shared" si="569"/>
        <v>0</v>
      </c>
      <c r="W749" s="40">
        <f t="shared" si="569"/>
        <v>0</v>
      </c>
      <c r="X749" s="40">
        <f t="shared" si="569"/>
        <v>0</v>
      </c>
      <c r="Y749" s="40">
        <f t="shared" si="569"/>
        <v>0</v>
      </c>
      <c r="Z749" s="39" t="s">
        <v>2083</v>
      </c>
      <c r="AA749" s="41" t="s">
        <v>41</v>
      </c>
      <c r="AB749" s="42" t="s">
        <v>218</v>
      </c>
      <c r="AC749" s="42" t="s">
        <v>218</v>
      </c>
      <c r="AD749" s="43"/>
    </row>
    <row r="750" spans="1:30" ht="46.5" x14ac:dyDescent="0.25">
      <c r="A750" s="37" t="s">
        <v>2086</v>
      </c>
      <c r="B750" s="38" t="s">
        <v>2087</v>
      </c>
      <c r="C750" s="39"/>
      <c r="D750" s="39"/>
      <c r="E750" s="39"/>
      <c r="F750" s="44">
        <v>0</v>
      </c>
      <c r="G750" s="44">
        <v>0</v>
      </c>
      <c r="H750" s="44">
        <v>0</v>
      </c>
      <c r="I750" s="44">
        <v>0</v>
      </c>
      <c r="J750" s="44">
        <v>0</v>
      </c>
      <c r="K750" s="44">
        <v>0</v>
      </c>
      <c r="L750" s="44">
        <v>0</v>
      </c>
      <c r="M750" s="44">
        <v>0</v>
      </c>
      <c r="N750" s="44">
        <v>0</v>
      </c>
      <c r="O750" s="44">
        <v>0</v>
      </c>
      <c r="P750" s="44">
        <v>0</v>
      </c>
      <c r="Q750" s="44">
        <v>0</v>
      </c>
      <c r="R750" s="44">
        <v>0</v>
      </c>
      <c r="S750" s="44">
        <v>0</v>
      </c>
      <c r="T750" s="44">
        <v>0</v>
      </c>
      <c r="U750" s="44">
        <v>0</v>
      </c>
      <c r="V750" s="44">
        <v>0</v>
      </c>
      <c r="W750" s="44">
        <v>0</v>
      </c>
      <c r="X750" s="44">
        <v>0</v>
      </c>
      <c r="Y750" s="44">
        <v>0</v>
      </c>
      <c r="Z750" s="39"/>
      <c r="AA750" s="41"/>
      <c r="AB750" s="42"/>
      <c r="AC750" s="42"/>
      <c r="AD750" s="43"/>
    </row>
    <row r="751" spans="1:30" ht="67.5" x14ac:dyDescent="0.25">
      <c r="A751" s="30" t="s">
        <v>2088</v>
      </c>
      <c r="B751" s="31" t="s">
        <v>2089</v>
      </c>
      <c r="C751" s="32" t="s">
        <v>2067</v>
      </c>
      <c r="D751" s="32" t="s">
        <v>2068</v>
      </c>
      <c r="E751" s="32" t="s">
        <v>39</v>
      </c>
      <c r="F751" s="33">
        <f t="shared" ref="F751:Y751" si="570">SUM(F752:F752)</f>
        <v>1000</v>
      </c>
      <c r="G751" s="33">
        <f t="shared" si="570"/>
        <v>1000</v>
      </c>
      <c r="H751" s="33">
        <f t="shared" si="570"/>
        <v>0</v>
      </c>
      <c r="I751" s="33">
        <f t="shared" si="570"/>
        <v>0</v>
      </c>
      <c r="J751" s="33">
        <f t="shared" si="570"/>
        <v>0</v>
      </c>
      <c r="K751" s="33">
        <f t="shared" si="570"/>
        <v>0</v>
      </c>
      <c r="L751" s="33">
        <f t="shared" si="570"/>
        <v>0</v>
      </c>
      <c r="M751" s="33">
        <f t="shared" si="570"/>
        <v>0</v>
      </c>
      <c r="N751" s="33">
        <f t="shared" si="570"/>
        <v>0</v>
      </c>
      <c r="O751" s="33">
        <f t="shared" si="570"/>
        <v>0</v>
      </c>
      <c r="P751" s="33">
        <f t="shared" si="570"/>
        <v>1000</v>
      </c>
      <c r="Q751" s="33">
        <f t="shared" si="570"/>
        <v>1000</v>
      </c>
      <c r="R751" s="33">
        <f t="shared" si="570"/>
        <v>0</v>
      </c>
      <c r="S751" s="33">
        <f t="shared" si="570"/>
        <v>0</v>
      </c>
      <c r="T751" s="33">
        <f t="shared" si="570"/>
        <v>0</v>
      </c>
      <c r="U751" s="33">
        <f t="shared" si="570"/>
        <v>0</v>
      </c>
      <c r="V751" s="33">
        <f t="shared" si="570"/>
        <v>0</v>
      </c>
      <c r="W751" s="33">
        <f t="shared" si="570"/>
        <v>0</v>
      </c>
      <c r="X751" s="33">
        <f t="shared" si="570"/>
        <v>0</v>
      </c>
      <c r="Y751" s="33">
        <f t="shared" si="570"/>
        <v>0</v>
      </c>
      <c r="Z751" s="32" t="s">
        <v>2090</v>
      </c>
      <c r="AA751" s="34" t="s">
        <v>41</v>
      </c>
      <c r="AB751" s="35" t="s">
        <v>2091</v>
      </c>
      <c r="AC751" s="35" t="s">
        <v>2091</v>
      </c>
      <c r="AD751" s="36"/>
    </row>
    <row r="752" spans="1:30" ht="46.5" x14ac:dyDescent="0.25">
      <c r="A752" s="37" t="s">
        <v>2092</v>
      </c>
      <c r="B752" s="38" t="s">
        <v>2093</v>
      </c>
      <c r="C752" s="39" t="s">
        <v>2067</v>
      </c>
      <c r="D752" s="39" t="s">
        <v>2068</v>
      </c>
      <c r="E752" s="39" t="s">
        <v>46</v>
      </c>
      <c r="F752" s="40">
        <f>SUM(F753:F753)+1000</f>
        <v>1000</v>
      </c>
      <c r="G752" s="40">
        <f>SUM(G753:G753)+1000</f>
        <v>1000</v>
      </c>
      <c r="H752" s="40">
        <f t="shared" ref="H752:O752" si="571">SUM(H753:H753)</f>
        <v>0</v>
      </c>
      <c r="I752" s="40">
        <f t="shared" si="571"/>
        <v>0</v>
      </c>
      <c r="J752" s="40">
        <f t="shared" si="571"/>
        <v>0</v>
      </c>
      <c r="K752" s="40">
        <f t="shared" si="571"/>
        <v>0</v>
      </c>
      <c r="L752" s="40">
        <f t="shared" si="571"/>
        <v>0</v>
      </c>
      <c r="M752" s="40">
        <f t="shared" si="571"/>
        <v>0</v>
      </c>
      <c r="N752" s="40">
        <f t="shared" si="571"/>
        <v>0</v>
      </c>
      <c r="O752" s="40">
        <f t="shared" si="571"/>
        <v>0</v>
      </c>
      <c r="P752" s="40">
        <f>SUM(P753:P753)+1000</f>
        <v>1000</v>
      </c>
      <c r="Q752" s="40">
        <f>SUM(Q753:Q753)+1000</f>
        <v>1000</v>
      </c>
      <c r="R752" s="40">
        <f t="shared" ref="R752:Y752" si="572">SUM(R753:R753)</f>
        <v>0</v>
      </c>
      <c r="S752" s="40">
        <f t="shared" si="572"/>
        <v>0</v>
      </c>
      <c r="T752" s="40">
        <f t="shared" si="572"/>
        <v>0</v>
      </c>
      <c r="U752" s="40">
        <f t="shared" si="572"/>
        <v>0</v>
      </c>
      <c r="V752" s="40">
        <f t="shared" si="572"/>
        <v>0</v>
      </c>
      <c r="W752" s="40">
        <f t="shared" si="572"/>
        <v>0</v>
      </c>
      <c r="X752" s="40">
        <f t="shared" si="572"/>
        <v>0</v>
      </c>
      <c r="Y752" s="40">
        <f t="shared" si="572"/>
        <v>0</v>
      </c>
      <c r="Z752" s="39" t="s">
        <v>2094</v>
      </c>
      <c r="AA752" s="41" t="s">
        <v>41</v>
      </c>
      <c r="AB752" s="42" t="s">
        <v>2091</v>
      </c>
      <c r="AC752" s="42" t="s">
        <v>2091</v>
      </c>
      <c r="AD752" s="43"/>
    </row>
    <row r="753" spans="1:30" ht="46.5" x14ac:dyDescent="0.25">
      <c r="A753" s="37" t="s">
        <v>2095</v>
      </c>
      <c r="B753" s="38" t="s">
        <v>2096</v>
      </c>
      <c r="C753" s="39"/>
      <c r="D753" s="39"/>
      <c r="E753" s="39"/>
      <c r="F753" s="44">
        <v>0</v>
      </c>
      <c r="G753" s="44">
        <v>0</v>
      </c>
      <c r="H753" s="44">
        <v>0</v>
      </c>
      <c r="I753" s="44">
        <v>0</v>
      </c>
      <c r="J753" s="44">
        <v>0</v>
      </c>
      <c r="K753" s="44">
        <v>0</v>
      </c>
      <c r="L753" s="44">
        <v>0</v>
      </c>
      <c r="M753" s="44">
        <v>0</v>
      </c>
      <c r="N753" s="44">
        <v>0</v>
      </c>
      <c r="O753" s="44">
        <v>0</v>
      </c>
      <c r="P753" s="44">
        <v>0</v>
      </c>
      <c r="Q753" s="44">
        <v>0</v>
      </c>
      <c r="R753" s="44">
        <v>0</v>
      </c>
      <c r="S753" s="44">
        <v>0</v>
      </c>
      <c r="T753" s="44">
        <v>0</v>
      </c>
      <c r="U753" s="44">
        <v>0</v>
      </c>
      <c r="V753" s="44">
        <v>0</v>
      </c>
      <c r="W753" s="44">
        <v>0</v>
      </c>
      <c r="X753" s="44">
        <v>0</v>
      </c>
      <c r="Y753" s="44">
        <v>0</v>
      </c>
      <c r="Z753" s="39"/>
      <c r="AA753" s="41"/>
      <c r="AB753" s="42"/>
      <c r="AC753" s="42"/>
      <c r="AD753" s="43"/>
    </row>
    <row r="754" spans="1:30" ht="45" x14ac:dyDescent="0.25">
      <c r="A754" s="30" t="s">
        <v>2097</v>
      </c>
      <c r="B754" s="31" t="s">
        <v>2098</v>
      </c>
      <c r="C754" s="32" t="s">
        <v>1027</v>
      </c>
      <c r="D754" s="32" t="s">
        <v>1028</v>
      </c>
      <c r="E754" s="32" t="s">
        <v>39</v>
      </c>
      <c r="F754" s="33">
        <f t="shared" ref="F754:Y754" si="573">F755+F757+F759+F761</f>
        <v>51766.73</v>
      </c>
      <c r="G754" s="33">
        <f t="shared" si="573"/>
        <v>966.73</v>
      </c>
      <c r="H754" s="33">
        <f t="shared" si="573"/>
        <v>0</v>
      </c>
      <c r="I754" s="33">
        <f t="shared" si="573"/>
        <v>0</v>
      </c>
      <c r="J754" s="33">
        <f t="shared" si="573"/>
        <v>50800</v>
      </c>
      <c r="K754" s="33">
        <f t="shared" si="573"/>
        <v>0</v>
      </c>
      <c r="L754" s="33">
        <f t="shared" si="573"/>
        <v>0</v>
      </c>
      <c r="M754" s="33">
        <f t="shared" si="573"/>
        <v>0</v>
      </c>
      <c r="N754" s="33">
        <f t="shared" si="573"/>
        <v>0</v>
      </c>
      <c r="O754" s="33">
        <f t="shared" si="573"/>
        <v>0</v>
      </c>
      <c r="P754" s="33">
        <f t="shared" si="573"/>
        <v>51766.73</v>
      </c>
      <c r="Q754" s="33">
        <f t="shared" si="573"/>
        <v>966.73</v>
      </c>
      <c r="R754" s="33">
        <f t="shared" si="573"/>
        <v>0</v>
      </c>
      <c r="S754" s="33">
        <f t="shared" si="573"/>
        <v>0</v>
      </c>
      <c r="T754" s="33">
        <f t="shared" si="573"/>
        <v>0</v>
      </c>
      <c r="U754" s="33">
        <f t="shared" si="573"/>
        <v>0</v>
      </c>
      <c r="V754" s="33">
        <f t="shared" si="573"/>
        <v>0</v>
      </c>
      <c r="W754" s="33">
        <f t="shared" si="573"/>
        <v>0</v>
      </c>
      <c r="X754" s="33">
        <f t="shared" si="573"/>
        <v>0</v>
      </c>
      <c r="Y754" s="33">
        <f t="shared" si="573"/>
        <v>0</v>
      </c>
      <c r="Z754" s="32" t="s">
        <v>2099</v>
      </c>
      <c r="AA754" s="34" t="s">
        <v>41</v>
      </c>
      <c r="AB754" s="35" t="s">
        <v>83</v>
      </c>
      <c r="AC754" s="35" t="s">
        <v>83</v>
      </c>
      <c r="AD754" s="36"/>
    </row>
    <row r="755" spans="1:30" ht="69.75" x14ac:dyDescent="0.25">
      <c r="A755" s="37" t="s">
        <v>2100</v>
      </c>
      <c r="B755" s="38" t="s">
        <v>2101</v>
      </c>
      <c r="C755" s="39" t="s">
        <v>2102</v>
      </c>
      <c r="D755" s="39" t="s">
        <v>1028</v>
      </c>
      <c r="E755" s="39"/>
      <c r="F755" s="40">
        <f>SUM(F756:F756)+50800</f>
        <v>50800</v>
      </c>
      <c r="G755" s="40">
        <f>SUM(G756:G756)</f>
        <v>0</v>
      </c>
      <c r="H755" s="40">
        <f>SUM(H756:H756)</f>
        <v>0</v>
      </c>
      <c r="I755" s="40">
        <f>SUM(I756:I756)</f>
        <v>0</v>
      </c>
      <c r="J755" s="40">
        <f>SUM(J756:J756)+50800</f>
        <v>50800</v>
      </c>
      <c r="K755" s="40">
        <f>SUM(K756:K756)</f>
        <v>0</v>
      </c>
      <c r="L755" s="40">
        <f>SUM(L756:L756)</f>
        <v>0</v>
      </c>
      <c r="M755" s="40">
        <f>SUM(M756:M756)</f>
        <v>0</v>
      </c>
      <c r="N755" s="40">
        <f>SUM(N756:N756)</f>
        <v>0</v>
      </c>
      <c r="O755" s="40">
        <f>SUM(O756:O756)</f>
        <v>0</v>
      </c>
      <c r="P755" s="40">
        <f>SUM(P756:P756)+50800</f>
        <v>50800</v>
      </c>
      <c r="Q755" s="40">
        <f t="shared" ref="Q755:Y755" si="574">SUM(Q756:Q756)</f>
        <v>0</v>
      </c>
      <c r="R755" s="40">
        <f t="shared" si="574"/>
        <v>0</v>
      </c>
      <c r="S755" s="40">
        <f t="shared" si="574"/>
        <v>0</v>
      </c>
      <c r="T755" s="40">
        <f t="shared" si="574"/>
        <v>0</v>
      </c>
      <c r="U755" s="40">
        <f t="shared" si="574"/>
        <v>0</v>
      </c>
      <c r="V755" s="40">
        <f t="shared" si="574"/>
        <v>0</v>
      </c>
      <c r="W755" s="40">
        <f t="shared" si="574"/>
        <v>0</v>
      </c>
      <c r="X755" s="40">
        <f t="shared" si="574"/>
        <v>0</v>
      </c>
      <c r="Y755" s="40">
        <f t="shared" si="574"/>
        <v>0</v>
      </c>
      <c r="Z755" s="39" t="s">
        <v>2103</v>
      </c>
      <c r="AA755" s="41" t="s">
        <v>41</v>
      </c>
      <c r="AB755" s="42" t="s">
        <v>56</v>
      </c>
      <c r="AC755" s="42" t="s">
        <v>56</v>
      </c>
      <c r="AD755" s="43"/>
    </row>
    <row r="756" spans="1:30" ht="46.5" x14ac:dyDescent="0.25">
      <c r="A756" s="37" t="s">
        <v>2104</v>
      </c>
      <c r="B756" s="38" t="s">
        <v>2105</v>
      </c>
      <c r="C756" s="39"/>
      <c r="D756" s="39"/>
      <c r="E756" s="39"/>
      <c r="F756" s="44">
        <v>0</v>
      </c>
      <c r="G756" s="44">
        <v>0</v>
      </c>
      <c r="H756" s="44">
        <v>0</v>
      </c>
      <c r="I756" s="44">
        <v>0</v>
      </c>
      <c r="J756" s="44">
        <v>0</v>
      </c>
      <c r="K756" s="44">
        <v>0</v>
      </c>
      <c r="L756" s="44">
        <v>0</v>
      </c>
      <c r="M756" s="44">
        <v>0</v>
      </c>
      <c r="N756" s="44">
        <v>0</v>
      </c>
      <c r="O756" s="44">
        <v>0</v>
      </c>
      <c r="P756" s="44">
        <v>0</v>
      </c>
      <c r="Q756" s="44">
        <v>0</v>
      </c>
      <c r="R756" s="44">
        <v>0</v>
      </c>
      <c r="S756" s="44">
        <v>0</v>
      </c>
      <c r="T756" s="44">
        <v>0</v>
      </c>
      <c r="U756" s="44">
        <v>0</v>
      </c>
      <c r="V756" s="44">
        <v>0</v>
      </c>
      <c r="W756" s="44">
        <v>0</v>
      </c>
      <c r="X756" s="44">
        <v>0</v>
      </c>
      <c r="Y756" s="44">
        <v>0</v>
      </c>
      <c r="Z756" s="39"/>
      <c r="AA756" s="41"/>
      <c r="AB756" s="42"/>
      <c r="AC756" s="42"/>
      <c r="AD756" s="43"/>
    </row>
    <row r="757" spans="1:30" ht="46.5" x14ac:dyDescent="0.25">
      <c r="A757" s="37" t="s">
        <v>2106</v>
      </c>
      <c r="B757" s="38" t="s">
        <v>2107</v>
      </c>
      <c r="C757" s="39" t="s">
        <v>1541</v>
      </c>
      <c r="D757" s="39" t="s">
        <v>247</v>
      </c>
      <c r="E757" s="39"/>
      <c r="F757" s="40">
        <f>SUM(F758:F758)+482.73</f>
        <v>482.73</v>
      </c>
      <c r="G757" s="40">
        <f>SUM(G758:G758)+482.73</f>
        <v>482.73</v>
      </c>
      <c r="H757" s="40">
        <f t="shared" ref="H757:O757" si="575">SUM(H758:H758)</f>
        <v>0</v>
      </c>
      <c r="I757" s="40">
        <f t="shared" si="575"/>
        <v>0</v>
      </c>
      <c r="J757" s="40">
        <f t="shared" si="575"/>
        <v>0</v>
      </c>
      <c r="K757" s="40">
        <f t="shared" si="575"/>
        <v>0</v>
      </c>
      <c r="L757" s="40">
        <f t="shared" si="575"/>
        <v>0</v>
      </c>
      <c r="M757" s="40">
        <f t="shared" si="575"/>
        <v>0</v>
      </c>
      <c r="N757" s="40">
        <f t="shared" si="575"/>
        <v>0</v>
      </c>
      <c r="O757" s="40">
        <f t="shared" si="575"/>
        <v>0</v>
      </c>
      <c r="P757" s="40">
        <f>SUM(P758:P758)+482.73</f>
        <v>482.73</v>
      </c>
      <c r="Q757" s="40">
        <f>SUM(Q758:Q758)+482.73</f>
        <v>482.73</v>
      </c>
      <c r="R757" s="40">
        <f t="shared" ref="R757:Y757" si="576">SUM(R758:R758)</f>
        <v>0</v>
      </c>
      <c r="S757" s="40">
        <f t="shared" si="576"/>
        <v>0</v>
      </c>
      <c r="T757" s="40">
        <f t="shared" si="576"/>
        <v>0</v>
      </c>
      <c r="U757" s="40">
        <f t="shared" si="576"/>
        <v>0</v>
      </c>
      <c r="V757" s="40">
        <f t="shared" si="576"/>
        <v>0</v>
      </c>
      <c r="W757" s="40">
        <f t="shared" si="576"/>
        <v>0</v>
      </c>
      <c r="X757" s="40">
        <f t="shared" si="576"/>
        <v>0</v>
      </c>
      <c r="Y757" s="40">
        <f t="shared" si="576"/>
        <v>0</v>
      </c>
      <c r="Z757" s="39" t="s">
        <v>2108</v>
      </c>
      <c r="AA757" s="41" t="s">
        <v>41</v>
      </c>
      <c r="AB757" s="42" t="s">
        <v>56</v>
      </c>
      <c r="AC757" s="42" t="s">
        <v>56</v>
      </c>
      <c r="AD757" s="43"/>
    </row>
    <row r="758" spans="1:30" ht="46.5" x14ac:dyDescent="0.25">
      <c r="A758" s="37" t="s">
        <v>2109</v>
      </c>
      <c r="B758" s="38" t="s">
        <v>2110</v>
      </c>
      <c r="C758" s="39"/>
      <c r="D758" s="39"/>
      <c r="E758" s="39"/>
      <c r="F758" s="44">
        <v>0</v>
      </c>
      <c r="G758" s="44">
        <v>0</v>
      </c>
      <c r="H758" s="44">
        <v>0</v>
      </c>
      <c r="I758" s="44">
        <v>0</v>
      </c>
      <c r="J758" s="44">
        <v>0</v>
      </c>
      <c r="K758" s="44">
        <v>0</v>
      </c>
      <c r="L758" s="44">
        <v>0</v>
      </c>
      <c r="M758" s="44">
        <v>0</v>
      </c>
      <c r="N758" s="44">
        <v>0</v>
      </c>
      <c r="O758" s="44">
        <v>0</v>
      </c>
      <c r="P758" s="44">
        <v>0</v>
      </c>
      <c r="Q758" s="44">
        <v>0</v>
      </c>
      <c r="R758" s="44">
        <v>0</v>
      </c>
      <c r="S758" s="44">
        <v>0</v>
      </c>
      <c r="T758" s="44">
        <v>0</v>
      </c>
      <c r="U758" s="44">
        <v>0</v>
      </c>
      <c r="V758" s="44">
        <v>0</v>
      </c>
      <c r="W758" s="44">
        <v>0</v>
      </c>
      <c r="X758" s="44">
        <v>0</v>
      </c>
      <c r="Y758" s="44">
        <v>0</v>
      </c>
      <c r="Z758" s="39"/>
      <c r="AA758" s="41"/>
      <c r="AB758" s="42"/>
      <c r="AC758" s="42"/>
      <c r="AD758" s="43"/>
    </row>
    <row r="759" spans="1:30" ht="46.5" x14ac:dyDescent="0.25">
      <c r="A759" s="37" t="s">
        <v>2111</v>
      </c>
      <c r="B759" s="38" t="s">
        <v>2112</v>
      </c>
      <c r="C759" s="39" t="s">
        <v>1541</v>
      </c>
      <c r="D759" s="39" t="s">
        <v>247</v>
      </c>
      <c r="E759" s="39" t="s">
        <v>46</v>
      </c>
      <c r="F759" s="40">
        <f>SUM(F760:F760)+484</f>
        <v>484</v>
      </c>
      <c r="G759" s="40">
        <f>SUM(G760:G760)+484</f>
        <v>484</v>
      </c>
      <c r="H759" s="40">
        <f t="shared" ref="H759:O759" si="577">SUM(H760:H760)</f>
        <v>0</v>
      </c>
      <c r="I759" s="40">
        <f t="shared" si="577"/>
        <v>0</v>
      </c>
      <c r="J759" s="40">
        <f t="shared" si="577"/>
        <v>0</v>
      </c>
      <c r="K759" s="40">
        <f t="shared" si="577"/>
        <v>0</v>
      </c>
      <c r="L759" s="40">
        <f t="shared" si="577"/>
        <v>0</v>
      </c>
      <c r="M759" s="40">
        <f t="shared" si="577"/>
        <v>0</v>
      </c>
      <c r="N759" s="40">
        <f t="shared" si="577"/>
        <v>0</v>
      </c>
      <c r="O759" s="40">
        <f t="shared" si="577"/>
        <v>0</v>
      </c>
      <c r="P759" s="40">
        <f>SUM(P760:P760)+484</f>
        <v>484</v>
      </c>
      <c r="Q759" s="40">
        <f>SUM(Q760:Q760)+484</f>
        <v>484</v>
      </c>
      <c r="R759" s="40">
        <f t="shared" ref="R759:Y759" si="578">SUM(R760:R760)</f>
        <v>0</v>
      </c>
      <c r="S759" s="40">
        <f t="shared" si="578"/>
        <v>0</v>
      </c>
      <c r="T759" s="40">
        <f t="shared" si="578"/>
        <v>0</v>
      </c>
      <c r="U759" s="40">
        <f t="shared" si="578"/>
        <v>0</v>
      </c>
      <c r="V759" s="40">
        <f t="shared" si="578"/>
        <v>0</v>
      </c>
      <c r="W759" s="40">
        <f t="shared" si="578"/>
        <v>0</v>
      </c>
      <c r="X759" s="40">
        <f t="shared" si="578"/>
        <v>0</v>
      </c>
      <c r="Y759" s="40">
        <f t="shared" si="578"/>
        <v>0</v>
      </c>
      <c r="Z759" s="39" t="s">
        <v>2113</v>
      </c>
      <c r="AA759" s="41" t="s">
        <v>41</v>
      </c>
      <c r="AB759" s="42" t="s">
        <v>56</v>
      </c>
      <c r="AC759" s="42" t="s">
        <v>56</v>
      </c>
      <c r="AD759" s="43"/>
    </row>
    <row r="760" spans="1:30" ht="46.5" x14ac:dyDescent="0.25">
      <c r="A760" s="37" t="s">
        <v>2114</v>
      </c>
      <c r="B760" s="38" t="s">
        <v>2115</v>
      </c>
      <c r="C760" s="39"/>
      <c r="D760" s="39"/>
      <c r="E760" s="39"/>
      <c r="F760" s="44">
        <v>0</v>
      </c>
      <c r="G760" s="44">
        <v>0</v>
      </c>
      <c r="H760" s="44">
        <v>0</v>
      </c>
      <c r="I760" s="44">
        <v>0</v>
      </c>
      <c r="J760" s="44">
        <v>0</v>
      </c>
      <c r="K760" s="44">
        <v>0</v>
      </c>
      <c r="L760" s="44">
        <v>0</v>
      </c>
      <c r="M760" s="44">
        <v>0</v>
      </c>
      <c r="N760" s="44">
        <v>0</v>
      </c>
      <c r="O760" s="44">
        <v>0</v>
      </c>
      <c r="P760" s="44">
        <v>0</v>
      </c>
      <c r="Q760" s="44">
        <v>0</v>
      </c>
      <c r="R760" s="44">
        <v>0</v>
      </c>
      <c r="S760" s="44">
        <v>0</v>
      </c>
      <c r="T760" s="44">
        <v>0</v>
      </c>
      <c r="U760" s="44">
        <v>0</v>
      </c>
      <c r="V760" s="44">
        <v>0</v>
      </c>
      <c r="W760" s="44">
        <v>0</v>
      </c>
      <c r="X760" s="44">
        <v>0</v>
      </c>
      <c r="Y760" s="44">
        <v>0</v>
      </c>
      <c r="Z760" s="39"/>
      <c r="AA760" s="41"/>
      <c r="AB760" s="42"/>
      <c r="AC760" s="42"/>
      <c r="AD760" s="43"/>
    </row>
    <row r="761" spans="1:30" ht="69.75" x14ac:dyDescent="0.25">
      <c r="A761" s="37" t="s">
        <v>2116</v>
      </c>
      <c r="B761" s="38" t="s">
        <v>2117</v>
      </c>
      <c r="C761" s="39" t="s">
        <v>1541</v>
      </c>
      <c r="D761" s="39" t="s">
        <v>1544</v>
      </c>
      <c r="E761" s="39" t="s">
        <v>46</v>
      </c>
      <c r="F761" s="40">
        <f t="shared" ref="F761:Y761" si="579">SUM(F762:F762)</f>
        <v>0</v>
      </c>
      <c r="G761" s="40">
        <f t="shared" si="579"/>
        <v>0</v>
      </c>
      <c r="H761" s="40">
        <f t="shared" si="579"/>
        <v>0</v>
      </c>
      <c r="I761" s="40">
        <f t="shared" si="579"/>
        <v>0</v>
      </c>
      <c r="J761" s="40">
        <f t="shared" si="579"/>
        <v>0</v>
      </c>
      <c r="K761" s="40">
        <f t="shared" si="579"/>
        <v>0</v>
      </c>
      <c r="L761" s="40">
        <f t="shared" si="579"/>
        <v>0</v>
      </c>
      <c r="M761" s="40">
        <f t="shared" si="579"/>
        <v>0</v>
      </c>
      <c r="N761" s="40">
        <f t="shared" si="579"/>
        <v>0</v>
      </c>
      <c r="O761" s="40">
        <f t="shared" si="579"/>
        <v>0</v>
      </c>
      <c r="P761" s="40">
        <f t="shared" si="579"/>
        <v>0</v>
      </c>
      <c r="Q761" s="40">
        <f t="shared" si="579"/>
        <v>0</v>
      </c>
      <c r="R761" s="40">
        <f t="shared" si="579"/>
        <v>0</v>
      </c>
      <c r="S761" s="40">
        <f t="shared" si="579"/>
        <v>0</v>
      </c>
      <c r="T761" s="40">
        <f t="shared" si="579"/>
        <v>0</v>
      </c>
      <c r="U761" s="40">
        <f t="shared" si="579"/>
        <v>0</v>
      </c>
      <c r="V761" s="40">
        <f t="shared" si="579"/>
        <v>0</v>
      </c>
      <c r="W761" s="40">
        <f t="shared" si="579"/>
        <v>0</v>
      </c>
      <c r="X761" s="40">
        <f t="shared" si="579"/>
        <v>0</v>
      </c>
      <c r="Y761" s="40">
        <f t="shared" si="579"/>
        <v>0</v>
      </c>
      <c r="Z761" s="39" t="s">
        <v>2118</v>
      </c>
      <c r="AA761" s="41" t="s">
        <v>41</v>
      </c>
      <c r="AB761" s="42" t="s">
        <v>56</v>
      </c>
      <c r="AC761" s="42" t="s">
        <v>57</v>
      </c>
      <c r="AD761" s="43" t="s">
        <v>2119</v>
      </c>
    </row>
    <row r="762" spans="1:30" ht="46.5" x14ac:dyDescent="0.25">
      <c r="A762" s="37" t="s">
        <v>2120</v>
      </c>
      <c r="B762" s="38" t="s">
        <v>2121</v>
      </c>
      <c r="C762" s="39"/>
      <c r="D762" s="39"/>
      <c r="E762" s="39"/>
      <c r="F762" s="44">
        <v>0</v>
      </c>
      <c r="G762" s="44">
        <v>0</v>
      </c>
      <c r="H762" s="44">
        <v>0</v>
      </c>
      <c r="I762" s="44">
        <v>0</v>
      </c>
      <c r="J762" s="44">
        <v>0</v>
      </c>
      <c r="K762" s="44">
        <v>0</v>
      </c>
      <c r="L762" s="44">
        <v>0</v>
      </c>
      <c r="M762" s="44">
        <v>0</v>
      </c>
      <c r="N762" s="44">
        <v>0</v>
      </c>
      <c r="O762" s="44">
        <v>0</v>
      </c>
      <c r="P762" s="44">
        <v>0</v>
      </c>
      <c r="Q762" s="44">
        <v>0</v>
      </c>
      <c r="R762" s="44">
        <v>0</v>
      </c>
      <c r="S762" s="44">
        <v>0</v>
      </c>
      <c r="T762" s="44">
        <v>0</v>
      </c>
      <c r="U762" s="44">
        <v>0</v>
      </c>
      <c r="V762" s="44">
        <v>0</v>
      </c>
      <c r="W762" s="44">
        <v>0</v>
      </c>
      <c r="X762" s="44">
        <v>0</v>
      </c>
      <c r="Y762" s="44">
        <v>0</v>
      </c>
      <c r="Z762" s="39"/>
      <c r="AA762" s="41"/>
      <c r="AB762" s="42"/>
      <c r="AC762" s="42"/>
      <c r="AD762" s="43"/>
    </row>
    <row r="763" spans="1:30" ht="67.5" x14ac:dyDescent="0.25">
      <c r="A763" s="23" t="s">
        <v>2122</v>
      </c>
      <c r="B763" s="24" t="s">
        <v>511</v>
      </c>
      <c r="C763" s="25" t="s">
        <v>1027</v>
      </c>
      <c r="D763" s="25" t="s">
        <v>1028</v>
      </c>
      <c r="E763" s="25"/>
      <c r="F763" s="26">
        <f t="shared" ref="F763:O764" si="580">SUM(F764:F764)</f>
        <v>1500</v>
      </c>
      <c r="G763" s="26">
        <f t="shared" si="580"/>
        <v>1500</v>
      </c>
      <c r="H763" s="26">
        <f t="shared" si="580"/>
        <v>0</v>
      </c>
      <c r="I763" s="26">
        <f t="shared" si="580"/>
        <v>0</v>
      </c>
      <c r="J763" s="26">
        <f t="shared" si="580"/>
        <v>0</v>
      </c>
      <c r="K763" s="26">
        <f t="shared" si="580"/>
        <v>0</v>
      </c>
      <c r="L763" s="26">
        <f t="shared" si="580"/>
        <v>0</v>
      </c>
      <c r="M763" s="26">
        <f t="shared" si="580"/>
        <v>0</v>
      </c>
      <c r="N763" s="26">
        <f t="shared" si="580"/>
        <v>0</v>
      </c>
      <c r="O763" s="26">
        <f t="shared" si="580"/>
        <v>0</v>
      </c>
      <c r="P763" s="26">
        <f t="shared" ref="P763:Y764" si="581">SUM(P764:P764)</f>
        <v>1500</v>
      </c>
      <c r="Q763" s="26">
        <f t="shared" si="581"/>
        <v>1500</v>
      </c>
      <c r="R763" s="26">
        <f t="shared" si="581"/>
        <v>0</v>
      </c>
      <c r="S763" s="26">
        <f t="shared" si="581"/>
        <v>0</v>
      </c>
      <c r="T763" s="26">
        <f t="shared" si="581"/>
        <v>0</v>
      </c>
      <c r="U763" s="26">
        <f t="shared" si="581"/>
        <v>0</v>
      </c>
      <c r="V763" s="26">
        <f t="shared" si="581"/>
        <v>0</v>
      </c>
      <c r="W763" s="26">
        <f t="shared" si="581"/>
        <v>0</v>
      </c>
      <c r="X763" s="26">
        <f t="shared" si="581"/>
        <v>0</v>
      </c>
      <c r="Y763" s="26">
        <f t="shared" si="581"/>
        <v>0</v>
      </c>
      <c r="Z763" s="25" t="s">
        <v>512</v>
      </c>
      <c r="AA763" s="27" t="s">
        <v>35</v>
      </c>
      <c r="AB763" s="28" t="s">
        <v>2070</v>
      </c>
      <c r="AC763" s="28" t="s">
        <v>2070</v>
      </c>
      <c r="AD763" s="29"/>
    </row>
    <row r="764" spans="1:30" ht="45" x14ac:dyDescent="0.25">
      <c r="A764" s="30" t="s">
        <v>2123</v>
      </c>
      <c r="B764" s="31" t="s">
        <v>2124</v>
      </c>
      <c r="C764" s="32" t="s">
        <v>1027</v>
      </c>
      <c r="D764" s="32" t="s">
        <v>1028</v>
      </c>
      <c r="E764" s="32" t="s">
        <v>39</v>
      </c>
      <c r="F764" s="33">
        <f t="shared" si="580"/>
        <v>1500</v>
      </c>
      <c r="G764" s="33">
        <f t="shared" si="580"/>
        <v>1500</v>
      </c>
      <c r="H764" s="33">
        <f t="shared" si="580"/>
        <v>0</v>
      </c>
      <c r="I764" s="33">
        <f t="shared" si="580"/>
        <v>0</v>
      </c>
      <c r="J764" s="33">
        <f t="shared" si="580"/>
        <v>0</v>
      </c>
      <c r="K764" s="33">
        <f t="shared" si="580"/>
        <v>0</v>
      </c>
      <c r="L764" s="33">
        <f t="shared" si="580"/>
        <v>0</v>
      </c>
      <c r="M764" s="33">
        <f t="shared" si="580"/>
        <v>0</v>
      </c>
      <c r="N764" s="33">
        <f t="shared" si="580"/>
        <v>0</v>
      </c>
      <c r="O764" s="33">
        <f t="shared" si="580"/>
        <v>0</v>
      </c>
      <c r="P764" s="33">
        <f t="shared" si="581"/>
        <v>1500</v>
      </c>
      <c r="Q764" s="33">
        <f t="shared" si="581"/>
        <v>1500</v>
      </c>
      <c r="R764" s="33">
        <f t="shared" si="581"/>
        <v>0</v>
      </c>
      <c r="S764" s="33">
        <f t="shared" si="581"/>
        <v>0</v>
      </c>
      <c r="T764" s="33">
        <f t="shared" si="581"/>
        <v>0</v>
      </c>
      <c r="U764" s="33">
        <f t="shared" si="581"/>
        <v>0</v>
      </c>
      <c r="V764" s="33">
        <f t="shared" si="581"/>
        <v>0</v>
      </c>
      <c r="W764" s="33">
        <f t="shared" si="581"/>
        <v>0</v>
      </c>
      <c r="X764" s="33">
        <f t="shared" si="581"/>
        <v>0</v>
      </c>
      <c r="Y764" s="33">
        <f t="shared" si="581"/>
        <v>0</v>
      </c>
      <c r="Z764" s="32" t="s">
        <v>2125</v>
      </c>
      <c r="AA764" s="34" t="s">
        <v>41</v>
      </c>
      <c r="AB764" s="35" t="s">
        <v>162</v>
      </c>
      <c r="AC764" s="35" t="s">
        <v>544</v>
      </c>
      <c r="AD764" s="36" t="s">
        <v>2126</v>
      </c>
    </row>
    <row r="765" spans="1:30" ht="46.5" x14ac:dyDescent="0.25">
      <c r="A765" s="37" t="s">
        <v>2127</v>
      </c>
      <c r="B765" s="38" t="s">
        <v>2128</v>
      </c>
      <c r="C765" s="39" t="s">
        <v>2102</v>
      </c>
      <c r="D765" s="39" t="s">
        <v>1028</v>
      </c>
      <c r="E765" s="39" t="s">
        <v>46</v>
      </c>
      <c r="F765" s="40">
        <f>SUM(F766:F766)+1500</f>
        <v>1500</v>
      </c>
      <c r="G765" s="40">
        <f>SUM(G766:G766)+1500</f>
        <v>1500</v>
      </c>
      <c r="H765" s="40">
        <f t="shared" ref="H765:O765" si="582">SUM(H766:H766)</f>
        <v>0</v>
      </c>
      <c r="I765" s="40">
        <f t="shared" si="582"/>
        <v>0</v>
      </c>
      <c r="J765" s="40">
        <f t="shared" si="582"/>
        <v>0</v>
      </c>
      <c r="K765" s="40">
        <f t="shared" si="582"/>
        <v>0</v>
      </c>
      <c r="L765" s="40">
        <f t="shared" si="582"/>
        <v>0</v>
      </c>
      <c r="M765" s="40">
        <f t="shared" si="582"/>
        <v>0</v>
      </c>
      <c r="N765" s="40">
        <f t="shared" si="582"/>
        <v>0</v>
      </c>
      <c r="O765" s="40">
        <f t="shared" si="582"/>
        <v>0</v>
      </c>
      <c r="P765" s="40">
        <f>SUM(P766:P766)+1500</f>
        <v>1500</v>
      </c>
      <c r="Q765" s="40">
        <f>SUM(Q766:Q766)+1500</f>
        <v>1500</v>
      </c>
      <c r="R765" s="40">
        <f t="shared" ref="R765:Y765" si="583">SUM(R766:R766)</f>
        <v>0</v>
      </c>
      <c r="S765" s="40">
        <f t="shared" si="583"/>
        <v>0</v>
      </c>
      <c r="T765" s="40">
        <f t="shared" si="583"/>
        <v>0</v>
      </c>
      <c r="U765" s="40">
        <f t="shared" si="583"/>
        <v>0</v>
      </c>
      <c r="V765" s="40">
        <f t="shared" si="583"/>
        <v>0</v>
      </c>
      <c r="W765" s="40">
        <f t="shared" si="583"/>
        <v>0</v>
      </c>
      <c r="X765" s="40">
        <f t="shared" si="583"/>
        <v>0</v>
      </c>
      <c r="Y765" s="40">
        <f t="shared" si="583"/>
        <v>0</v>
      </c>
      <c r="Z765" s="39" t="s">
        <v>2129</v>
      </c>
      <c r="AA765" s="41" t="s">
        <v>41</v>
      </c>
      <c r="AB765" s="42" t="s">
        <v>56</v>
      </c>
      <c r="AC765" s="42" t="s">
        <v>56</v>
      </c>
      <c r="AD765" s="43"/>
    </row>
    <row r="766" spans="1:30" ht="69.75" x14ac:dyDescent="0.25">
      <c r="A766" s="37" t="s">
        <v>2130</v>
      </c>
      <c r="B766" s="38" t="s">
        <v>2131</v>
      </c>
      <c r="C766" s="39"/>
      <c r="D766" s="39"/>
      <c r="E766" s="39"/>
      <c r="F766" s="44">
        <v>0</v>
      </c>
      <c r="G766" s="44">
        <v>0</v>
      </c>
      <c r="H766" s="44">
        <v>0</v>
      </c>
      <c r="I766" s="44">
        <v>0</v>
      </c>
      <c r="J766" s="44">
        <v>0</v>
      </c>
      <c r="K766" s="44">
        <v>0</v>
      </c>
      <c r="L766" s="44">
        <v>0</v>
      </c>
      <c r="M766" s="44">
        <v>0</v>
      </c>
      <c r="N766" s="44">
        <v>0</v>
      </c>
      <c r="O766" s="44">
        <v>0</v>
      </c>
      <c r="P766" s="44">
        <v>0</v>
      </c>
      <c r="Q766" s="44">
        <v>0</v>
      </c>
      <c r="R766" s="44">
        <v>0</v>
      </c>
      <c r="S766" s="44">
        <v>0</v>
      </c>
      <c r="T766" s="44">
        <v>0</v>
      </c>
      <c r="U766" s="44">
        <v>0</v>
      </c>
      <c r="V766" s="44">
        <v>0</v>
      </c>
      <c r="W766" s="44">
        <v>0</v>
      </c>
      <c r="X766" s="44">
        <v>0</v>
      </c>
      <c r="Y766" s="44">
        <v>0</v>
      </c>
      <c r="Z766" s="39"/>
      <c r="AA766" s="41"/>
      <c r="AB766" s="42"/>
      <c r="AC766" s="42"/>
      <c r="AD766" s="43"/>
    </row>
    <row r="767" spans="1:30" ht="67.5" x14ac:dyDescent="0.25">
      <c r="A767" s="23" t="s">
        <v>2132</v>
      </c>
      <c r="B767" s="24" t="s">
        <v>2133</v>
      </c>
      <c r="C767" s="25" t="s">
        <v>1027</v>
      </c>
      <c r="D767" s="25" t="s">
        <v>1028</v>
      </c>
      <c r="E767" s="25"/>
      <c r="F767" s="26">
        <f t="shared" ref="F767:O768" si="584">SUM(F768:F768)</f>
        <v>37000</v>
      </c>
      <c r="G767" s="26">
        <f t="shared" si="584"/>
        <v>37000</v>
      </c>
      <c r="H767" s="26">
        <f t="shared" si="584"/>
        <v>0</v>
      </c>
      <c r="I767" s="26">
        <f t="shared" si="584"/>
        <v>0</v>
      </c>
      <c r="J767" s="26">
        <f t="shared" si="584"/>
        <v>0</v>
      </c>
      <c r="K767" s="26">
        <f t="shared" si="584"/>
        <v>0</v>
      </c>
      <c r="L767" s="26">
        <f t="shared" si="584"/>
        <v>0</v>
      </c>
      <c r="M767" s="26">
        <f t="shared" si="584"/>
        <v>0</v>
      </c>
      <c r="N767" s="26">
        <f t="shared" si="584"/>
        <v>0</v>
      </c>
      <c r="O767" s="26">
        <f t="shared" si="584"/>
        <v>0</v>
      </c>
      <c r="P767" s="26">
        <f t="shared" ref="P767:Y768" si="585">SUM(P768:P768)</f>
        <v>37000</v>
      </c>
      <c r="Q767" s="26">
        <f t="shared" si="585"/>
        <v>37000</v>
      </c>
      <c r="R767" s="26">
        <f t="shared" si="585"/>
        <v>0</v>
      </c>
      <c r="S767" s="26">
        <f t="shared" si="585"/>
        <v>0</v>
      </c>
      <c r="T767" s="26">
        <f t="shared" si="585"/>
        <v>0</v>
      </c>
      <c r="U767" s="26">
        <f t="shared" si="585"/>
        <v>0</v>
      </c>
      <c r="V767" s="26">
        <f t="shared" si="585"/>
        <v>0</v>
      </c>
      <c r="W767" s="26">
        <f t="shared" si="585"/>
        <v>0</v>
      </c>
      <c r="X767" s="26">
        <f t="shared" si="585"/>
        <v>0</v>
      </c>
      <c r="Y767" s="26">
        <f t="shared" si="585"/>
        <v>0</v>
      </c>
      <c r="Z767" s="25" t="s">
        <v>2134</v>
      </c>
      <c r="AA767" s="27" t="s">
        <v>35</v>
      </c>
      <c r="AB767" s="28" t="s">
        <v>421</v>
      </c>
      <c r="AC767" s="28" t="s">
        <v>421</v>
      </c>
      <c r="AD767" s="29"/>
    </row>
    <row r="768" spans="1:30" ht="67.5" x14ac:dyDescent="0.25">
      <c r="A768" s="30" t="s">
        <v>2135</v>
      </c>
      <c r="B768" s="31" t="s">
        <v>2136</v>
      </c>
      <c r="C768" s="32" t="s">
        <v>1027</v>
      </c>
      <c r="D768" s="32" t="s">
        <v>1028</v>
      </c>
      <c r="E768" s="32" t="s">
        <v>39</v>
      </c>
      <c r="F768" s="33">
        <f t="shared" si="584"/>
        <v>37000</v>
      </c>
      <c r="G768" s="33">
        <f t="shared" si="584"/>
        <v>37000</v>
      </c>
      <c r="H768" s="33">
        <f t="shared" si="584"/>
        <v>0</v>
      </c>
      <c r="I768" s="33">
        <f t="shared" si="584"/>
        <v>0</v>
      </c>
      <c r="J768" s="33">
        <f t="shared" si="584"/>
        <v>0</v>
      </c>
      <c r="K768" s="33">
        <f t="shared" si="584"/>
        <v>0</v>
      </c>
      <c r="L768" s="33">
        <f t="shared" si="584"/>
        <v>0</v>
      </c>
      <c r="M768" s="33">
        <f t="shared" si="584"/>
        <v>0</v>
      </c>
      <c r="N768" s="33">
        <f t="shared" si="584"/>
        <v>0</v>
      </c>
      <c r="O768" s="33">
        <f t="shared" si="584"/>
        <v>0</v>
      </c>
      <c r="P768" s="33">
        <f t="shared" si="585"/>
        <v>37000</v>
      </c>
      <c r="Q768" s="33">
        <f t="shared" si="585"/>
        <v>37000</v>
      </c>
      <c r="R768" s="33">
        <f t="shared" si="585"/>
        <v>0</v>
      </c>
      <c r="S768" s="33">
        <f t="shared" si="585"/>
        <v>0</v>
      </c>
      <c r="T768" s="33">
        <f t="shared" si="585"/>
        <v>0</v>
      </c>
      <c r="U768" s="33">
        <f t="shared" si="585"/>
        <v>0</v>
      </c>
      <c r="V768" s="33">
        <f t="shared" si="585"/>
        <v>0</v>
      </c>
      <c r="W768" s="33">
        <f t="shared" si="585"/>
        <v>0</v>
      </c>
      <c r="X768" s="33">
        <f t="shared" si="585"/>
        <v>0</v>
      </c>
      <c r="Y768" s="33">
        <f t="shared" si="585"/>
        <v>0</v>
      </c>
      <c r="Z768" s="32" t="s">
        <v>2137</v>
      </c>
      <c r="AA768" s="34" t="s">
        <v>2138</v>
      </c>
      <c r="AB768" s="35" t="s">
        <v>2139</v>
      </c>
      <c r="AC768" s="35" t="s">
        <v>2140</v>
      </c>
      <c r="AD768" s="36" t="s">
        <v>2141</v>
      </c>
    </row>
    <row r="769" spans="1:30" ht="139.5" x14ac:dyDescent="0.25">
      <c r="A769" s="37" t="s">
        <v>2142</v>
      </c>
      <c r="B769" s="38" t="s">
        <v>2143</v>
      </c>
      <c r="C769" s="39" t="s">
        <v>2144</v>
      </c>
      <c r="D769" s="39" t="s">
        <v>1028</v>
      </c>
      <c r="E769" s="39" t="s">
        <v>46</v>
      </c>
      <c r="F769" s="40">
        <f>SUM(F770:F775)+37000</f>
        <v>37000</v>
      </c>
      <c r="G769" s="40">
        <f>SUM(G770:G775)+37000</f>
        <v>37000</v>
      </c>
      <c r="H769" s="40">
        <f t="shared" ref="H769:O769" si="586">SUM(H770:H775)</f>
        <v>0</v>
      </c>
      <c r="I769" s="40">
        <f t="shared" si="586"/>
        <v>0</v>
      </c>
      <c r="J769" s="40">
        <f t="shared" si="586"/>
        <v>0</v>
      </c>
      <c r="K769" s="40">
        <f t="shared" si="586"/>
        <v>0</v>
      </c>
      <c r="L769" s="40">
        <f t="shared" si="586"/>
        <v>0</v>
      </c>
      <c r="M769" s="40">
        <f t="shared" si="586"/>
        <v>0</v>
      </c>
      <c r="N769" s="40">
        <f t="shared" si="586"/>
        <v>0</v>
      </c>
      <c r="O769" s="40">
        <f t="shared" si="586"/>
        <v>0</v>
      </c>
      <c r="P769" s="40">
        <f>SUM(P770:P775)+37000</f>
        <v>37000</v>
      </c>
      <c r="Q769" s="40">
        <f>SUM(Q770:Q775)+37000</f>
        <v>37000</v>
      </c>
      <c r="R769" s="40">
        <f t="shared" ref="R769:Y769" si="587">SUM(R770:R775)</f>
        <v>0</v>
      </c>
      <c r="S769" s="40">
        <f t="shared" si="587"/>
        <v>0</v>
      </c>
      <c r="T769" s="40">
        <f t="shared" si="587"/>
        <v>0</v>
      </c>
      <c r="U769" s="40">
        <f t="shared" si="587"/>
        <v>0</v>
      </c>
      <c r="V769" s="40">
        <f t="shared" si="587"/>
        <v>0</v>
      </c>
      <c r="W769" s="40">
        <f t="shared" si="587"/>
        <v>0</v>
      </c>
      <c r="X769" s="40">
        <f t="shared" si="587"/>
        <v>0</v>
      </c>
      <c r="Y769" s="40">
        <f t="shared" si="587"/>
        <v>0</v>
      </c>
      <c r="Z769" s="39" t="s">
        <v>2145</v>
      </c>
      <c r="AA769" s="41" t="s">
        <v>2138</v>
      </c>
      <c r="AB769" s="42" t="s">
        <v>285</v>
      </c>
      <c r="AC769" s="42" t="s">
        <v>2140</v>
      </c>
      <c r="AD769" s="43" t="s">
        <v>2126</v>
      </c>
    </row>
    <row r="770" spans="1:30" ht="93" x14ac:dyDescent="0.25">
      <c r="A770" s="45"/>
      <c r="B770" s="46"/>
      <c r="C770" s="47"/>
      <c r="D770" s="47"/>
      <c r="E770" s="47"/>
      <c r="F770" s="48">
        <v>0</v>
      </c>
      <c r="G770" s="48">
        <v>0</v>
      </c>
      <c r="H770" s="48">
        <v>0</v>
      </c>
      <c r="I770" s="48">
        <v>0</v>
      </c>
      <c r="J770" s="48">
        <v>0</v>
      </c>
      <c r="K770" s="48">
        <v>0</v>
      </c>
      <c r="L770" s="48">
        <v>0</v>
      </c>
      <c r="M770" s="48">
        <v>0</v>
      </c>
      <c r="N770" s="48">
        <v>0</v>
      </c>
      <c r="O770" s="48">
        <v>0</v>
      </c>
      <c r="P770" s="48">
        <v>0</v>
      </c>
      <c r="Q770" s="48">
        <v>0</v>
      </c>
      <c r="R770" s="48">
        <v>0</v>
      </c>
      <c r="S770" s="48">
        <v>0</v>
      </c>
      <c r="T770" s="48">
        <v>0</v>
      </c>
      <c r="U770" s="48">
        <v>0</v>
      </c>
      <c r="V770" s="48">
        <v>0</v>
      </c>
      <c r="W770" s="48">
        <v>0</v>
      </c>
      <c r="X770" s="48">
        <v>0</v>
      </c>
      <c r="Y770" s="48">
        <v>0</v>
      </c>
      <c r="Z770" s="47" t="s">
        <v>2146</v>
      </c>
      <c r="AA770" s="49" t="s">
        <v>2138</v>
      </c>
      <c r="AB770" s="50" t="s">
        <v>1840</v>
      </c>
      <c r="AC770" s="50" t="s">
        <v>57</v>
      </c>
      <c r="AD770" s="51" t="s">
        <v>2147</v>
      </c>
    </row>
    <row r="771" spans="1:30" ht="46.5" x14ac:dyDescent="0.25">
      <c r="A771" s="45"/>
      <c r="B771" s="46"/>
      <c r="C771" s="47"/>
      <c r="D771" s="47"/>
      <c r="E771" s="47"/>
      <c r="F771" s="48">
        <v>0</v>
      </c>
      <c r="G771" s="48">
        <v>0</v>
      </c>
      <c r="H771" s="48">
        <v>0</v>
      </c>
      <c r="I771" s="48">
        <v>0</v>
      </c>
      <c r="J771" s="48">
        <v>0</v>
      </c>
      <c r="K771" s="48">
        <v>0</v>
      </c>
      <c r="L771" s="48">
        <v>0</v>
      </c>
      <c r="M771" s="48">
        <v>0</v>
      </c>
      <c r="N771" s="48">
        <v>0</v>
      </c>
      <c r="O771" s="48">
        <v>0</v>
      </c>
      <c r="P771" s="48">
        <v>0</v>
      </c>
      <c r="Q771" s="48">
        <v>0</v>
      </c>
      <c r="R771" s="48">
        <v>0</v>
      </c>
      <c r="S771" s="48">
        <v>0</v>
      </c>
      <c r="T771" s="48">
        <v>0</v>
      </c>
      <c r="U771" s="48">
        <v>0</v>
      </c>
      <c r="V771" s="48">
        <v>0</v>
      </c>
      <c r="W771" s="48">
        <v>0</v>
      </c>
      <c r="X771" s="48">
        <v>0</v>
      </c>
      <c r="Y771" s="48">
        <v>0</v>
      </c>
      <c r="Z771" s="47" t="s">
        <v>2148</v>
      </c>
      <c r="AA771" s="49" t="s">
        <v>35</v>
      </c>
      <c r="AB771" s="50" t="s">
        <v>197</v>
      </c>
      <c r="AC771" s="50" t="s">
        <v>2149</v>
      </c>
      <c r="AD771" s="51"/>
    </row>
    <row r="772" spans="1:30" ht="46.5" x14ac:dyDescent="0.25">
      <c r="A772" s="45"/>
      <c r="B772" s="46"/>
      <c r="C772" s="47"/>
      <c r="D772" s="47"/>
      <c r="E772" s="47"/>
      <c r="F772" s="48">
        <v>0</v>
      </c>
      <c r="G772" s="48">
        <v>0</v>
      </c>
      <c r="H772" s="48">
        <v>0</v>
      </c>
      <c r="I772" s="48">
        <v>0</v>
      </c>
      <c r="J772" s="48">
        <v>0</v>
      </c>
      <c r="K772" s="48">
        <v>0</v>
      </c>
      <c r="L772" s="48">
        <v>0</v>
      </c>
      <c r="M772" s="48">
        <v>0</v>
      </c>
      <c r="N772" s="48">
        <v>0</v>
      </c>
      <c r="O772" s="48">
        <v>0</v>
      </c>
      <c r="P772" s="48">
        <v>0</v>
      </c>
      <c r="Q772" s="48">
        <v>0</v>
      </c>
      <c r="R772" s="48">
        <v>0</v>
      </c>
      <c r="S772" s="48">
        <v>0</v>
      </c>
      <c r="T772" s="48">
        <v>0</v>
      </c>
      <c r="U772" s="48">
        <v>0</v>
      </c>
      <c r="V772" s="48">
        <v>0</v>
      </c>
      <c r="W772" s="48">
        <v>0</v>
      </c>
      <c r="X772" s="48">
        <v>0</v>
      </c>
      <c r="Y772" s="48">
        <v>0</v>
      </c>
      <c r="Z772" s="47" t="s">
        <v>2150</v>
      </c>
      <c r="AA772" s="49" t="s">
        <v>41</v>
      </c>
      <c r="AB772" s="50" t="s">
        <v>107</v>
      </c>
      <c r="AC772" s="50" t="s">
        <v>107</v>
      </c>
      <c r="AD772" s="51"/>
    </row>
    <row r="773" spans="1:30" ht="93" x14ac:dyDescent="0.25">
      <c r="A773" s="45"/>
      <c r="B773" s="46"/>
      <c r="C773" s="47"/>
      <c r="D773" s="47"/>
      <c r="E773" s="47"/>
      <c r="F773" s="48">
        <v>0</v>
      </c>
      <c r="G773" s="48">
        <v>0</v>
      </c>
      <c r="H773" s="48">
        <v>0</v>
      </c>
      <c r="I773" s="48">
        <v>0</v>
      </c>
      <c r="J773" s="48">
        <v>0</v>
      </c>
      <c r="K773" s="48">
        <v>0</v>
      </c>
      <c r="L773" s="48">
        <v>0</v>
      </c>
      <c r="M773" s="48">
        <v>0</v>
      </c>
      <c r="N773" s="48">
        <v>0</v>
      </c>
      <c r="O773" s="48">
        <v>0</v>
      </c>
      <c r="P773" s="48">
        <v>0</v>
      </c>
      <c r="Q773" s="48">
        <v>0</v>
      </c>
      <c r="R773" s="48">
        <v>0</v>
      </c>
      <c r="S773" s="48">
        <v>0</v>
      </c>
      <c r="T773" s="48">
        <v>0</v>
      </c>
      <c r="U773" s="48">
        <v>0</v>
      </c>
      <c r="V773" s="48">
        <v>0</v>
      </c>
      <c r="W773" s="48">
        <v>0</v>
      </c>
      <c r="X773" s="48">
        <v>0</v>
      </c>
      <c r="Y773" s="48">
        <v>0</v>
      </c>
      <c r="Z773" s="47" t="s">
        <v>2151</v>
      </c>
      <c r="AA773" s="49" t="s">
        <v>41</v>
      </c>
      <c r="AB773" s="50" t="s">
        <v>124</v>
      </c>
      <c r="AC773" s="50" t="s">
        <v>2152</v>
      </c>
      <c r="AD773" s="51" t="s">
        <v>2153</v>
      </c>
    </row>
    <row r="774" spans="1:30" ht="46.5" x14ac:dyDescent="0.25">
      <c r="A774" s="45"/>
      <c r="B774" s="46"/>
      <c r="C774" s="47"/>
      <c r="D774" s="47"/>
      <c r="E774" s="47"/>
      <c r="F774" s="48">
        <v>0</v>
      </c>
      <c r="G774" s="48">
        <v>0</v>
      </c>
      <c r="H774" s="48">
        <v>0</v>
      </c>
      <c r="I774" s="48">
        <v>0</v>
      </c>
      <c r="J774" s="48">
        <v>0</v>
      </c>
      <c r="K774" s="48">
        <v>0</v>
      </c>
      <c r="L774" s="48">
        <v>0</v>
      </c>
      <c r="M774" s="48">
        <v>0</v>
      </c>
      <c r="N774" s="48">
        <v>0</v>
      </c>
      <c r="O774" s="48">
        <v>0</v>
      </c>
      <c r="P774" s="48">
        <v>0</v>
      </c>
      <c r="Q774" s="48">
        <v>0</v>
      </c>
      <c r="R774" s="48">
        <v>0</v>
      </c>
      <c r="S774" s="48">
        <v>0</v>
      </c>
      <c r="T774" s="48">
        <v>0</v>
      </c>
      <c r="U774" s="48">
        <v>0</v>
      </c>
      <c r="V774" s="48">
        <v>0</v>
      </c>
      <c r="W774" s="48">
        <v>0</v>
      </c>
      <c r="X774" s="48">
        <v>0</v>
      </c>
      <c r="Y774" s="48">
        <v>0</v>
      </c>
      <c r="Z774" s="47" t="s">
        <v>2154</v>
      </c>
      <c r="AA774" s="49" t="s">
        <v>41</v>
      </c>
      <c r="AB774" s="50" t="s">
        <v>56</v>
      </c>
      <c r="AC774" s="50" t="s">
        <v>56</v>
      </c>
      <c r="AD774" s="51" t="s">
        <v>2155</v>
      </c>
    </row>
    <row r="775" spans="1:30" ht="46.5" x14ac:dyDescent="0.25">
      <c r="A775" s="37" t="s">
        <v>2156</v>
      </c>
      <c r="B775" s="38" t="s">
        <v>2157</v>
      </c>
      <c r="C775" s="39"/>
      <c r="D775" s="39"/>
      <c r="E775" s="39"/>
      <c r="F775" s="44">
        <v>0</v>
      </c>
      <c r="G775" s="44">
        <v>0</v>
      </c>
      <c r="H775" s="44">
        <v>0</v>
      </c>
      <c r="I775" s="44">
        <v>0</v>
      </c>
      <c r="J775" s="44">
        <v>0</v>
      </c>
      <c r="K775" s="44">
        <v>0</v>
      </c>
      <c r="L775" s="44">
        <v>0</v>
      </c>
      <c r="M775" s="44">
        <v>0</v>
      </c>
      <c r="N775" s="44">
        <v>0</v>
      </c>
      <c r="O775" s="44">
        <v>0</v>
      </c>
      <c r="P775" s="44">
        <v>0</v>
      </c>
      <c r="Q775" s="44">
        <v>0</v>
      </c>
      <c r="R775" s="44">
        <v>0</v>
      </c>
      <c r="S775" s="44">
        <v>0</v>
      </c>
      <c r="T775" s="44">
        <v>0</v>
      </c>
      <c r="U775" s="44">
        <v>0</v>
      </c>
      <c r="V775" s="44">
        <v>0</v>
      </c>
      <c r="W775" s="44">
        <v>0</v>
      </c>
      <c r="X775" s="44">
        <v>0</v>
      </c>
      <c r="Y775" s="44">
        <v>0</v>
      </c>
      <c r="Z775" s="39"/>
      <c r="AA775" s="41"/>
      <c r="AB775" s="42"/>
      <c r="AC775" s="42"/>
      <c r="AD775" s="43"/>
    </row>
    <row r="776" spans="1:30" ht="67.5" x14ac:dyDescent="0.25">
      <c r="A776" s="23" t="s">
        <v>2158</v>
      </c>
      <c r="B776" s="24" t="s">
        <v>2159</v>
      </c>
      <c r="C776" s="25" t="s">
        <v>1541</v>
      </c>
      <c r="D776" s="25" t="s">
        <v>1544</v>
      </c>
      <c r="E776" s="25"/>
      <c r="F776" s="26">
        <f t="shared" ref="F776:Y776" si="588">SUM(F777:F777)</f>
        <v>189380.99999999997</v>
      </c>
      <c r="G776" s="26">
        <f t="shared" si="588"/>
        <v>113981</v>
      </c>
      <c r="H776" s="26">
        <f t="shared" si="588"/>
        <v>0</v>
      </c>
      <c r="I776" s="26">
        <f t="shared" si="588"/>
        <v>0</v>
      </c>
      <c r="J776" s="26">
        <f t="shared" si="588"/>
        <v>75400.000000000015</v>
      </c>
      <c r="K776" s="26">
        <f t="shared" si="588"/>
        <v>0</v>
      </c>
      <c r="L776" s="26">
        <f t="shared" si="588"/>
        <v>0</v>
      </c>
      <c r="M776" s="26">
        <f t="shared" si="588"/>
        <v>0</v>
      </c>
      <c r="N776" s="26">
        <f t="shared" si="588"/>
        <v>0</v>
      </c>
      <c r="O776" s="26">
        <f t="shared" si="588"/>
        <v>0</v>
      </c>
      <c r="P776" s="26">
        <f t="shared" si="588"/>
        <v>187987.65999999997</v>
      </c>
      <c r="Q776" s="26">
        <f t="shared" si="588"/>
        <v>112587.66</v>
      </c>
      <c r="R776" s="26">
        <f t="shared" si="588"/>
        <v>0</v>
      </c>
      <c r="S776" s="26">
        <f t="shared" si="588"/>
        <v>0</v>
      </c>
      <c r="T776" s="26">
        <f t="shared" si="588"/>
        <v>0</v>
      </c>
      <c r="U776" s="26">
        <f t="shared" si="588"/>
        <v>0</v>
      </c>
      <c r="V776" s="26">
        <f t="shared" si="588"/>
        <v>0</v>
      </c>
      <c r="W776" s="26">
        <f t="shared" si="588"/>
        <v>0</v>
      </c>
      <c r="X776" s="26">
        <f t="shared" si="588"/>
        <v>0</v>
      </c>
      <c r="Y776" s="26">
        <f t="shared" si="588"/>
        <v>0</v>
      </c>
      <c r="Z776" s="25" t="s">
        <v>2160</v>
      </c>
      <c r="AA776" s="27" t="s">
        <v>41</v>
      </c>
      <c r="AB776" s="28" t="s">
        <v>103</v>
      </c>
      <c r="AC776" s="28" t="s">
        <v>1340</v>
      </c>
      <c r="AD776" s="29" t="s">
        <v>2161</v>
      </c>
    </row>
    <row r="777" spans="1:30" ht="67.5" x14ac:dyDescent="0.25">
      <c r="A777" s="30" t="s">
        <v>2162</v>
      </c>
      <c r="B777" s="31" t="s">
        <v>2163</v>
      </c>
      <c r="C777" s="32" t="s">
        <v>1541</v>
      </c>
      <c r="D777" s="32" t="s">
        <v>1544</v>
      </c>
      <c r="E777" s="32" t="s">
        <v>39</v>
      </c>
      <c r="F777" s="33">
        <f t="shared" ref="F777:Y777" si="589">F778+F780+F782+F784+F786+F788+F790+F792+F794+F796+F798+F800+F802+F804+F806+F808</f>
        <v>189380.99999999997</v>
      </c>
      <c r="G777" s="33">
        <f t="shared" si="589"/>
        <v>113981</v>
      </c>
      <c r="H777" s="33">
        <f t="shared" si="589"/>
        <v>0</v>
      </c>
      <c r="I777" s="33">
        <f t="shared" si="589"/>
        <v>0</v>
      </c>
      <c r="J777" s="33">
        <f t="shared" si="589"/>
        <v>75400.000000000015</v>
      </c>
      <c r="K777" s="33">
        <f t="shared" si="589"/>
        <v>0</v>
      </c>
      <c r="L777" s="33">
        <f t="shared" si="589"/>
        <v>0</v>
      </c>
      <c r="M777" s="33">
        <f t="shared" si="589"/>
        <v>0</v>
      </c>
      <c r="N777" s="33">
        <f t="shared" si="589"/>
        <v>0</v>
      </c>
      <c r="O777" s="33">
        <f t="shared" si="589"/>
        <v>0</v>
      </c>
      <c r="P777" s="33">
        <f t="shared" si="589"/>
        <v>187987.65999999997</v>
      </c>
      <c r="Q777" s="33">
        <f t="shared" si="589"/>
        <v>112587.66</v>
      </c>
      <c r="R777" s="33">
        <f t="shared" si="589"/>
        <v>0</v>
      </c>
      <c r="S777" s="33">
        <f t="shared" si="589"/>
        <v>0</v>
      </c>
      <c r="T777" s="33">
        <f t="shared" si="589"/>
        <v>0</v>
      </c>
      <c r="U777" s="33">
        <f t="shared" si="589"/>
        <v>0</v>
      </c>
      <c r="V777" s="33">
        <f t="shared" si="589"/>
        <v>0</v>
      </c>
      <c r="W777" s="33">
        <f t="shared" si="589"/>
        <v>0</v>
      </c>
      <c r="X777" s="33">
        <f t="shared" si="589"/>
        <v>0</v>
      </c>
      <c r="Y777" s="33">
        <f t="shared" si="589"/>
        <v>0</v>
      </c>
      <c r="Z777" s="32" t="s">
        <v>2164</v>
      </c>
      <c r="AA777" s="34" t="s">
        <v>41</v>
      </c>
      <c r="AB777" s="35" t="s">
        <v>103</v>
      </c>
      <c r="AC777" s="35" t="s">
        <v>1340</v>
      </c>
      <c r="AD777" s="36" t="s">
        <v>2161</v>
      </c>
    </row>
    <row r="778" spans="1:30" ht="69.75" x14ac:dyDescent="0.25">
      <c r="A778" s="37" t="s">
        <v>2165</v>
      </c>
      <c r="B778" s="38" t="s">
        <v>2166</v>
      </c>
      <c r="C778" s="39" t="s">
        <v>1541</v>
      </c>
      <c r="D778" s="39" t="s">
        <v>1645</v>
      </c>
      <c r="E778" s="39" t="s">
        <v>46</v>
      </c>
      <c r="F778" s="40">
        <f t="shared" ref="F778:Y778" si="590">SUM(F779:F779)</f>
        <v>0</v>
      </c>
      <c r="G778" s="40">
        <f t="shared" si="590"/>
        <v>0</v>
      </c>
      <c r="H778" s="40">
        <f t="shared" si="590"/>
        <v>0</v>
      </c>
      <c r="I778" s="40">
        <f t="shared" si="590"/>
        <v>0</v>
      </c>
      <c r="J778" s="40">
        <f t="shared" si="590"/>
        <v>0</v>
      </c>
      <c r="K778" s="40">
        <f t="shared" si="590"/>
        <v>0</v>
      </c>
      <c r="L778" s="40">
        <f t="shared" si="590"/>
        <v>0</v>
      </c>
      <c r="M778" s="40">
        <f t="shared" si="590"/>
        <v>0</v>
      </c>
      <c r="N778" s="40">
        <f t="shared" si="590"/>
        <v>0</v>
      </c>
      <c r="O778" s="40">
        <f t="shared" si="590"/>
        <v>0</v>
      </c>
      <c r="P778" s="40">
        <f t="shared" si="590"/>
        <v>0</v>
      </c>
      <c r="Q778" s="40">
        <f t="shared" si="590"/>
        <v>0</v>
      </c>
      <c r="R778" s="40">
        <f t="shared" si="590"/>
        <v>0</v>
      </c>
      <c r="S778" s="40">
        <f t="shared" si="590"/>
        <v>0</v>
      </c>
      <c r="T778" s="40">
        <f t="shared" si="590"/>
        <v>0</v>
      </c>
      <c r="U778" s="40">
        <f t="shared" si="590"/>
        <v>0</v>
      </c>
      <c r="V778" s="40">
        <f t="shared" si="590"/>
        <v>0</v>
      </c>
      <c r="W778" s="40">
        <f t="shared" si="590"/>
        <v>0</v>
      </c>
      <c r="X778" s="40">
        <f t="shared" si="590"/>
        <v>0</v>
      </c>
      <c r="Y778" s="40">
        <f t="shared" si="590"/>
        <v>0</v>
      </c>
      <c r="Z778" s="39" t="s">
        <v>2164</v>
      </c>
      <c r="AA778" s="41" t="s">
        <v>41</v>
      </c>
      <c r="AB778" s="42" t="s">
        <v>103</v>
      </c>
      <c r="AC778" s="42" t="s">
        <v>1340</v>
      </c>
      <c r="AD778" s="43" t="s">
        <v>2167</v>
      </c>
    </row>
    <row r="779" spans="1:30" x14ac:dyDescent="0.25">
      <c r="A779" s="37" t="s">
        <v>2168</v>
      </c>
      <c r="B779" s="38" t="s">
        <v>2169</v>
      </c>
      <c r="C779" s="39"/>
      <c r="D779" s="39"/>
      <c r="E779" s="39"/>
      <c r="F779" s="44">
        <v>0</v>
      </c>
      <c r="G779" s="44">
        <v>0</v>
      </c>
      <c r="H779" s="44">
        <v>0</v>
      </c>
      <c r="I779" s="44">
        <v>0</v>
      </c>
      <c r="J779" s="44">
        <v>0</v>
      </c>
      <c r="K779" s="44">
        <v>0</v>
      </c>
      <c r="L779" s="44">
        <v>0</v>
      </c>
      <c r="M779" s="44">
        <v>0</v>
      </c>
      <c r="N779" s="44">
        <v>0</v>
      </c>
      <c r="O779" s="44">
        <v>0</v>
      </c>
      <c r="P779" s="44">
        <v>0</v>
      </c>
      <c r="Q779" s="44">
        <v>0</v>
      </c>
      <c r="R779" s="44">
        <v>0</v>
      </c>
      <c r="S779" s="44">
        <v>0</v>
      </c>
      <c r="T779" s="44">
        <v>0</v>
      </c>
      <c r="U779" s="44">
        <v>0</v>
      </c>
      <c r="V779" s="44">
        <v>0</v>
      </c>
      <c r="W779" s="44">
        <v>0</v>
      </c>
      <c r="X779" s="44">
        <v>0</v>
      </c>
      <c r="Y779" s="44">
        <v>0</v>
      </c>
      <c r="Z779" s="39"/>
      <c r="AA779" s="41"/>
      <c r="AB779" s="42"/>
      <c r="AC779" s="42"/>
      <c r="AD779" s="43"/>
    </row>
    <row r="780" spans="1:30" ht="93" x14ac:dyDescent="0.25">
      <c r="A780" s="37" t="s">
        <v>2170</v>
      </c>
      <c r="B780" s="38" t="s">
        <v>2171</v>
      </c>
      <c r="C780" s="39" t="s">
        <v>1541</v>
      </c>
      <c r="D780" s="39" t="s">
        <v>1645</v>
      </c>
      <c r="E780" s="39" t="s">
        <v>46</v>
      </c>
      <c r="F780" s="40">
        <f>SUM(F781:F781)+23000</f>
        <v>23000</v>
      </c>
      <c r="G780" s="40">
        <f>SUM(G781:G781)+23000</f>
        <v>23000</v>
      </c>
      <c r="H780" s="40">
        <f t="shared" ref="H780:O780" si="591">SUM(H781:H781)</f>
        <v>0</v>
      </c>
      <c r="I780" s="40">
        <f t="shared" si="591"/>
        <v>0</v>
      </c>
      <c r="J780" s="40">
        <f t="shared" si="591"/>
        <v>0</v>
      </c>
      <c r="K780" s="40">
        <f t="shared" si="591"/>
        <v>0</v>
      </c>
      <c r="L780" s="40">
        <f t="shared" si="591"/>
        <v>0</v>
      </c>
      <c r="M780" s="40">
        <f t="shared" si="591"/>
        <v>0</v>
      </c>
      <c r="N780" s="40">
        <f t="shared" si="591"/>
        <v>0</v>
      </c>
      <c r="O780" s="40">
        <f t="shared" si="591"/>
        <v>0</v>
      </c>
      <c r="P780" s="40">
        <f>SUM(P781:P781)+22945.18</f>
        <v>22945.18</v>
      </c>
      <c r="Q780" s="40">
        <f>SUM(Q781:Q781)+22945.18</f>
        <v>22945.18</v>
      </c>
      <c r="R780" s="40">
        <f t="shared" ref="R780:Y780" si="592">SUM(R781:R781)</f>
        <v>0</v>
      </c>
      <c r="S780" s="40">
        <f t="shared" si="592"/>
        <v>0</v>
      </c>
      <c r="T780" s="40">
        <f t="shared" si="592"/>
        <v>0</v>
      </c>
      <c r="U780" s="40">
        <f t="shared" si="592"/>
        <v>0</v>
      </c>
      <c r="V780" s="40">
        <f t="shared" si="592"/>
        <v>0</v>
      </c>
      <c r="W780" s="40">
        <f t="shared" si="592"/>
        <v>0</v>
      </c>
      <c r="X780" s="40">
        <f t="shared" si="592"/>
        <v>0</v>
      </c>
      <c r="Y780" s="40">
        <f t="shared" si="592"/>
        <v>0</v>
      </c>
      <c r="Z780" s="39" t="s">
        <v>2172</v>
      </c>
      <c r="AA780" s="41" t="s">
        <v>41</v>
      </c>
      <c r="AB780" s="42" t="s">
        <v>897</v>
      </c>
      <c r="AC780" s="42" t="s">
        <v>185</v>
      </c>
      <c r="AD780" s="43" t="s">
        <v>2173</v>
      </c>
    </row>
    <row r="781" spans="1:30" ht="69.75" x14ac:dyDescent="0.25">
      <c r="A781" s="37" t="s">
        <v>2174</v>
      </c>
      <c r="B781" s="38" t="s">
        <v>2175</v>
      </c>
      <c r="C781" s="39"/>
      <c r="D781" s="39"/>
      <c r="E781" s="39"/>
      <c r="F781" s="44">
        <v>0</v>
      </c>
      <c r="G781" s="44">
        <v>0</v>
      </c>
      <c r="H781" s="44">
        <v>0</v>
      </c>
      <c r="I781" s="44">
        <v>0</v>
      </c>
      <c r="J781" s="44">
        <v>0</v>
      </c>
      <c r="K781" s="44">
        <v>0</v>
      </c>
      <c r="L781" s="44">
        <v>0</v>
      </c>
      <c r="M781" s="44">
        <v>0</v>
      </c>
      <c r="N781" s="44">
        <v>0</v>
      </c>
      <c r="O781" s="44">
        <v>0</v>
      </c>
      <c r="P781" s="44">
        <v>0</v>
      </c>
      <c r="Q781" s="44">
        <v>0</v>
      </c>
      <c r="R781" s="44">
        <v>0</v>
      </c>
      <c r="S781" s="44">
        <v>0</v>
      </c>
      <c r="T781" s="44">
        <v>0</v>
      </c>
      <c r="U781" s="44">
        <v>0</v>
      </c>
      <c r="V781" s="44">
        <v>0</v>
      </c>
      <c r="W781" s="44">
        <v>0</v>
      </c>
      <c r="X781" s="44">
        <v>0</v>
      </c>
      <c r="Y781" s="44">
        <v>0</v>
      </c>
      <c r="Z781" s="39"/>
      <c r="AA781" s="41"/>
      <c r="AB781" s="42"/>
      <c r="AC781" s="42"/>
      <c r="AD781" s="43"/>
    </row>
    <row r="782" spans="1:30" ht="69.75" x14ac:dyDescent="0.25">
      <c r="A782" s="37" t="s">
        <v>2176</v>
      </c>
      <c r="B782" s="38" t="s">
        <v>2177</v>
      </c>
      <c r="C782" s="39" t="s">
        <v>1541</v>
      </c>
      <c r="D782" s="39" t="s">
        <v>1645</v>
      </c>
      <c r="E782" s="39" t="s">
        <v>46</v>
      </c>
      <c r="F782" s="40">
        <f>SUM(F783:F783)+10886</f>
        <v>10886</v>
      </c>
      <c r="G782" s="40">
        <f>SUM(G783:G783)+5686</f>
        <v>5686</v>
      </c>
      <c r="H782" s="40">
        <f>SUM(H783:H783)</f>
        <v>0</v>
      </c>
      <c r="I782" s="40">
        <f>SUM(I783:I783)</f>
        <v>0</v>
      </c>
      <c r="J782" s="40">
        <f>SUM(J783:J783)+5200</f>
        <v>5200</v>
      </c>
      <c r="K782" s="40">
        <f>SUM(K783:K783)</f>
        <v>0</v>
      </c>
      <c r="L782" s="40">
        <f>SUM(L783:L783)</f>
        <v>0</v>
      </c>
      <c r="M782" s="40">
        <f>SUM(M783:M783)</f>
        <v>0</v>
      </c>
      <c r="N782" s="40">
        <f>SUM(N783:N783)</f>
        <v>0</v>
      </c>
      <c r="O782" s="40">
        <f>SUM(O783:O783)</f>
        <v>0</v>
      </c>
      <c r="P782" s="40">
        <f>SUM(P783:P783)+10826.27</f>
        <v>10826.27</v>
      </c>
      <c r="Q782" s="40">
        <f>SUM(Q783:Q783)+5626.27</f>
        <v>5626.27</v>
      </c>
      <c r="R782" s="40">
        <f t="shared" ref="R782:Y782" si="593">SUM(R783:R783)</f>
        <v>0</v>
      </c>
      <c r="S782" s="40">
        <f t="shared" si="593"/>
        <v>0</v>
      </c>
      <c r="T782" s="40">
        <f t="shared" si="593"/>
        <v>0</v>
      </c>
      <c r="U782" s="40">
        <f t="shared" si="593"/>
        <v>0</v>
      </c>
      <c r="V782" s="40">
        <f t="shared" si="593"/>
        <v>0</v>
      </c>
      <c r="W782" s="40">
        <f t="shared" si="593"/>
        <v>0</v>
      </c>
      <c r="X782" s="40">
        <f t="shared" si="593"/>
        <v>0</v>
      </c>
      <c r="Y782" s="40">
        <f t="shared" si="593"/>
        <v>0</v>
      </c>
      <c r="Z782" s="39" t="s">
        <v>2164</v>
      </c>
      <c r="AA782" s="41" t="s">
        <v>41</v>
      </c>
      <c r="AB782" s="42" t="s">
        <v>42</v>
      </c>
      <c r="AC782" s="42" t="s">
        <v>49</v>
      </c>
      <c r="AD782" s="43" t="s">
        <v>2167</v>
      </c>
    </row>
    <row r="783" spans="1:30" ht="46.5" x14ac:dyDescent="0.25">
      <c r="A783" s="37" t="s">
        <v>2178</v>
      </c>
      <c r="B783" s="38" t="s">
        <v>2179</v>
      </c>
      <c r="C783" s="39"/>
      <c r="D783" s="39"/>
      <c r="E783" s="39"/>
      <c r="F783" s="44">
        <v>0</v>
      </c>
      <c r="G783" s="44">
        <v>0</v>
      </c>
      <c r="H783" s="44">
        <v>0</v>
      </c>
      <c r="I783" s="44">
        <v>0</v>
      </c>
      <c r="J783" s="44">
        <v>0</v>
      </c>
      <c r="K783" s="44">
        <v>0</v>
      </c>
      <c r="L783" s="44">
        <v>0</v>
      </c>
      <c r="M783" s="44">
        <v>0</v>
      </c>
      <c r="N783" s="44">
        <v>0</v>
      </c>
      <c r="O783" s="44">
        <v>0</v>
      </c>
      <c r="P783" s="44">
        <v>0</v>
      </c>
      <c r="Q783" s="44">
        <v>0</v>
      </c>
      <c r="R783" s="44">
        <v>0</v>
      </c>
      <c r="S783" s="44">
        <v>0</v>
      </c>
      <c r="T783" s="44">
        <v>0</v>
      </c>
      <c r="U783" s="44">
        <v>0</v>
      </c>
      <c r="V783" s="44">
        <v>0</v>
      </c>
      <c r="W783" s="44">
        <v>0</v>
      </c>
      <c r="X783" s="44">
        <v>0</v>
      </c>
      <c r="Y783" s="44">
        <v>0</v>
      </c>
      <c r="Z783" s="39"/>
      <c r="AA783" s="41"/>
      <c r="AB783" s="42"/>
      <c r="AC783" s="42"/>
      <c r="AD783" s="43"/>
    </row>
    <row r="784" spans="1:30" ht="69.75" x14ac:dyDescent="0.25">
      <c r="A784" s="37" t="s">
        <v>2180</v>
      </c>
      <c r="B784" s="38" t="s">
        <v>2181</v>
      </c>
      <c r="C784" s="39" t="s">
        <v>1541</v>
      </c>
      <c r="D784" s="39" t="s">
        <v>1645</v>
      </c>
      <c r="E784" s="39" t="s">
        <v>46</v>
      </c>
      <c r="F784" s="40">
        <f>SUM(F785:F785)+25493.62</f>
        <v>25493.62</v>
      </c>
      <c r="G784" s="40">
        <f>SUM(G785:G785)+15152</f>
        <v>15152</v>
      </c>
      <c r="H784" s="40">
        <f>SUM(H785:H785)</f>
        <v>0</v>
      </c>
      <c r="I784" s="40">
        <f>SUM(I785:I785)</f>
        <v>0</v>
      </c>
      <c r="J784" s="40">
        <f>SUM(J785:J785)+10341.62</f>
        <v>10341.620000000001</v>
      </c>
      <c r="K784" s="40">
        <f>SUM(K785:K785)</f>
        <v>0</v>
      </c>
      <c r="L784" s="40">
        <f>SUM(L785:L785)</f>
        <v>0</v>
      </c>
      <c r="M784" s="40">
        <f>SUM(M785:M785)</f>
        <v>0</v>
      </c>
      <c r="N784" s="40">
        <f>SUM(N785:N785)</f>
        <v>0</v>
      </c>
      <c r="O784" s="40">
        <f>SUM(O785:O785)</f>
        <v>0</v>
      </c>
      <c r="P784" s="40">
        <f>SUM(P785:P785)+25342.96</f>
        <v>25342.959999999999</v>
      </c>
      <c r="Q784" s="40">
        <f>SUM(Q785:Q785)+15001.34</f>
        <v>15001.34</v>
      </c>
      <c r="R784" s="40">
        <f t="shared" ref="R784:Y784" si="594">SUM(R785:R785)</f>
        <v>0</v>
      </c>
      <c r="S784" s="40">
        <f t="shared" si="594"/>
        <v>0</v>
      </c>
      <c r="T784" s="40">
        <f t="shared" si="594"/>
        <v>0</v>
      </c>
      <c r="U784" s="40">
        <f t="shared" si="594"/>
        <v>0</v>
      </c>
      <c r="V784" s="40">
        <f t="shared" si="594"/>
        <v>0</v>
      </c>
      <c r="W784" s="40">
        <f t="shared" si="594"/>
        <v>0</v>
      </c>
      <c r="X784" s="40">
        <f t="shared" si="594"/>
        <v>0</v>
      </c>
      <c r="Y784" s="40">
        <f t="shared" si="594"/>
        <v>0</v>
      </c>
      <c r="Z784" s="39" t="s">
        <v>2164</v>
      </c>
      <c r="AA784" s="41" t="s">
        <v>41</v>
      </c>
      <c r="AB784" s="42" t="s">
        <v>82</v>
      </c>
      <c r="AC784" s="42" t="s">
        <v>49</v>
      </c>
      <c r="AD784" s="43" t="s">
        <v>2167</v>
      </c>
    </row>
    <row r="785" spans="1:30" ht="46.5" x14ac:dyDescent="0.25">
      <c r="A785" s="37" t="s">
        <v>2182</v>
      </c>
      <c r="B785" s="38" t="s">
        <v>2179</v>
      </c>
      <c r="C785" s="39"/>
      <c r="D785" s="39"/>
      <c r="E785" s="39"/>
      <c r="F785" s="44">
        <v>0</v>
      </c>
      <c r="G785" s="44">
        <v>0</v>
      </c>
      <c r="H785" s="44">
        <v>0</v>
      </c>
      <c r="I785" s="44">
        <v>0</v>
      </c>
      <c r="J785" s="44">
        <v>0</v>
      </c>
      <c r="K785" s="44">
        <v>0</v>
      </c>
      <c r="L785" s="44">
        <v>0</v>
      </c>
      <c r="M785" s="44">
        <v>0</v>
      </c>
      <c r="N785" s="44">
        <v>0</v>
      </c>
      <c r="O785" s="44">
        <v>0</v>
      </c>
      <c r="P785" s="44">
        <v>0</v>
      </c>
      <c r="Q785" s="44">
        <v>0</v>
      </c>
      <c r="R785" s="44">
        <v>0</v>
      </c>
      <c r="S785" s="44">
        <v>0</v>
      </c>
      <c r="T785" s="44">
        <v>0</v>
      </c>
      <c r="U785" s="44">
        <v>0</v>
      </c>
      <c r="V785" s="44">
        <v>0</v>
      </c>
      <c r="W785" s="44">
        <v>0</v>
      </c>
      <c r="X785" s="44">
        <v>0</v>
      </c>
      <c r="Y785" s="44">
        <v>0</v>
      </c>
      <c r="Z785" s="39"/>
      <c r="AA785" s="41"/>
      <c r="AB785" s="42"/>
      <c r="AC785" s="42"/>
      <c r="AD785" s="43"/>
    </row>
    <row r="786" spans="1:30" ht="69.75" x14ac:dyDescent="0.25">
      <c r="A786" s="37" t="s">
        <v>2183</v>
      </c>
      <c r="B786" s="38" t="s">
        <v>2184</v>
      </c>
      <c r="C786" s="39" t="s">
        <v>1541</v>
      </c>
      <c r="D786" s="39" t="s">
        <v>1645</v>
      </c>
      <c r="E786" s="39" t="s">
        <v>46</v>
      </c>
      <c r="F786" s="40">
        <f>SUM(F787:F787)+10886</f>
        <v>10886</v>
      </c>
      <c r="G786" s="40">
        <f>SUM(G787:G787)+5686</f>
        <v>5686</v>
      </c>
      <c r="H786" s="40">
        <f>SUM(H787:H787)</f>
        <v>0</v>
      </c>
      <c r="I786" s="40">
        <f>SUM(I787:I787)</f>
        <v>0</v>
      </c>
      <c r="J786" s="40">
        <f>SUM(J787:J787)+5200</f>
        <v>5200</v>
      </c>
      <c r="K786" s="40">
        <f>SUM(K787:K787)</f>
        <v>0</v>
      </c>
      <c r="L786" s="40">
        <f>SUM(L787:L787)</f>
        <v>0</v>
      </c>
      <c r="M786" s="40">
        <f>SUM(M787:M787)</f>
        <v>0</v>
      </c>
      <c r="N786" s="40">
        <f>SUM(N787:N787)</f>
        <v>0</v>
      </c>
      <c r="O786" s="40">
        <f>SUM(O787:O787)</f>
        <v>0</v>
      </c>
      <c r="P786" s="40">
        <f>SUM(P787:P787)+10885.9</f>
        <v>10885.9</v>
      </c>
      <c r="Q786" s="40">
        <f>SUM(Q787:Q787)+5685.9</f>
        <v>5685.9</v>
      </c>
      <c r="R786" s="40">
        <f t="shared" ref="R786:Y786" si="595">SUM(R787:R787)</f>
        <v>0</v>
      </c>
      <c r="S786" s="40">
        <f t="shared" si="595"/>
        <v>0</v>
      </c>
      <c r="T786" s="40">
        <f t="shared" si="595"/>
        <v>0</v>
      </c>
      <c r="U786" s="40">
        <f t="shared" si="595"/>
        <v>0</v>
      </c>
      <c r="V786" s="40">
        <f t="shared" si="595"/>
        <v>0</v>
      </c>
      <c r="W786" s="40">
        <f t="shared" si="595"/>
        <v>0</v>
      </c>
      <c r="X786" s="40">
        <f t="shared" si="595"/>
        <v>0</v>
      </c>
      <c r="Y786" s="40">
        <f t="shared" si="595"/>
        <v>0</v>
      </c>
      <c r="Z786" s="39" t="s">
        <v>2164</v>
      </c>
      <c r="AA786" s="41" t="s">
        <v>41</v>
      </c>
      <c r="AB786" s="42" t="s">
        <v>42</v>
      </c>
      <c r="AC786" s="42" t="s">
        <v>83</v>
      </c>
      <c r="AD786" s="43" t="s">
        <v>2167</v>
      </c>
    </row>
    <row r="787" spans="1:30" ht="46.5" x14ac:dyDescent="0.25">
      <c r="A787" s="37" t="s">
        <v>2185</v>
      </c>
      <c r="B787" s="38" t="s">
        <v>2179</v>
      </c>
      <c r="C787" s="39"/>
      <c r="D787" s="39"/>
      <c r="E787" s="39"/>
      <c r="F787" s="44">
        <v>0</v>
      </c>
      <c r="G787" s="44">
        <v>0</v>
      </c>
      <c r="H787" s="44">
        <v>0</v>
      </c>
      <c r="I787" s="44">
        <v>0</v>
      </c>
      <c r="J787" s="44">
        <v>0</v>
      </c>
      <c r="K787" s="44">
        <v>0</v>
      </c>
      <c r="L787" s="44">
        <v>0</v>
      </c>
      <c r="M787" s="44">
        <v>0</v>
      </c>
      <c r="N787" s="44">
        <v>0</v>
      </c>
      <c r="O787" s="44">
        <v>0</v>
      </c>
      <c r="P787" s="44">
        <v>0</v>
      </c>
      <c r="Q787" s="44">
        <v>0</v>
      </c>
      <c r="R787" s="44">
        <v>0</v>
      </c>
      <c r="S787" s="44">
        <v>0</v>
      </c>
      <c r="T787" s="44">
        <v>0</v>
      </c>
      <c r="U787" s="44">
        <v>0</v>
      </c>
      <c r="V787" s="44">
        <v>0</v>
      </c>
      <c r="W787" s="44">
        <v>0</v>
      </c>
      <c r="X787" s="44">
        <v>0</v>
      </c>
      <c r="Y787" s="44">
        <v>0</v>
      </c>
      <c r="Z787" s="39"/>
      <c r="AA787" s="41"/>
      <c r="AB787" s="42"/>
      <c r="AC787" s="42"/>
      <c r="AD787" s="43"/>
    </row>
    <row r="788" spans="1:30" ht="69.75" x14ac:dyDescent="0.25">
      <c r="A788" s="37" t="s">
        <v>2186</v>
      </c>
      <c r="B788" s="38" t="s">
        <v>2187</v>
      </c>
      <c r="C788" s="39" t="s">
        <v>1541</v>
      </c>
      <c r="D788" s="39" t="s">
        <v>1645</v>
      </c>
      <c r="E788" s="39" t="s">
        <v>46</v>
      </c>
      <c r="F788" s="40">
        <f>SUM(F789:F789)+10890.87</f>
        <v>10890.87</v>
      </c>
      <c r="G788" s="40">
        <f>SUM(G789:G789)+5686</f>
        <v>5686</v>
      </c>
      <c r="H788" s="40">
        <f>SUM(H789:H789)</f>
        <v>0</v>
      </c>
      <c r="I788" s="40">
        <f>SUM(I789:I789)</f>
        <v>0</v>
      </c>
      <c r="J788" s="40">
        <f>SUM(J789:J789)+5204.87</f>
        <v>5204.87</v>
      </c>
      <c r="K788" s="40">
        <f>SUM(K789:K789)</f>
        <v>0</v>
      </c>
      <c r="L788" s="40">
        <f>SUM(L789:L789)</f>
        <v>0</v>
      </c>
      <c r="M788" s="40">
        <f>SUM(M789:M789)</f>
        <v>0</v>
      </c>
      <c r="N788" s="40">
        <f>SUM(N789:N789)</f>
        <v>0</v>
      </c>
      <c r="O788" s="40">
        <f>SUM(O789:O789)</f>
        <v>0</v>
      </c>
      <c r="P788" s="40">
        <f>SUM(P789:P789)+10884.41</f>
        <v>10884.41</v>
      </c>
      <c r="Q788" s="40">
        <f>SUM(Q789:Q789)+5679.54</f>
        <v>5679.54</v>
      </c>
      <c r="R788" s="40">
        <f t="shared" ref="R788:Y788" si="596">SUM(R789:R789)</f>
        <v>0</v>
      </c>
      <c r="S788" s="40">
        <f t="shared" si="596"/>
        <v>0</v>
      </c>
      <c r="T788" s="40">
        <f t="shared" si="596"/>
        <v>0</v>
      </c>
      <c r="U788" s="40">
        <f t="shared" si="596"/>
        <v>0</v>
      </c>
      <c r="V788" s="40">
        <f t="shared" si="596"/>
        <v>0</v>
      </c>
      <c r="W788" s="40">
        <f t="shared" si="596"/>
        <v>0</v>
      </c>
      <c r="X788" s="40">
        <f t="shared" si="596"/>
        <v>0</v>
      </c>
      <c r="Y788" s="40">
        <f t="shared" si="596"/>
        <v>0</v>
      </c>
      <c r="Z788" s="39" t="s">
        <v>2164</v>
      </c>
      <c r="AA788" s="41" t="s">
        <v>41</v>
      </c>
      <c r="AB788" s="42" t="s">
        <v>42</v>
      </c>
      <c r="AC788" s="42" t="s">
        <v>225</v>
      </c>
      <c r="AD788" s="43" t="s">
        <v>2167</v>
      </c>
    </row>
    <row r="789" spans="1:30" ht="46.5" x14ac:dyDescent="0.25">
      <c r="A789" s="37" t="s">
        <v>2188</v>
      </c>
      <c r="B789" s="38" t="s">
        <v>2179</v>
      </c>
      <c r="C789" s="39"/>
      <c r="D789" s="39"/>
      <c r="E789" s="39"/>
      <c r="F789" s="44">
        <v>0</v>
      </c>
      <c r="G789" s="44">
        <v>0</v>
      </c>
      <c r="H789" s="44">
        <v>0</v>
      </c>
      <c r="I789" s="44">
        <v>0</v>
      </c>
      <c r="J789" s="44">
        <v>0</v>
      </c>
      <c r="K789" s="44">
        <v>0</v>
      </c>
      <c r="L789" s="44">
        <v>0</v>
      </c>
      <c r="M789" s="44">
        <v>0</v>
      </c>
      <c r="N789" s="44">
        <v>0</v>
      </c>
      <c r="O789" s="44">
        <v>0</v>
      </c>
      <c r="P789" s="44">
        <v>0</v>
      </c>
      <c r="Q789" s="44">
        <v>0</v>
      </c>
      <c r="R789" s="44">
        <v>0</v>
      </c>
      <c r="S789" s="44">
        <v>0</v>
      </c>
      <c r="T789" s="44">
        <v>0</v>
      </c>
      <c r="U789" s="44">
        <v>0</v>
      </c>
      <c r="V789" s="44">
        <v>0</v>
      </c>
      <c r="W789" s="44">
        <v>0</v>
      </c>
      <c r="X789" s="44">
        <v>0</v>
      </c>
      <c r="Y789" s="44">
        <v>0</v>
      </c>
      <c r="Z789" s="39"/>
      <c r="AA789" s="41"/>
      <c r="AB789" s="42"/>
      <c r="AC789" s="42"/>
      <c r="AD789" s="43"/>
    </row>
    <row r="790" spans="1:30" ht="69.75" x14ac:dyDescent="0.25">
      <c r="A790" s="37" t="s">
        <v>2189</v>
      </c>
      <c r="B790" s="38" t="s">
        <v>2190</v>
      </c>
      <c r="C790" s="39" t="s">
        <v>1541</v>
      </c>
      <c r="D790" s="39" t="s">
        <v>1645</v>
      </c>
      <c r="E790" s="39" t="s">
        <v>46</v>
      </c>
      <c r="F790" s="40">
        <f>SUM(F791:F791)+10999.22</f>
        <v>10999.22</v>
      </c>
      <c r="G790" s="40">
        <f>SUM(G791:G791)+5686</f>
        <v>5686</v>
      </c>
      <c r="H790" s="40">
        <f>SUM(H791:H791)</f>
        <v>0</v>
      </c>
      <c r="I790" s="40">
        <f>SUM(I791:I791)</f>
        <v>0</v>
      </c>
      <c r="J790" s="40">
        <f>SUM(J791:J791)+5313.22</f>
        <v>5313.22</v>
      </c>
      <c r="K790" s="40">
        <f>SUM(K791:K791)</f>
        <v>0</v>
      </c>
      <c r="L790" s="40">
        <f>SUM(L791:L791)</f>
        <v>0</v>
      </c>
      <c r="M790" s="40">
        <f>SUM(M791:M791)</f>
        <v>0</v>
      </c>
      <c r="N790" s="40">
        <f>SUM(N791:N791)</f>
        <v>0</v>
      </c>
      <c r="O790" s="40">
        <f>SUM(O791:O791)</f>
        <v>0</v>
      </c>
      <c r="P790" s="40">
        <f>SUM(P791:P791)+10961</f>
        <v>10961</v>
      </c>
      <c r="Q790" s="40">
        <f>SUM(Q791:Q791)+5647.78</f>
        <v>5647.78</v>
      </c>
      <c r="R790" s="40">
        <f t="shared" ref="R790:Y790" si="597">SUM(R791:R791)</f>
        <v>0</v>
      </c>
      <c r="S790" s="40">
        <f t="shared" si="597"/>
        <v>0</v>
      </c>
      <c r="T790" s="40">
        <f t="shared" si="597"/>
        <v>0</v>
      </c>
      <c r="U790" s="40">
        <f t="shared" si="597"/>
        <v>0</v>
      </c>
      <c r="V790" s="40">
        <f t="shared" si="597"/>
        <v>0</v>
      </c>
      <c r="W790" s="40">
        <f t="shared" si="597"/>
        <v>0</v>
      </c>
      <c r="X790" s="40">
        <f t="shared" si="597"/>
        <v>0</v>
      </c>
      <c r="Y790" s="40">
        <f t="shared" si="597"/>
        <v>0</v>
      </c>
      <c r="Z790" s="39" t="s">
        <v>2164</v>
      </c>
      <c r="AA790" s="41" t="s">
        <v>41</v>
      </c>
      <c r="AB790" s="42" t="s">
        <v>42</v>
      </c>
      <c r="AC790" s="42" t="s">
        <v>83</v>
      </c>
      <c r="AD790" s="43" t="s">
        <v>2167</v>
      </c>
    </row>
    <row r="791" spans="1:30" ht="46.5" x14ac:dyDescent="0.25">
      <c r="A791" s="37" t="s">
        <v>2191</v>
      </c>
      <c r="B791" s="38" t="s">
        <v>2179</v>
      </c>
      <c r="C791" s="39"/>
      <c r="D791" s="39"/>
      <c r="E791" s="39"/>
      <c r="F791" s="44">
        <v>0</v>
      </c>
      <c r="G791" s="44">
        <v>0</v>
      </c>
      <c r="H791" s="44">
        <v>0</v>
      </c>
      <c r="I791" s="44">
        <v>0</v>
      </c>
      <c r="J791" s="44">
        <v>0</v>
      </c>
      <c r="K791" s="44">
        <v>0</v>
      </c>
      <c r="L791" s="44">
        <v>0</v>
      </c>
      <c r="M791" s="44">
        <v>0</v>
      </c>
      <c r="N791" s="44">
        <v>0</v>
      </c>
      <c r="O791" s="44">
        <v>0</v>
      </c>
      <c r="P791" s="44">
        <v>0</v>
      </c>
      <c r="Q791" s="44">
        <v>0</v>
      </c>
      <c r="R791" s="44">
        <v>0</v>
      </c>
      <c r="S791" s="44">
        <v>0</v>
      </c>
      <c r="T791" s="44">
        <v>0</v>
      </c>
      <c r="U791" s="44">
        <v>0</v>
      </c>
      <c r="V791" s="44">
        <v>0</v>
      </c>
      <c r="W791" s="44">
        <v>0</v>
      </c>
      <c r="X791" s="44">
        <v>0</v>
      </c>
      <c r="Y791" s="44">
        <v>0</v>
      </c>
      <c r="Z791" s="39"/>
      <c r="AA791" s="41"/>
      <c r="AB791" s="42"/>
      <c r="AC791" s="42"/>
      <c r="AD791" s="43"/>
    </row>
    <row r="792" spans="1:30" ht="46.5" x14ac:dyDescent="0.25">
      <c r="A792" s="37" t="s">
        <v>2192</v>
      </c>
      <c r="B792" s="38" t="s">
        <v>2193</v>
      </c>
      <c r="C792" s="39" t="s">
        <v>1541</v>
      </c>
      <c r="D792" s="39" t="s">
        <v>1645</v>
      </c>
      <c r="E792" s="39" t="s">
        <v>46</v>
      </c>
      <c r="F792" s="40">
        <f>SUM(F793:F793)+10886</f>
        <v>10886</v>
      </c>
      <c r="G792" s="40">
        <f>SUM(G793:G793)+5686</f>
        <v>5686</v>
      </c>
      <c r="H792" s="40">
        <f>SUM(H793:H793)</f>
        <v>0</v>
      </c>
      <c r="I792" s="40">
        <f>SUM(I793:I793)</f>
        <v>0</v>
      </c>
      <c r="J792" s="40">
        <f>SUM(J793:J793)+5200</f>
        <v>5200</v>
      </c>
      <c r="K792" s="40">
        <f>SUM(K793:K793)</f>
        <v>0</v>
      </c>
      <c r="L792" s="40">
        <f>SUM(L793:L793)</f>
        <v>0</v>
      </c>
      <c r="M792" s="40">
        <f>SUM(M793:M793)</f>
        <v>0</v>
      </c>
      <c r="N792" s="40">
        <f>SUM(N793:N793)</f>
        <v>0</v>
      </c>
      <c r="O792" s="40">
        <f>SUM(O793:O793)</f>
        <v>0</v>
      </c>
      <c r="P792" s="40">
        <f>SUM(P793:P793)+10837.81</f>
        <v>10837.81</v>
      </c>
      <c r="Q792" s="40">
        <f>SUM(Q793:Q793)+5637.81</f>
        <v>5637.81</v>
      </c>
      <c r="R792" s="40">
        <f t="shared" ref="R792:Y792" si="598">SUM(R793:R793)</f>
        <v>0</v>
      </c>
      <c r="S792" s="40">
        <f t="shared" si="598"/>
        <v>0</v>
      </c>
      <c r="T792" s="40">
        <f t="shared" si="598"/>
        <v>0</v>
      </c>
      <c r="U792" s="40">
        <f t="shared" si="598"/>
        <v>0</v>
      </c>
      <c r="V792" s="40">
        <f t="shared" si="598"/>
        <v>0</v>
      </c>
      <c r="W792" s="40">
        <f t="shared" si="598"/>
        <v>0</v>
      </c>
      <c r="X792" s="40">
        <f t="shared" si="598"/>
        <v>0</v>
      </c>
      <c r="Y792" s="40">
        <f t="shared" si="598"/>
        <v>0</v>
      </c>
      <c r="Z792" s="39" t="s">
        <v>2164</v>
      </c>
      <c r="AA792" s="41" t="s">
        <v>41</v>
      </c>
      <c r="AB792" s="42" t="s">
        <v>42</v>
      </c>
      <c r="AC792" s="42" t="s">
        <v>42</v>
      </c>
      <c r="AD792" s="43"/>
    </row>
    <row r="793" spans="1:30" ht="46.5" x14ac:dyDescent="0.25">
      <c r="A793" s="37" t="s">
        <v>2194</v>
      </c>
      <c r="B793" s="38" t="s">
        <v>2179</v>
      </c>
      <c r="C793" s="39"/>
      <c r="D793" s="39"/>
      <c r="E793" s="39"/>
      <c r="F793" s="44">
        <v>0</v>
      </c>
      <c r="G793" s="44">
        <v>0</v>
      </c>
      <c r="H793" s="44">
        <v>0</v>
      </c>
      <c r="I793" s="44">
        <v>0</v>
      </c>
      <c r="J793" s="44">
        <v>0</v>
      </c>
      <c r="K793" s="44">
        <v>0</v>
      </c>
      <c r="L793" s="44">
        <v>0</v>
      </c>
      <c r="M793" s="44">
        <v>0</v>
      </c>
      <c r="N793" s="44">
        <v>0</v>
      </c>
      <c r="O793" s="44">
        <v>0</v>
      </c>
      <c r="P793" s="44">
        <v>0</v>
      </c>
      <c r="Q793" s="44">
        <v>0</v>
      </c>
      <c r="R793" s="44">
        <v>0</v>
      </c>
      <c r="S793" s="44">
        <v>0</v>
      </c>
      <c r="T793" s="44">
        <v>0</v>
      </c>
      <c r="U793" s="44">
        <v>0</v>
      </c>
      <c r="V793" s="44">
        <v>0</v>
      </c>
      <c r="W793" s="44">
        <v>0</v>
      </c>
      <c r="X793" s="44">
        <v>0</v>
      </c>
      <c r="Y793" s="44">
        <v>0</v>
      </c>
      <c r="Z793" s="39"/>
      <c r="AA793" s="41"/>
      <c r="AB793" s="42"/>
      <c r="AC793" s="42"/>
      <c r="AD793" s="43"/>
    </row>
    <row r="794" spans="1:30" ht="69.75" x14ac:dyDescent="0.25">
      <c r="A794" s="37" t="s">
        <v>2195</v>
      </c>
      <c r="B794" s="38" t="s">
        <v>2196</v>
      </c>
      <c r="C794" s="39" t="s">
        <v>1541</v>
      </c>
      <c r="D794" s="39" t="s">
        <v>1645</v>
      </c>
      <c r="E794" s="39" t="s">
        <v>46</v>
      </c>
      <c r="F794" s="40">
        <f>SUM(F795:F795)+10886</f>
        <v>10886</v>
      </c>
      <c r="G794" s="40">
        <f>SUM(G795:G795)+5686</f>
        <v>5686</v>
      </c>
      <c r="H794" s="40">
        <f>SUM(H795:H795)</f>
        <v>0</v>
      </c>
      <c r="I794" s="40">
        <f>SUM(I795:I795)</f>
        <v>0</v>
      </c>
      <c r="J794" s="40">
        <f>SUM(J795:J795)+5200</f>
        <v>5200</v>
      </c>
      <c r="K794" s="40">
        <f>SUM(K795:K795)</f>
        <v>0</v>
      </c>
      <c r="L794" s="40">
        <f>SUM(L795:L795)</f>
        <v>0</v>
      </c>
      <c r="M794" s="40">
        <f>SUM(M795:M795)</f>
        <v>0</v>
      </c>
      <c r="N794" s="40">
        <f>SUM(N795:N795)</f>
        <v>0</v>
      </c>
      <c r="O794" s="40">
        <f>SUM(O795:O795)</f>
        <v>0</v>
      </c>
      <c r="P794" s="40">
        <f>SUM(P795:P795)+10784.88</f>
        <v>10784.88</v>
      </c>
      <c r="Q794" s="40">
        <f>SUM(Q795:Q795)+5584.88</f>
        <v>5584.88</v>
      </c>
      <c r="R794" s="40">
        <f t="shared" ref="R794:Y794" si="599">SUM(R795:R795)</f>
        <v>0</v>
      </c>
      <c r="S794" s="40">
        <f t="shared" si="599"/>
        <v>0</v>
      </c>
      <c r="T794" s="40">
        <f t="shared" si="599"/>
        <v>0</v>
      </c>
      <c r="U794" s="40">
        <f t="shared" si="599"/>
        <v>0</v>
      </c>
      <c r="V794" s="40">
        <f t="shared" si="599"/>
        <v>0</v>
      </c>
      <c r="W794" s="40">
        <f t="shared" si="599"/>
        <v>0</v>
      </c>
      <c r="X794" s="40">
        <f t="shared" si="599"/>
        <v>0</v>
      </c>
      <c r="Y794" s="40">
        <f t="shared" si="599"/>
        <v>0</v>
      </c>
      <c r="Z794" s="39" t="s">
        <v>2164</v>
      </c>
      <c r="AA794" s="41" t="s">
        <v>41</v>
      </c>
      <c r="AB794" s="42" t="s">
        <v>42</v>
      </c>
      <c r="AC794" s="42" t="s">
        <v>83</v>
      </c>
      <c r="AD794" s="43" t="s">
        <v>2167</v>
      </c>
    </row>
    <row r="795" spans="1:30" ht="46.5" x14ac:dyDescent="0.25">
      <c r="A795" s="37" t="s">
        <v>2197</v>
      </c>
      <c r="B795" s="38" t="s">
        <v>2179</v>
      </c>
      <c r="C795" s="39"/>
      <c r="D795" s="39"/>
      <c r="E795" s="39"/>
      <c r="F795" s="44">
        <v>0</v>
      </c>
      <c r="G795" s="44">
        <v>0</v>
      </c>
      <c r="H795" s="44">
        <v>0</v>
      </c>
      <c r="I795" s="44">
        <v>0</v>
      </c>
      <c r="J795" s="44">
        <v>0</v>
      </c>
      <c r="K795" s="44">
        <v>0</v>
      </c>
      <c r="L795" s="44">
        <v>0</v>
      </c>
      <c r="M795" s="44">
        <v>0</v>
      </c>
      <c r="N795" s="44">
        <v>0</v>
      </c>
      <c r="O795" s="44">
        <v>0</v>
      </c>
      <c r="P795" s="44">
        <v>0</v>
      </c>
      <c r="Q795" s="44">
        <v>0</v>
      </c>
      <c r="R795" s="44">
        <v>0</v>
      </c>
      <c r="S795" s="44">
        <v>0</v>
      </c>
      <c r="T795" s="44">
        <v>0</v>
      </c>
      <c r="U795" s="44">
        <v>0</v>
      </c>
      <c r="V795" s="44">
        <v>0</v>
      </c>
      <c r="W795" s="44">
        <v>0</v>
      </c>
      <c r="X795" s="44">
        <v>0</v>
      </c>
      <c r="Y795" s="44">
        <v>0</v>
      </c>
      <c r="Z795" s="39"/>
      <c r="AA795" s="41"/>
      <c r="AB795" s="42"/>
      <c r="AC795" s="42"/>
      <c r="AD795" s="43"/>
    </row>
    <row r="796" spans="1:30" ht="69.75" x14ac:dyDescent="0.25">
      <c r="A796" s="37" t="s">
        <v>2198</v>
      </c>
      <c r="B796" s="38" t="s">
        <v>2199</v>
      </c>
      <c r="C796" s="39" t="s">
        <v>1541</v>
      </c>
      <c r="D796" s="39" t="s">
        <v>1645</v>
      </c>
      <c r="E796" s="39" t="s">
        <v>46</v>
      </c>
      <c r="F796" s="40">
        <f>SUM(F797:F797)+10856.96</f>
        <v>10856.96</v>
      </c>
      <c r="G796" s="40">
        <f>SUM(G797:G797)+5686</f>
        <v>5686</v>
      </c>
      <c r="H796" s="40">
        <f>SUM(H797:H797)</f>
        <v>0</v>
      </c>
      <c r="I796" s="40">
        <f>SUM(I797:I797)</f>
        <v>0</v>
      </c>
      <c r="J796" s="40">
        <f>SUM(J797:J797)+5170.96</f>
        <v>5170.96</v>
      </c>
      <c r="K796" s="40">
        <f>SUM(K797:K797)</f>
        <v>0</v>
      </c>
      <c r="L796" s="40">
        <f>SUM(L797:L797)</f>
        <v>0</v>
      </c>
      <c r="M796" s="40">
        <f>SUM(M797:M797)</f>
        <v>0</v>
      </c>
      <c r="N796" s="40">
        <f>SUM(N797:N797)</f>
        <v>0</v>
      </c>
      <c r="O796" s="40">
        <f>SUM(O797:O797)</f>
        <v>0</v>
      </c>
      <c r="P796" s="40">
        <f>SUM(P797:P797)+10601.68</f>
        <v>10601.68</v>
      </c>
      <c r="Q796" s="40">
        <f>SUM(Q797:Q797)+5430.72</f>
        <v>5430.72</v>
      </c>
      <c r="R796" s="40">
        <f t="shared" ref="R796:Y796" si="600">SUM(R797:R797)</f>
        <v>0</v>
      </c>
      <c r="S796" s="40">
        <f t="shared" si="600"/>
        <v>0</v>
      </c>
      <c r="T796" s="40">
        <f t="shared" si="600"/>
        <v>0</v>
      </c>
      <c r="U796" s="40">
        <f t="shared" si="600"/>
        <v>0</v>
      </c>
      <c r="V796" s="40">
        <f t="shared" si="600"/>
        <v>0</v>
      </c>
      <c r="W796" s="40">
        <f t="shared" si="600"/>
        <v>0</v>
      </c>
      <c r="X796" s="40">
        <f t="shared" si="600"/>
        <v>0</v>
      </c>
      <c r="Y796" s="40">
        <f t="shared" si="600"/>
        <v>0</v>
      </c>
      <c r="Z796" s="39" t="s">
        <v>2164</v>
      </c>
      <c r="AA796" s="41" t="s">
        <v>41</v>
      </c>
      <c r="AB796" s="42" t="s">
        <v>42</v>
      </c>
      <c r="AC796" s="42" t="s">
        <v>83</v>
      </c>
      <c r="AD796" s="43" t="s">
        <v>2167</v>
      </c>
    </row>
    <row r="797" spans="1:30" ht="46.5" x14ac:dyDescent="0.25">
      <c r="A797" s="37" t="s">
        <v>2200</v>
      </c>
      <c r="B797" s="38" t="s">
        <v>2179</v>
      </c>
      <c r="C797" s="39"/>
      <c r="D797" s="39"/>
      <c r="E797" s="39"/>
      <c r="F797" s="44">
        <v>0</v>
      </c>
      <c r="G797" s="44">
        <v>0</v>
      </c>
      <c r="H797" s="44">
        <v>0</v>
      </c>
      <c r="I797" s="44">
        <v>0</v>
      </c>
      <c r="J797" s="44">
        <v>0</v>
      </c>
      <c r="K797" s="44">
        <v>0</v>
      </c>
      <c r="L797" s="44">
        <v>0</v>
      </c>
      <c r="M797" s="44">
        <v>0</v>
      </c>
      <c r="N797" s="44">
        <v>0</v>
      </c>
      <c r="O797" s="44">
        <v>0</v>
      </c>
      <c r="P797" s="44">
        <v>0</v>
      </c>
      <c r="Q797" s="44">
        <v>0</v>
      </c>
      <c r="R797" s="44">
        <v>0</v>
      </c>
      <c r="S797" s="44">
        <v>0</v>
      </c>
      <c r="T797" s="44">
        <v>0</v>
      </c>
      <c r="U797" s="44">
        <v>0</v>
      </c>
      <c r="V797" s="44">
        <v>0</v>
      </c>
      <c r="W797" s="44">
        <v>0</v>
      </c>
      <c r="X797" s="44">
        <v>0</v>
      </c>
      <c r="Y797" s="44">
        <v>0</v>
      </c>
      <c r="Z797" s="39"/>
      <c r="AA797" s="41"/>
      <c r="AB797" s="42"/>
      <c r="AC797" s="42"/>
      <c r="AD797" s="43"/>
    </row>
    <row r="798" spans="1:30" ht="46.5" x14ac:dyDescent="0.25">
      <c r="A798" s="37" t="s">
        <v>2201</v>
      </c>
      <c r="B798" s="38" t="s">
        <v>2202</v>
      </c>
      <c r="C798" s="39" t="s">
        <v>1541</v>
      </c>
      <c r="D798" s="39" t="s">
        <v>1645</v>
      </c>
      <c r="E798" s="39" t="s">
        <v>46</v>
      </c>
      <c r="F798" s="40">
        <f>SUM(F799:F799)+5443</f>
        <v>5443</v>
      </c>
      <c r="G798" s="40">
        <f>SUM(G799:G799)+2843</f>
        <v>2843</v>
      </c>
      <c r="H798" s="40">
        <f>SUM(H799:H799)</f>
        <v>0</v>
      </c>
      <c r="I798" s="40">
        <f>SUM(I799:I799)</f>
        <v>0</v>
      </c>
      <c r="J798" s="40">
        <f>SUM(J799:J799)+2600</f>
        <v>2600</v>
      </c>
      <c r="K798" s="40">
        <f>SUM(K799:K799)</f>
        <v>0</v>
      </c>
      <c r="L798" s="40">
        <f>SUM(L799:L799)</f>
        <v>0</v>
      </c>
      <c r="M798" s="40">
        <f>SUM(M799:M799)</f>
        <v>0</v>
      </c>
      <c r="N798" s="40">
        <f>SUM(N799:N799)</f>
        <v>0</v>
      </c>
      <c r="O798" s="40">
        <f>SUM(O799:O799)</f>
        <v>0</v>
      </c>
      <c r="P798" s="40">
        <f>SUM(P799:P799)+5410.78</f>
        <v>5410.78</v>
      </c>
      <c r="Q798" s="40">
        <f>SUM(Q799:Q799)+2810.78</f>
        <v>2810.78</v>
      </c>
      <c r="R798" s="40">
        <f t="shared" ref="R798:Y798" si="601">SUM(R799:R799)</f>
        <v>0</v>
      </c>
      <c r="S798" s="40">
        <f t="shared" si="601"/>
        <v>0</v>
      </c>
      <c r="T798" s="40">
        <f t="shared" si="601"/>
        <v>0</v>
      </c>
      <c r="U798" s="40">
        <f t="shared" si="601"/>
        <v>0</v>
      </c>
      <c r="V798" s="40">
        <f t="shared" si="601"/>
        <v>0</v>
      </c>
      <c r="W798" s="40">
        <f t="shared" si="601"/>
        <v>0</v>
      </c>
      <c r="X798" s="40">
        <f t="shared" si="601"/>
        <v>0</v>
      </c>
      <c r="Y798" s="40">
        <f t="shared" si="601"/>
        <v>0</v>
      </c>
      <c r="Z798" s="39" t="s">
        <v>2164</v>
      </c>
      <c r="AA798" s="41" t="s">
        <v>41</v>
      </c>
      <c r="AB798" s="42" t="s">
        <v>56</v>
      </c>
      <c r="AC798" s="42" t="s">
        <v>56</v>
      </c>
      <c r="AD798" s="43"/>
    </row>
    <row r="799" spans="1:30" ht="46.5" x14ac:dyDescent="0.25">
      <c r="A799" s="37" t="s">
        <v>2203</v>
      </c>
      <c r="B799" s="38" t="s">
        <v>2179</v>
      </c>
      <c r="C799" s="39"/>
      <c r="D799" s="39"/>
      <c r="E799" s="39"/>
      <c r="F799" s="44">
        <v>0</v>
      </c>
      <c r="G799" s="44">
        <v>0</v>
      </c>
      <c r="H799" s="44">
        <v>0</v>
      </c>
      <c r="I799" s="44">
        <v>0</v>
      </c>
      <c r="J799" s="44">
        <v>0</v>
      </c>
      <c r="K799" s="44">
        <v>0</v>
      </c>
      <c r="L799" s="44">
        <v>0</v>
      </c>
      <c r="M799" s="44">
        <v>0</v>
      </c>
      <c r="N799" s="44">
        <v>0</v>
      </c>
      <c r="O799" s="44">
        <v>0</v>
      </c>
      <c r="P799" s="44">
        <v>0</v>
      </c>
      <c r="Q799" s="44">
        <v>0</v>
      </c>
      <c r="R799" s="44">
        <v>0</v>
      </c>
      <c r="S799" s="44">
        <v>0</v>
      </c>
      <c r="T799" s="44">
        <v>0</v>
      </c>
      <c r="U799" s="44">
        <v>0</v>
      </c>
      <c r="V799" s="44">
        <v>0</v>
      </c>
      <c r="W799" s="44">
        <v>0</v>
      </c>
      <c r="X799" s="44">
        <v>0</v>
      </c>
      <c r="Y799" s="44">
        <v>0</v>
      </c>
      <c r="Z799" s="39"/>
      <c r="AA799" s="41"/>
      <c r="AB799" s="42"/>
      <c r="AC799" s="42"/>
      <c r="AD799" s="43"/>
    </row>
    <row r="800" spans="1:30" ht="69.75" x14ac:dyDescent="0.25">
      <c r="A800" s="37" t="s">
        <v>2204</v>
      </c>
      <c r="B800" s="38" t="s">
        <v>2205</v>
      </c>
      <c r="C800" s="39" t="s">
        <v>1541</v>
      </c>
      <c r="D800" s="39" t="s">
        <v>1645</v>
      </c>
      <c r="E800" s="39" t="s">
        <v>46</v>
      </c>
      <c r="F800" s="40">
        <f>SUM(F801:F801)+5438.11</f>
        <v>5438.11</v>
      </c>
      <c r="G800" s="40">
        <f>SUM(G801:G801)+2843</f>
        <v>2843</v>
      </c>
      <c r="H800" s="40">
        <f>SUM(H801:H801)</f>
        <v>0</v>
      </c>
      <c r="I800" s="40">
        <f>SUM(I801:I801)</f>
        <v>0</v>
      </c>
      <c r="J800" s="40">
        <f>SUM(J801:J801)+2595.11</f>
        <v>2595.11</v>
      </c>
      <c r="K800" s="40">
        <f>SUM(K801:K801)</f>
        <v>0</v>
      </c>
      <c r="L800" s="40">
        <f>SUM(L801:L801)</f>
        <v>0</v>
      </c>
      <c r="M800" s="40">
        <f>SUM(M801:M801)</f>
        <v>0</v>
      </c>
      <c r="N800" s="40">
        <f>SUM(N801:N801)</f>
        <v>0</v>
      </c>
      <c r="O800" s="40">
        <f>SUM(O801:O801)</f>
        <v>0</v>
      </c>
      <c r="P800" s="40">
        <f>SUM(P801:P801)+5437.81</f>
        <v>5437.81</v>
      </c>
      <c r="Q800" s="40">
        <f>SUM(Q801:Q801)+2842.7</f>
        <v>2842.7</v>
      </c>
      <c r="R800" s="40">
        <f t="shared" ref="R800:Y800" si="602">SUM(R801:R801)</f>
        <v>0</v>
      </c>
      <c r="S800" s="40">
        <f t="shared" si="602"/>
        <v>0</v>
      </c>
      <c r="T800" s="40">
        <f t="shared" si="602"/>
        <v>0</v>
      </c>
      <c r="U800" s="40">
        <f t="shared" si="602"/>
        <v>0</v>
      </c>
      <c r="V800" s="40">
        <f t="shared" si="602"/>
        <v>0</v>
      </c>
      <c r="W800" s="40">
        <f t="shared" si="602"/>
        <v>0</v>
      </c>
      <c r="X800" s="40">
        <f t="shared" si="602"/>
        <v>0</v>
      </c>
      <c r="Y800" s="40">
        <f t="shared" si="602"/>
        <v>0</v>
      </c>
      <c r="Z800" s="39" t="s">
        <v>2164</v>
      </c>
      <c r="AA800" s="41" t="s">
        <v>41</v>
      </c>
      <c r="AB800" s="42" t="s">
        <v>56</v>
      </c>
      <c r="AC800" s="42" t="s">
        <v>83</v>
      </c>
      <c r="AD800" s="43" t="s">
        <v>2167</v>
      </c>
    </row>
    <row r="801" spans="1:30" ht="46.5" x14ac:dyDescent="0.25">
      <c r="A801" s="37" t="s">
        <v>2206</v>
      </c>
      <c r="B801" s="38" t="s">
        <v>2179</v>
      </c>
      <c r="C801" s="39"/>
      <c r="D801" s="39"/>
      <c r="E801" s="39"/>
      <c r="F801" s="44">
        <v>0</v>
      </c>
      <c r="G801" s="44">
        <v>0</v>
      </c>
      <c r="H801" s="44">
        <v>0</v>
      </c>
      <c r="I801" s="44">
        <v>0</v>
      </c>
      <c r="J801" s="44">
        <v>0</v>
      </c>
      <c r="K801" s="44">
        <v>0</v>
      </c>
      <c r="L801" s="44">
        <v>0</v>
      </c>
      <c r="M801" s="44">
        <v>0</v>
      </c>
      <c r="N801" s="44">
        <v>0</v>
      </c>
      <c r="O801" s="44">
        <v>0</v>
      </c>
      <c r="P801" s="44">
        <v>0</v>
      </c>
      <c r="Q801" s="44">
        <v>0</v>
      </c>
      <c r="R801" s="44">
        <v>0</v>
      </c>
      <c r="S801" s="44">
        <v>0</v>
      </c>
      <c r="T801" s="44">
        <v>0</v>
      </c>
      <c r="U801" s="44">
        <v>0</v>
      </c>
      <c r="V801" s="44">
        <v>0</v>
      </c>
      <c r="W801" s="44">
        <v>0</v>
      </c>
      <c r="X801" s="44">
        <v>0</v>
      </c>
      <c r="Y801" s="44">
        <v>0</v>
      </c>
      <c r="Z801" s="39"/>
      <c r="AA801" s="41"/>
      <c r="AB801" s="42"/>
      <c r="AC801" s="42"/>
      <c r="AD801" s="43"/>
    </row>
    <row r="802" spans="1:30" ht="69.75" x14ac:dyDescent="0.25">
      <c r="A802" s="37" t="s">
        <v>2207</v>
      </c>
      <c r="B802" s="38" t="s">
        <v>2208</v>
      </c>
      <c r="C802" s="39" t="s">
        <v>1541</v>
      </c>
      <c r="D802" s="39" t="s">
        <v>1645</v>
      </c>
      <c r="E802" s="39" t="s">
        <v>46</v>
      </c>
      <c r="F802" s="40">
        <f>SUM(F803:F803)+5438.56</f>
        <v>5438.56</v>
      </c>
      <c r="G802" s="40">
        <f>SUM(G803:G803)+2843</f>
        <v>2843</v>
      </c>
      <c r="H802" s="40">
        <f>SUM(H803:H803)</f>
        <v>0</v>
      </c>
      <c r="I802" s="40">
        <f>SUM(I803:I803)</f>
        <v>0</v>
      </c>
      <c r="J802" s="40">
        <f>SUM(J803:J803)+2595.56</f>
        <v>2595.56</v>
      </c>
      <c r="K802" s="40">
        <f>SUM(K803:K803)</f>
        <v>0</v>
      </c>
      <c r="L802" s="40">
        <f>SUM(L803:L803)</f>
        <v>0</v>
      </c>
      <c r="M802" s="40">
        <f>SUM(M803:M803)</f>
        <v>0</v>
      </c>
      <c r="N802" s="40">
        <f>SUM(N803:N803)</f>
        <v>0</v>
      </c>
      <c r="O802" s="40">
        <f>SUM(O803:O803)</f>
        <v>0</v>
      </c>
      <c r="P802" s="40">
        <f>SUM(P803:P803)+5353.41</f>
        <v>5353.41</v>
      </c>
      <c r="Q802" s="40">
        <f>SUM(Q803:Q803)+2757.85</f>
        <v>2757.85</v>
      </c>
      <c r="R802" s="40">
        <f t="shared" ref="R802:Y802" si="603">SUM(R803:R803)</f>
        <v>0</v>
      </c>
      <c r="S802" s="40">
        <f t="shared" si="603"/>
        <v>0</v>
      </c>
      <c r="T802" s="40">
        <f t="shared" si="603"/>
        <v>0</v>
      </c>
      <c r="U802" s="40">
        <f t="shared" si="603"/>
        <v>0</v>
      </c>
      <c r="V802" s="40">
        <f t="shared" si="603"/>
        <v>0</v>
      </c>
      <c r="W802" s="40">
        <f t="shared" si="603"/>
        <v>0</v>
      </c>
      <c r="X802" s="40">
        <f t="shared" si="603"/>
        <v>0</v>
      </c>
      <c r="Y802" s="40">
        <f t="shared" si="603"/>
        <v>0</v>
      </c>
      <c r="Z802" s="39" t="s">
        <v>2164</v>
      </c>
      <c r="AA802" s="41" t="s">
        <v>41</v>
      </c>
      <c r="AB802" s="42" t="s">
        <v>56</v>
      </c>
      <c r="AC802" s="42" t="s">
        <v>42</v>
      </c>
      <c r="AD802" s="43" t="s">
        <v>2167</v>
      </c>
    </row>
    <row r="803" spans="1:30" ht="46.5" x14ac:dyDescent="0.25">
      <c r="A803" s="37" t="s">
        <v>2209</v>
      </c>
      <c r="B803" s="38" t="s">
        <v>2179</v>
      </c>
      <c r="C803" s="39"/>
      <c r="D803" s="39"/>
      <c r="E803" s="39"/>
      <c r="F803" s="44">
        <v>0</v>
      </c>
      <c r="G803" s="44">
        <v>0</v>
      </c>
      <c r="H803" s="44">
        <v>0</v>
      </c>
      <c r="I803" s="44">
        <v>0</v>
      </c>
      <c r="J803" s="44">
        <v>0</v>
      </c>
      <c r="K803" s="44">
        <v>0</v>
      </c>
      <c r="L803" s="44">
        <v>0</v>
      </c>
      <c r="M803" s="44">
        <v>0</v>
      </c>
      <c r="N803" s="44">
        <v>0</v>
      </c>
      <c r="O803" s="44">
        <v>0</v>
      </c>
      <c r="P803" s="44">
        <v>0</v>
      </c>
      <c r="Q803" s="44">
        <v>0</v>
      </c>
      <c r="R803" s="44">
        <v>0</v>
      </c>
      <c r="S803" s="44">
        <v>0</v>
      </c>
      <c r="T803" s="44">
        <v>0</v>
      </c>
      <c r="U803" s="44">
        <v>0</v>
      </c>
      <c r="V803" s="44">
        <v>0</v>
      </c>
      <c r="W803" s="44">
        <v>0</v>
      </c>
      <c r="X803" s="44">
        <v>0</v>
      </c>
      <c r="Y803" s="44">
        <v>0</v>
      </c>
      <c r="Z803" s="39"/>
      <c r="AA803" s="41"/>
      <c r="AB803" s="42"/>
      <c r="AC803" s="42"/>
      <c r="AD803" s="43"/>
    </row>
    <row r="804" spans="1:30" ht="69.75" x14ac:dyDescent="0.25">
      <c r="A804" s="37" t="s">
        <v>2210</v>
      </c>
      <c r="B804" s="38" t="s">
        <v>2211</v>
      </c>
      <c r="C804" s="39" t="s">
        <v>1541</v>
      </c>
      <c r="D804" s="39" t="s">
        <v>1645</v>
      </c>
      <c r="E804" s="39" t="s">
        <v>46</v>
      </c>
      <c r="F804" s="40">
        <f>SUM(F805:F805)+12828.2</f>
        <v>12828.2</v>
      </c>
      <c r="G804" s="40">
        <f>SUM(G805:G805)+7645</f>
        <v>7645</v>
      </c>
      <c r="H804" s="40">
        <f>SUM(H805:H805)</f>
        <v>0</v>
      </c>
      <c r="I804" s="40">
        <f>SUM(I805:I805)</f>
        <v>0</v>
      </c>
      <c r="J804" s="40">
        <f>SUM(J805:J805)+5183.2</f>
        <v>5183.2</v>
      </c>
      <c r="K804" s="40">
        <f>SUM(K805:K805)</f>
        <v>0</v>
      </c>
      <c r="L804" s="40">
        <f>SUM(L805:L805)</f>
        <v>0</v>
      </c>
      <c r="M804" s="40">
        <f>SUM(M805:M805)</f>
        <v>0</v>
      </c>
      <c r="N804" s="40">
        <f>SUM(N805:N805)</f>
        <v>0</v>
      </c>
      <c r="O804" s="40">
        <f>SUM(O805:O805)</f>
        <v>0</v>
      </c>
      <c r="P804" s="40">
        <f>SUM(P805:P805)+12813.34</f>
        <v>12813.34</v>
      </c>
      <c r="Q804" s="40">
        <f>SUM(Q805:Q805)+7630.14</f>
        <v>7630.14</v>
      </c>
      <c r="R804" s="40">
        <f t="shared" ref="R804:Y804" si="604">SUM(R805:R805)</f>
        <v>0</v>
      </c>
      <c r="S804" s="40">
        <f t="shared" si="604"/>
        <v>0</v>
      </c>
      <c r="T804" s="40">
        <f t="shared" si="604"/>
        <v>0</v>
      </c>
      <c r="U804" s="40">
        <f t="shared" si="604"/>
        <v>0</v>
      </c>
      <c r="V804" s="40">
        <f t="shared" si="604"/>
        <v>0</v>
      </c>
      <c r="W804" s="40">
        <f t="shared" si="604"/>
        <v>0</v>
      </c>
      <c r="X804" s="40">
        <f t="shared" si="604"/>
        <v>0</v>
      </c>
      <c r="Y804" s="40">
        <f t="shared" si="604"/>
        <v>0</v>
      </c>
      <c r="Z804" s="39" t="s">
        <v>2164</v>
      </c>
      <c r="AA804" s="41" t="s">
        <v>41</v>
      </c>
      <c r="AB804" s="42" t="s">
        <v>42</v>
      </c>
      <c r="AC804" s="42" t="s">
        <v>178</v>
      </c>
      <c r="AD804" s="43" t="s">
        <v>2167</v>
      </c>
    </row>
    <row r="805" spans="1:30" ht="46.5" x14ac:dyDescent="0.25">
      <c r="A805" s="37" t="s">
        <v>2212</v>
      </c>
      <c r="B805" s="38" t="s">
        <v>2179</v>
      </c>
      <c r="C805" s="39"/>
      <c r="D805" s="39"/>
      <c r="E805" s="39"/>
      <c r="F805" s="44">
        <v>0</v>
      </c>
      <c r="G805" s="44">
        <v>0</v>
      </c>
      <c r="H805" s="44">
        <v>0</v>
      </c>
      <c r="I805" s="44">
        <v>0</v>
      </c>
      <c r="J805" s="44">
        <v>0</v>
      </c>
      <c r="K805" s="44">
        <v>0</v>
      </c>
      <c r="L805" s="44">
        <v>0</v>
      </c>
      <c r="M805" s="44">
        <v>0</v>
      </c>
      <c r="N805" s="44">
        <v>0</v>
      </c>
      <c r="O805" s="44">
        <v>0</v>
      </c>
      <c r="P805" s="44">
        <v>0</v>
      </c>
      <c r="Q805" s="44">
        <v>0</v>
      </c>
      <c r="R805" s="44">
        <v>0</v>
      </c>
      <c r="S805" s="44">
        <v>0</v>
      </c>
      <c r="T805" s="44">
        <v>0</v>
      </c>
      <c r="U805" s="44">
        <v>0</v>
      </c>
      <c r="V805" s="44">
        <v>0</v>
      </c>
      <c r="W805" s="44">
        <v>0</v>
      </c>
      <c r="X805" s="44">
        <v>0</v>
      </c>
      <c r="Y805" s="44">
        <v>0</v>
      </c>
      <c r="Z805" s="39"/>
      <c r="AA805" s="41"/>
      <c r="AB805" s="42"/>
      <c r="AC805" s="42"/>
      <c r="AD805" s="43"/>
    </row>
    <row r="806" spans="1:30" ht="69.75" x14ac:dyDescent="0.25">
      <c r="A806" s="37" t="s">
        <v>2213</v>
      </c>
      <c r="B806" s="38" t="s">
        <v>2214</v>
      </c>
      <c r="C806" s="39" t="s">
        <v>1541</v>
      </c>
      <c r="D806" s="39" t="s">
        <v>1645</v>
      </c>
      <c r="E806" s="39" t="s">
        <v>46</v>
      </c>
      <c r="F806" s="40">
        <f>SUM(F807:F807)+28068</f>
        <v>28068</v>
      </c>
      <c r="G806" s="40">
        <f>SUM(G807:G807)+15068</f>
        <v>15068</v>
      </c>
      <c r="H806" s="40">
        <f>SUM(H807:H807)</f>
        <v>0</v>
      </c>
      <c r="I806" s="40">
        <f>SUM(I807:I807)</f>
        <v>0</v>
      </c>
      <c r="J806" s="40">
        <f>SUM(J807:J807)+13000</f>
        <v>13000</v>
      </c>
      <c r="K806" s="40">
        <f>SUM(K807:K807)</f>
        <v>0</v>
      </c>
      <c r="L806" s="40">
        <f>SUM(L807:L807)</f>
        <v>0</v>
      </c>
      <c r="M806" s="40">
        <f>SUM(M807:M807)</f>
        <v>0</v>
      </c>
      <c r="N806" s="40">
        <f>SUM(N807:N807)</f>
        <v>0</v>
      </c>
      <c r="O806" s="40">
        <f>SUM(O807:O807)</f>
        <v>0</v>
      </c>
      <c r="P806" s="40">
        <f>SUM(P807:P807)+27807.21</f>
        <v>27807.21</v>
      </c>
      <c r="Q806" s="40">
        <f>SUM(Q807:Q807)+14807.21</f>
        <v>14807.21</v>
      </c>
      <c r="R806" s="40">
        <f t="shared" ref="R806:Y806" si="605">SUM(R807:R807)</f>
        <v>0</v>
      </c>
      <c r="S806" s="40">
        <f t="shared" si="605"/>
        <v>0</v>
      </c>
      <c r="T806" s="40">
        <f t="shared" si="605"/>
        <v>0</v>
      </c>
      <c r="U806" s="40">
        <f t="shared" si="605"/>
        <v>0</v>
      </c>
      <c r="V806" s="40">
        <f t="shared" si="605"/>
        <v>0</v>
      </c>
      <c r="W806" s="40">
        <f t="shared" si="605"/>
        <v>0</v>
      </c>
      <c r="X806" s="40">
        <f t="shared" si="605"/>
        <v>0</v>
      </c>
      <c r="Y806" s="40">
        <f t="shared" si="605"/>
        <v>0</v>
      </c>
      <c r="Z806" s="39" t="s">
        <v>2164</v>
      </c>
      <c r="AA806" s="41" t="s">
        <v>41</v>
      </c>
      <c r="AB806" s="42" t="s">
        <v>178</v>
      </c>
      <c r="AC806" s="42" t="s">
        <v>49</v>
      </c>
      <c r="AD806" s="43" t="s">
        <v>2167</v>
      </c>
    </row>
    <row r="807" spans="1:30" ht="46.5" x14ac:dyDescent="0.25">
      <c r="A807" s="37" t="s">
        <v>2215</v>
      </c>
      <c r="B807" s="38" t="s">
        <v>2179</v>
      </c>
      <c r="C807" s="39"/>
      <c r="D807" s="39"/>
      <c r="E807" s="39"/>
      <c r="F807" s="44">
        <v>0</v>
      </c>
      <c r="G807" s="44">
        <v>0</v>
      </c>
      <c r="H807" s="44">
        <v>0</v>
      </c>
      <c r="I807" s="44">
        <v>0</v>
      </c>
      <c r="J807" s="44">
        <v>0</v>
      </c>
      <c r="K807" s="44">
        <v>0</v>
      </c>
      <c r="L807" s="44">
        <v>0</v>
      </c>
      <c r="M807" s="44">
        <v>0</v>
      </c>
      <c r="N807" s="44">
        <v>0</v>
      </c>
      <c r="O807" s="44">
        <v>0</v>
      </c>
      <c r="P807" s="44">
        <v>0</v>
      </c>
      <c r="Q807" s="44">
        <v>0</v>
      </c>
      <c r="R807" s="44">
        <v>0</v>
      </c>
      <c r="S807" s="44">
        <v>0</v>
      </c>
      <c r="T807" s="44">
        <v>0</v>
      </c>
      <c r="U807" s="44">
        <v>0</v>
      </c>
      <c r="V807" s="44">
        <v>0</v>
      </c>
      <c r="W807" s="44">
        <v>0</v>
      </c>
      <c r="X807" s="44">
        <v>0</v>
      </c>
      <c r="Y807" s="44">
        <v>0</v>
      </c>
      <c r="Z807" s="39"/>
      <c r="AA807" s="41"/>
      <c r="AB807" s="42"/>
      <c r="AC807" s="42"/>
      <c r="AD807" s="43"/>
    </row>
    <row r="808" spans="1:30" ht="46.5" x14ac:dyDescent="0.25">
      <c r="A808" s="37" t="s">
        <v>2216</v>
      </c>
      <c r="B808" s="38" t="s">
        <v>2217</v>
      </c>
      <c r="C808" s="39" t="s">
        <v>1541</v>
      </c>
      <c r="D808" s="39" t="s">
        <v>1645</v>
      </c>
      <c r="E808" s="39" t="s">
        <v>46</v>
      </c>
      <c r="F808" s="40">
        <f>SUM(F809:F809)+7380.46</f>
        <v>7380.46</v>
      </c>
      <c r="G808" s="40">
        <f>SUM(G809:G809)+4785</f>
        <v>4785</v>
      </c>
      <c r="H808" s="40">
        <f>SUM(H809:H809)</f>
        <v>0</v>
      </c>
      <c r="I808" s="40">
        <f>SUM(I809:I809)</f>
        <v>0</v>
      </c>
      <c r="J808" s="40">
        <f>SUM(J809:J809)+2595.46</f>
        <v>2595.46</v>
      </c>
      <c r="K808" s="40">
        <f>SUM(K809:K809)</f>
        <v>0</v>
      </c>
      <c r="L808" s="40">
        <f>SUM(L809:L809)</f>
        <v>0</v>
      </c>
      <c r="M808" s="40">
        <f>SUM(M809:M809)</f>
        <v>0</v>
      </c>
      <c r="N808" s="40">
        <f>SUM(N809:N809)</f>
        <v>0</v>
      </c>
      <c r="O808" s="40">
        <f>SUM(O809:O809)</f>
        <v>0</v>
      </c>
      <c r="P808" s="40">
        <f>SUM(P809:P809)+7095.02</f>
        <v>7095.02</v>
      </c>
      <c r="Q808" s="40">
        <f>SUM(Q809:Q809)+4499.56</f>
        <v>4499.5600000000004</v>
      </c>
      <c r="R808" s="40">
        <f t="shared" ref="R808:Y808" si="606">SUM(R809:R809)</f>
        <v>0</v>
      </c>
      <c r="S808" s="40">
        <f t="shared" si="606"/>
        <v>0</v>
      </c>
      <c r="T808" s="40">
        <f t="shared" si="606"/>
        <v>0</v>
      </c>
      <c r="U808" s="40">
        <f t="shared" si="606"/>
        <v>0</v>
      </c>
      <c r="V808" s="40">
        <f t="shared" si="606"/>
        <v>0</v>
      </c>
      <c r="W808" s="40">
        <f t="shared" si="606"/>
        <v>0</v>
      </c>
      <c r="X808" s="40">
        <f t="shared" si="606"/>
        <v>0</v>
      </c>
      <c r="Y808" s="40">
        <f t="shared" si="606"/>
        <v>0</v>
      </c>
      <c r="Z808" s="39" t="s">
        <v>2164</v>
      </c>
      <c r="AA808" s="41" t="s">
        <v>41</v>
      </c>
      <c r="AB808" s="42" t="s">
        <v>56</v>
      </c>
      <c r="AC808" s="42" t="s">
        <v>56</v>
      </c>
      <c r="AD808" s="43"/>
    </row>
    <row r="809" spans="1:30" ht="46.5" x14ac:dyDescent="0.25">
      <c r="A809" s="37" t="s">
        <v>2218</v>
      </c>
      <c r="B809" s="38" t="s">
        <v>2179</v>
      </c>
      <c r="C809" s="39"/>
      <c r="D809" s="39"/>
      <c r="E809" s="39"/>
      <c r="F809" s="44">
        <v>0</v>
      </c>
      <c r="G809" s="44">
        <v>0</v>
      </c>
      <c r="H809" s="44">
        <v>0</v>
      </c>
      <c r="I809" s="44">
        <v>0</v>
      </c>
      <c r="J809" s="44">
        <v>0</v>
      </c>
      <c r="K809" s="44">
        <v>0</v>
      </c>
      <c r="L809" s="44">
        <v>0</v>
      </c>
      <c r="M809" s="44">
        <v>0</v>
      </c>
      <c r="N809" s="44">
        <v>0</v>
      </c>
      <c r="O809" s="44">
        <v>0</v>
      </c>
      <c r="P809" s="44">
        <v>0</v>
      </c>
      <c r="Q809" s="44">
        <v>0</v>
      </c>
      <c r="R809" s="44">
        <v>0</v>
      </c>
      <c r="S809" s="44">
        <v>0</v>
      </c>
      <c r="T809" s="44">
        <v>0</v>
      </c>
      <c r="U809" s="44">
        <v>0</v>
      </c>
      <c r="V809" s="44">
        <v>0</v>
      </c>
      <c r="W809" s="44">
        <v>0</v>
      </c>
      <c r="X809" s="44">
        <v>0</v>
      </c>
      <c r="Y809" s="44">
        <v>0</v>
      </c>
      <c r="Z809" s="39"/>
      <c r="AA809" s="41"/>
      <c r="AB809" s="42"/>
      <c r="AC809" s="42"/>
      <c r="AD809" s="43"/>
    </row>
    <row r="810" spans="1:30" ht="67.5" x14ac:dyDescent="0.25">
      <c r="A810" s="23" t="s">
        <v>2219</v>
      </c>
      <c r="B810" s="24" t="s">
        <v>2220</v>
      </c>
      <c r="C810" s="25" t="s">
        <v>1541</v>
      </c>
      <c r="D810" s="25" t="s">
        <v>1544</v>
      </c>
      <c r="E810" s="25"/>
      <c r="F810" s="26">
        <f t="shared" ref="F810:Y810" si="607">F811+F814</f>
        <v>74858.52</v>
      </c>
      <c r="G810" s="26">
        <f t="shared" si="607"/>
        <v>0</v>
      </c>
      <c r="H810" s="26">
        <f t="shared" si="607"/>
        <v>0</v>
      </c>
      <c r="I810" s="26">
        <f t="shared" si="607"/>
        <v>0</v>
      </c>
      <c r="J810" s="26">
        <f t="shared" si="607"/>
        <v>0</v>
      </c>
      <c r="K810" s="26">
        <f t="shared" si="607"/>
        <v>0</v>
      </c>
      <c r="L810" s="26">
        <f t="shared" si="607"/>
        <v>0</v>
      </c>
      <c r="M810" s="26">
        <f t="shared" si="607"/>
        <v>74858.52</v>
      </c>
      <c r="N810" s="26">
        <f t="shared" si="607"/>
        <v>0</v>
      </c>
      <c r="O810" s="26">
        <f t="shared" si="607"/>
        <v>0</v>
      </c>
      <c r="P810" s="26">
        <f t="shared" si="607"/>
        <v>74858.52</v>
      </c>
      <c r="Q810" s="26">
        <f t="shared" si="607"/>
        <v>0</v>
      </c>
      <c r="R810" s="26">
        <f t="shared" si="607"/>
        <v>0</v>
      </c>
      <c r="S810" s="26">
        <f t="shared" si="607"/>
        <v>0</v>
      </c>
      <c r="T810" s="26">
        <f t="shared" si="607"/>
        <v>0</v>
      </c>
      <c r="U810" s="26">
        <f t="shared" si="607"/>
        <v>0</v>
      </c>
      <c r="V810" s="26">
        <f t="shared" si="607"/>
        <v>0</v>
      </c>
      <c r="W810" s="26">
        <f t="shared" si="607"/>
        <v>0</v>
      </c>
      <c r="X810" s="26">
        <f t="shared" si="607"/>
        <v>0</v>
      </c>
      <c r="Y810" s="26">
        <f t="shared" si="607"/>
        <v>0</v>
      </c>
      <c r="Z810" s="25" t="s">
        <v>2221</v>
      </c>
      <c r="AA810" s="27" t="s">
        <v>35</v>
      </c>
      <c r="AB810" s="28" t="s">
        <v>2222</v>
      </c>
      <c r="AC810" s="28" t="s">
        <v>2223</v>
      </c>
      <c r="AD810" s="29"/>
    </row>
    <row r="811" spans="1:30" ht="90" x14ac:dyDescent="0.25">
      <c r="A811" s="30" t="s">
        <v>2224</v>
      </c>
      <c r="B811" s="31" t="s">
        <v>2225</v>
      </c>
      <c r="C811" s="32" t="s">
        <v>1541</v>
      </c>
      <c r="D811" s="32" t="s">
        <v>1544</v>
      </c>
      <c r="E811" s="32" t="s">
        <v>283</v>
      </c>
      <c r="F811" s="33">
        <f t="shared" ref="F811:O812" si="608">SUM(F812:F812)</f>
        <v>0</v>
      </c>
      <c r="G811" s="33">
        <f t="shared" si="608"/>
        <v>0</v>
      </c>
      <c r="H811" s="33">
        <f t="shared" si="608"/>
        <v>0</v>
      </c>
      <c r="I811" s="33">
        <f t="shared" si="608"/>
        <v>0</v>
      </c>
      <c r="J811" s="33">
        <f t="shared" si="608"/>
        <v>0</v>
      </c>
      <c r="K811" s="33">
        <f t="shared" si="608"/>
        <v>0</v>
      </c>
      <c r="L811" s="33">
        <f t="shared" si="608"/>
        <v>0</v>
      </c>
      <c r="M811" s="33">
        <f t="shared" si="608"/>
        <v>0</v>
      </c>
      <c r="N811" s="33">
        <f t="shared" si="608"/>
        <v>0</v>
      </c>
      <c r="O811" s="33">
        <f t="shared" si="608"/>
        <v>0</v>
      </c>
      <c r="P811" s="33">
        <f t="shared" ref="P811:Y812" si="609">SUM(P812:P812)</f>
        <v>0</v>
      </c>
      <c r="Q811" s="33">
        <f t="shared" si="609"/>
        <v>0</v>
      </c>
      <c r="R811" s="33">
        <f t="shared" si="609"/>
        <v>0</v>
      </c>
      <c r="S811" s="33">
        <f t="shared" si="609"/>
        <v>0</v>
      </c>
      <c r="T811" s="33">
        <f t="shared" si="609"/>
        <v>0</v>
      </c>
      <c r="U811" s="33">
        <f t="shared" si="609"/>
        <v>0</v>
      </c>
      <c r="V811" s="33">
        <f t="shared" si="609"/>
        <v>0</v>
      </c>
      <c r="W811" s="33">
        <f t="shared" si="609"/>
        <v>0</v>
      </c>
      <c r="X811" s="33">
        <f t="shared" si="609"/>
        <v>0</v>
      </c>
      <c r="Y811" s="33">
        <f t="shared" si="609"/>
        <v>0</v>
      </c>
      <c r="Z811" s="32" t="s">
        <v>2226</v>
      </c>
      <c r="AA811" s="34" t="s">
        <v>35</v>
      </c>
      <c r="AB811" s="35" t="s">
        <v>544</v>
      </c>
      <c r="AC811" s="35" t="s">
        <v>2227</v>
      </c>
      <c r="AD811" s="36"/>
    </row>
    <row r="812" spans="1:30" ht="139.5" x14ac:dyDescent="0.25">
      <c r="A812" s="37" t="s">
        <v>2228</v>
      </c>
      <c r="B812" s="38" t="s">
        <v>2229</v>
      </c>
      <c r="C812" s="39" t="s">
        <v>1541</v>
      </c>
      <c r="D812" s="39" t="s">
        <v>1752</v>
      </c>
      <c r="E812" s="39" t="s">
        <v>288</v>
      </c>
      <c r="F812" s="40">
        <f t="shared" si="608"/>
        <v>0</v>
      </c>
      <c r="G812" s="40">
        <f t="shared" si="608"/>
        <v>0</v>
      </c>
      <c r="H812" s="40">
        <f t="shared" si="608"/>
        <v>0</v>
      </c>
      <c r="I812" s="40">
        <f t="shared" si="608"/>
        <v>0</v>
      </c>
      <c r="J812" s="40">
        <f t="shared" si="608"/>
        <v>0</v>
      </c>
      <c r="K812" s="40">
        <f t="shared" si="608"/>
        <v>0</v>
      </c>
      <c r="L812" s="40">
        <f t="shared" si="608"/>
        <v>0</v>
      </c>
      <c r="M812" s="40">
        <f t="shared" si="608"/>
        <v>0</v>
      </c>
      <c r="N812" s="40">
        <f t="shared" si="608"/>
        <v>0</v>
      </c>
      <c r="O812" s="40">
        <f t="shared" si="608"/>
        <v>0</v>
      </c>
      <c r="P812" s="40">
        <f t="shared" si="609"/>
        <v>0</v>
      </c>
      <c r="Q812" s="40">
        <f t="shared" si="609"/>
        <v>0</v>
      </c>
      <c r="R812" s="40">
        <f t="shared" si="609"/>
        <v>0</v>
      </c>
      <c r="S812" s="40">
        <f t="shared" si="609"/>
        <v>0</v>
      </c>
      <c r="T812" s="40">
        <f t="shared" si="609"/>
        <v>0</v>
      </c>
      <c r="U812" s="40">
        <f t="shared" si="609"/>
        <v>0</v>
      </c>
      <c r="V812" s="40">
        <f t="shared" si="609"/>
        <v>0</v>
      </c>
      <c r="W812" s="40">
        <f t="shared" si="609"/>
        <v>0</v>
      </c>
      <c r="X812" s="40">
        <f t="shared" si="609"/>
        <v>0</v>
      </c>
      <c r="Y812" s="40">
        <f t="shared" si="609"/>
        <v>0</v>
      </c>
      <c r="Z812" s="39" t="s">
        <v>2230</v>
      </c>
      <c r="AA812" s="41" t="s">
        <v>35</v>
      </c>
      <c r="AB812" s="42" t="s">
        <v>124</v>
      </c>
      <c r="AC812" s="42" t="s">
        <v>57</v>
      </c>
      <c r="AD812" s="43" t="s">
        <v>2231</v>
      </c>
    </row>
    <row r="813" spans="1:30" ht="93" x14ac:dyDescent="0.25">
      <c r="A813" s="37" t="s">
        <v>2232</v>
      </c>
      <c r="B813" s="38" t="s">
        <v>2233</v>
      </c>
      <c r="C813" s="39"/>
      <c r="D813" s="39"/>
      <c r="E813" s="39"/>
      <c r="F813" s="44">
        <v>0</v>
      </c>
      <c r="G813" s="44">
        <v>0</v>
      </c>
      <c r="H813" s="44">
        <v>0</v>
      </c>
      <c r="I813" s="44">
        <v>0</v>
      </c>
      <c r="J813" s="44">
        <v>0</v>
      </c>
      <c r="K813" s="44">
        <v>0</v>
      </c>
      <c r="L813" s="44">
        <v>0</v>
      </c>
      <c r="M813" s="44">
        <v>0</v>
      </c>
      <c r="N813" s="44">
        <v>0</v>
      </c>
      <c r="O813" s="44">
        <v>0</v>
      </c>
      <c r="P813" s="44">
        <v>0</v>
      </c>
      <c r="Q813" s="44">
        <v>0</v>
      </c>
      <c r="R813" s="44">
        <v>0</v>
      </c>
      <c r="S813" s="44">
        <v>0</v>
      </c>
      <c r="T813" s="44">
        <v>0</v>
      </c>
      <c r="U813" s="44">
        <v>0</v>
      </c>
      <c r="V813" s="44">
        <v>0</v>
      </c>
      <c r="W813" s="44">
        <v>0</v>
      </c>
      <c r="X813" s="44">
        <v>0</v>
      </c>
      <c r="Y813" s="44">
        <v>0</v>
      </c>
      <c r="Z813" s="39"/>
      <c r="AA813" s="41"/>
      <c r="AB813" s="42"/>
      <c r="AC813" s="42"/>
      <c r="AD813" s="43"/>
    </row>
    <row r="814" spans="1:30" ht="112.5" x14ac:dyDescent="0.25">
      <c r="A814" s="30" t="s">
        <v>2234</v>
      </c>
      <c r="B814" s="31" t="s">
        <v>2235</v>
      </c>
      <c r="C814" s="32" t="s">
        <v>1541</v>
      </c>
      <c r="D814" s="32" t="s">
        <v>1544</v>
      </c>
      <c r="E814" s="32"/>
      <c r="F814" s="33">
        <f t="shared" ref="F814:Y814" si="610">F815+F817</f>
        <v>74858.52</v>
      </c>
      <c r="G814" s="33">
        <f t="shared" si="610"/>
        <v>0</v>
      </c>
      <c r="H814" s="33">
        <f t="shared" si="610"/>
        <v>0</v>
      </c>
      <c r="I814" s="33">
        <f t="shared" si="610"/>
        <v>0</v>
      </c>
      <c r="J814" s="33">
        <f t="shared" si="610"/>
        <v>0</v>
      </c>
      <c r="K814" s="33">
        <f t="shared" si="610"/>
        <v>0</v>
      </c>
      <c r="L814" s="33">
        <f t="shared" si="610"/>
        <v>0</v>
      </c>
      <c r="M814" s="33">
        <f t="shared" si="610"/>
        <v>74858.52</v>
      </c>
      <c r="N814" s="33">
        <f t="shared" si="610"/>
        <v>0</v>
      </c>
      <c r="O814" s="33">
        <f t="shared" si="610"/>
        <v>0</v>
      </c>
      <c r="P814" s="33">
        <f t="shared" si="610"/>
        <v>74858.52</v>
      </c>
      <c r="Q814" s="33">
        <f t="shared" si="610"/>
        <v>0</v>
      </c>
      <c r="R814" s="33">
        <f t="shared" si="610"/>
        <v>0</v>
      </c>
      <c r="S814" s="33">
        <f t="shared" si="610"/>
        <v>0</v>
      </c>
      <c r="T814" s="33">
        <f t="shared" si="610"/>
        <v>0</v>
      </c>
      <c r="U814" s="33">
        <f t="shared" si="610"/>
        <v>0</v>
      </c>
      <c r="V814" s="33">
        <f t="shared" si="610"/>
        <v>0</v>
      </c>
      <c r="W814" s="33">
        <f t="shared" si="610"/>
        <v>0</v>
      </c>
      <c r="X814" s="33">
        <f t="shared" si="610"/>
        <v>0</v>
      </c>
      <c r="Y814" s="33">
        <f t="shared" si="610"/>
        <v>0</v>
      </c>
      <c r="Z814" s="32" t="s">
        <v>2236</v>
      </c>
      <c r="AA814" s="34" t="s">
        <v>1184</v>
      </c>
      <c r="AB814" s="35" t="s">
        <v>108</v>
      </c>
      <c r="AC814" s="35" t="s">
        <v>108</v>
      </c>
      <c r="AD814" s="36"/>
    </row>
    <row r="815" spans="1:30" ht="139.5" x14ac:dyDescent="0.25">
      <c r="A815" s="37" t="s">
        <v>2237</v>
      </c>
      <c r="B815" s="38" t="s">
        <v>2238</v>
      </c>
      <c r="C815" s="39" t="s">
        <v>1541</v>
      </c>
      <c r="D815" s="39" t="s">
        <v>1619</v>
      </c>
      <c r="E815" s="39" t="s">
        <v>46</v>
      </c>
      <c r="F815" s="40">
        <f>SUM(F816:F816)+74519.28</f>
        <v>74519.28</v>
      </c>
      <c r="G815" s="40">
        <f t="shared" ref="G815:L815" si="611">SUM(G816:G816)</f>
        <v>0</v>
      </c>
      <c r="H815" s="40">
        <f t="shared" si="611"/>
        <v>0</v>
      </c>
      <c r="I815" s="40">
        <f t="shared" si="611"/>
        <v>0</v>
      </c>
      <c r="J815" s="40">
        <f t="shared" si="611"/>
        <v>0</v>
      </c>
      <c r="K815" s="40">
        <f t="shared" si="611"/>
        <v>0</v>
      </c>
      <c r="L815" s="40">
        <f t="shared" si="611"/>
        <v>0</v>
      </c>
      <c r="M815" s="40">
        <f>SUM(M816:M816)+74519.28</f>
        <v>74519.28</v>
      </c>
      <c r="N815" s="40">
        <f>SUM(N816:N816)</f>
        <v>0</v>
      </c>
      <c r="O815" s="40">
        <f>SUM(O816:O816)</f>
        <v>0</v>
      </c>
      <c r="P815" s="40">
        <f>SUM(P816:P816)+74519.28</f>
        <v>74519.28</v>
      </c>
      <c r="Q815" s="40">
        <f t="shared" ref="Q815:Y815" si="612">SUM(Q816:Q816)</f>
        <v>0</v>
      </c>
      <c r="R815" s="40">
        <f t="shared" si="612"/>
        <v>0</v>
      </c>
      <c r="S815" s="40">
        <f t="shared" si="612"/>
        <v>0</v>
      </c>
      <c r="T815" s="40">
        <f t="shared" si="612"/>
        <v>0</v>
      </c>
      <c r="U815" s="40">
        <f t="shared" si="612"/>
        <v>0</v>
      </c>
      <c r="V815" s="40">
        <f t="shared" si="612"/>
        <v>0</v>
      </c>
      <c r="W815" s="40">
        <f t="shared" si="612"/>
        <v>0</v>
      </c>
      <c r="X815" s="40">
        <f t="shared" si="612"/>
        <v>0</v>
      </c>
      <c r="Y815" s="40">
        <f t="shared" si="612"/>
        <v>0</v>
      </c>
      <c r="Z815" s="39" t="s">
        <v>2239</v>
      </c>
      <c r="AA815" s="41" t="s">
        <v>41</v>
      </c>
      <c r="AB815" s="42" t="s">
        <v>299</v>
      </c>
      <c r="AC815" s="42" t="s">
        <v>2240</v>
      </c>
      <c r="AD815" s="43" t="s">
        <v>2241</v>
      </c>
    </row>
    <row r="816" spans="1:30" ht="46.5" x14ac:dyDescent="0.25">
      <c r="A816" s="37" t="s">
        <v>2242</v>
      </c>
      <c r="B816" s="38" t="s">
        <v>2243</v>
      </c>
      <c r="C816" s="39"/>
      <c r="D816" s="39"/>
      <c r="E816" s="39"/>
      <c r="F816" s="44">
        <v>0</v>
      </c>
      <c r="G816" s="44">
        <v>0</v>
      </c>
      <c r="H816" s="44">
        <v>0</v>
      </c>
      <c r="I816" s="44">
        <v>0</v>
      </c>
      <c r="J816" s="44">
        <v>0</v>
      </c>
      <c r="K816" s="44">
        <v>0</v>
      </c>
      <c r="L816" s="44">
        <v>0</v>
      </c>
      <c r="M816" s="44">
        <v>0</v>
      </c>
      <c r="N816" s="44">
        <v>0</v>
      </c>
      <c r="O816" s="44">
        <v>0</v>
      </c>
      <c r="P816" s="44">
        <v>0</v>
      </c>
      <c r="Q816" s="44">
        <v>0</v>
      </c>
      <c r="R816" s="44">
        <v>0</v>
      </c>
      <c r="S816" s="44">
        <v>0</v>
      </c>
      <c r="T816" s="44">
        <v>0</v>
      </c>
      <c r="U816" s="44">
        <v>0</v>
      </c>
      <c r="V816" s="44">
        <v>0</v>
      </c>
      <c r="W816" s="44">
        <v>0</v>
      </c>
      <c r="X816" s="44">
        <v>0</v>
      </c>
      <c r="Y816" s="44">
        <v>0</v>
      </c>
      <c r="Z816" s="39"/>
      <c r="AA816" s="41"/>
      <c r="AB816" s="42"/>
      <c r="AC816" s="42"/>
      <c r="AD816" s="43"/>
    </row>
    <row r="817" spans="1:30" ht="46.5" x14ac:dyDescent="0.25">
      <c r="A817" s="37" t="s">
        <v>2244</v>
      </c>
      <c r="B817" s="38" t="s">
        <v>2245</v>
      </c>
      <c r="C817" s="39" t="s">
        <v>1541</v>
      </c>
      <c r="D817" s="39" t="s">
        <v>1701</v>
      </c>
      <c r="E817" s="39" t="s">
        <v>46</v>
      </c>
      <c r="F817" s="40">
        <f>SUM(F818:F818)+339.24</f>
        <v>339.24</v>
      </c>
      <c r="G817" s="40">
        <f t="shared" ref="G817:L817" si="613">SUM(G818:G818)</f>
        <v>0</v>
      </c>
      <c r="H817" s="40">
        <f t="shared" si="613"/>
        <v>0</v>
      </c>
      <c r="I817" s="40">
        <f t="shared" si="613"/>
        <v>0</v>
      </c>
      <c r="J817" s="40">
        <f t="shared" si="613"/>
        <v>0</v>
      </c>
      <c r="K817" s="40">
        <f t="shared" si="613"/>
        <v>0</v>
      </c>
      <c r="L817" s="40">
        <f t="shared" si="613"/>
        <v>0</v>
      </c>
      <c r="M817" s="40">
        <f>SUM(M818:M818)+339.24</f>
        <v>339.24</v>
      </c>
      <c r="N817" s="40">
        <f>SUM(N818:N818)</f>
        <v>0</v>
      </c>
      <c r="O817" s="40">
        <f>SUM(O818:O818)</f>
        <v>0</v>
      </c>
      <c r="P817" s="40">
        <f>SUM(P818:P818)+339.24</f>
        <v>339.24</v>
      </c>
      <c r="Q817" s="40">
        <f t="shared" ref="Q817:Y817" si="614">SUM(Q818:Q818)</f>
        <v>0</v>
      </c>
      <c r="R817" s="40">
        <f t="shared" si="614"/>
        <v>0</v>
      </c>
      <c r="S817" s="40">
        <f t="shared" si="614"/>
        <v>0</v>
      </c>
      <c r="T817" s="40">
        <f t="shared" si="614"/>
        <v>0</v>
      </c>
      <c r="U817" s="40">
        <f t="shared" si="614"/>
        <v>0</v>
      </c>
      <c r="V817" s="40">
        <f t="shared" si="614"/>
        <v>0</v>
      </c>
      <c r="W817" s="40">
        <f t="shared" si="614"/>
        <v>0</v>
      </c>
      <c r="X817" s="40">
        <f t="shared" si="614"/>
        <v>0</v>
      </c>
      <c r="Y817" s="40">
        <f t="shared" si="614"/>
        <v>0</v>
      </c>
      <c r="Z817" s="39" t="s">
        <v>2246</v>
      </c>
      <c r="AA817" s="41" t="s">
        <v>41</v>
      </c>
      <c r="AB817" s="42" t="s">
        <v>42</v>
      </c>
      <c r="AC817" s="42" t="s">
        <v>82</v>
      </c>
      <c r="AD817" s="43" t="s">
        <v>2015</v>
      </c>
    </row>
    <row r="818" spans="1:30" ht="46.5" x14ac:dyDescent="0.25">
      <c r="A818" s="37" t="s">
        <v>2247</v>
      </c>
      <c r="B818" s="38" t="s">
        <v>2248</v>
      </c>
      <c r="C818" s="39"/>
      <c r="D818" s="39"/>
      <c r="E818" s="39"/>
      <c r="F818" s="44">
        <v>0</v>
      </c>
      <c r="G818" s="44">
        <v>0</v>
      </c>
      <c r="H818" s="44">
        <v>0</v>
      </c>
      <c r="I818" s="44">
        <v>0</v>
      </c>
      <c r="J818" s="44">
        <v>0</v>
      </c>
      <c r="K818" s="44">
        <v>0</v>
      </c>
      <c r="L818" s="44">
        <v>0</v>
      </c>
      <c r="M818" s="44">
        <v>0</v>
      </c>
      <c r="N818" s="44">
        <v>0</v>
      </c>
      <c r="O818" s="44">
        <v>0</v>
      </c>
      <c r="P818" s="44">
        <v>0</v>
      </c>
      <c r="Q818" s="44">
        <v>0</v>
      </c>
      <c r="R818" s="44">
        <v>0</v>
      </c>
      <c r="S818" s="44">
        <v>0</v>
      </c>
      <c r="T818" s="44">
        <v>0</v>
      </c>
      <c r="U818" s="44">
        <v>0</v>
      </c>
      <c r="V818" s="44">
        <v>0</v>
      </c>
      <c r="W818" s="44">
        <v>0</v>
      </c>
      <c r="X818" s="44">
        <v>0</v>
      </c>
      <c r="Y818" s="44">
        <v>0</v>
      </c>
      <c r="Z818" s="39"/>
      <c r="AA818" s="41"/>
      <c r="AB818" s="42"/>
      <c r="AC818" s="42"/>
      <c r="AD818" s="43"/>
    </row>
    <row r="819" spans="1:30" ht="90" x14ac:dyDescent="0.25">
      <c r="A819" s="23" t="s">
        <v>2249</v>
      </c>
      <c r="B819" s="24" t="s">
        <v>2250</v>
      </c>
      <c r="C819" s="25" t="s">
        <v>1541</v>
      </c>
      <c r="D819" s="25" t="s">
        <v>1544</v>
      </c>
      <c r="E819" s="25"/>
      <c r="F819" s="26">
        <f t="shared" ref="F819:Y819" si="615">SUM(F820:F820)</f>
        <v>0</v>
      </c>
      <c r="G819" s="26">
        <f t="shared" si="615"/>
        <v>0</v>
      </c>
      <c r="H819" s="26">
        <f t="shared" si="615"/>
        <v>0</v>
      </c>
      <c r="I819" s="26">
        <f t="shared" si="615"/>
        <v>0</v>
      </c>
      <c r="J819" s="26">
        <f t="shared" si="615"/>
        <v>0</v>
      </c>
      <c r="K819" s="26">
        <f t="shared" si="615"/>
        <v>0</v>
      </c>
      <c r="L819" s="26">
        <f t="shared" si="615"/>
        <v>0</v>
      </c>
      <c r="M819" s="26">
        <f t="shared" si="615"/>
        <v>0</v>
      </c>
      <c r="N819" s="26">
        <f t="shared" si="615"/>
        <v>0</v>
      </c>
      <c r="O819" s="26">
        <f t="shared" si="615"/>
        <v>0</v>
      </c>
      <c r="P819" s="26">
        <f t="shared" si="615"/>
        <v>0</v>
      </c>
      <c r="Q819" s="26">
        <f t="shared" si="615"/>
        <v>0</v>
      </c>
      <c r="R819" s="26">
        <f t="shared" si="615"/>
        <v>0</v>
      </c>
      <c r="S819" s="26">
        <f t="shared" si="615"/>
        <v>0</v>
      </c>
      <c r="T819" s="26">
        <f t="shared" si="615"/>
        <v>0</v>
      </c>
      <c r="U819" s="26">
        <f t="shared" si="615"/>
        <v>0</v>
      </c>
      <c r="V819" s="26">
        <f t="shared" si="615"/>
        <v>0</v>
      </c>
      <c r="W819" s="26">
        <f t="shared" si="615"/>
        <v>0</v>
      </c>
      <c r="X819" s="26">
        <f t="shared" si="615"/>
        <v>0</v>
      </c>
      <c r="Y819" s="26">
        <f t="shared" si="615"/>
        <v>0</v>
      </c>
      <c r="Z819" s="25" t="s">
        <v>295</v>
      </c>
      <c r="AA819" s="27" t="s">
        <v>35</v>
      </c>
      <c r="AB819" s="28" t="s">
        <v>268</v>
      </c>
      <c r="AC819" s="28" t="s">
        <v>57</v>
      </c>
      <c r="AD819" s="29" t="s">
        <v>2119</v>
      </c>
    </row>
    <row r="820" spans="1:30" ht="67.5" x14ac:dyDescent="0.25">
      <c r="A820" s="30" t="s">
        <v>2251</v>
      </c>
      <c r="B820" s="31" t="s">
        <v>297</v>
      </c>
      <c r="C820" s="32" t="s">
        <v>1541</v>
      </c>
      <c r="D820" s="32" t="s">
        <v>1544</v>
      </c>
      <c r="E820" s="32" t="s">
        <v>283</v>
      </c>
      <c r="F820" s="33">
        <f t="shared" ref="F820:Y820" si="616">F821+F823</f>
        <v>0</v>
      </c>
      <c r="G820" s="33">
        <f t="shared" si="616"/>
        <v>0</v>
      </c>
      <c r="H820" s="33">
        <f t="shared" si="616"/>
        <v>0</v>
      </c>
      <c r="I820" s="33">
        <f t="shared" si="616"/>
        <v>0</v>
      </c>
      <c r="J820" s="33">
        <f t="shared" si="616"/>
        <v>0</v>
      </c>
      <c r="K820" s="33">
        <f t="shared" si="616"/>
        <v>0</v>
      </c>
      <c r="L820" s="33">
        <f t="shared" si="616"/>
        <v>0</v>
      </c>
      <c r="M820" s="33">
        <f t="shared" si="616"/>
        <v>0</v>
      </c>
      <c r="N820" s="33">
        <f t="shared" si="616"/>
        <v>0</v>
      </c>
      <c r="O820" s="33">
        <f t="shared" si="616"/>
        <v>0</v>
      </c>
      <c r="P820" s="33">
        <f t="shared" si="616"/>
        <v>0</v>
      </c>
      <c r="Q820" s="33">
        <f t="shared" si="616"/>
        <v>0</v>
      </c>
      <c r="R820" s="33">
        <f t="shared" si="616"/>
        <v>0</v>
      </c>
      <c r="S820" s="33">
        <f t="shared" si="616"/>
        <v>0</v>
      </c>
      <c r="T820" s="33">
        <f t="shared" si="616"/>
        <v>0</v>
      </c>
      <c r="U820" s="33">
        <f t="shared" si="616"/>
        <v>0</v>
      </c>
      <c r="V820" s="33">
        <f t="shared" si="616"/>
        <v>0</v>
      </c>
      <c r="W820" s="33">
        <f t="shared" si="616"/>
        <v>0</v>
      </c>
      <c r="X820" s="33">
        <f t="shared" si="616"/>
        <v>0</v>
      </c>
      <c r="Y820" s="33">
        <f t="shared" si="616"/>
        <v>0</v>
      </c>
      <c r="Z820" s="32" t="s">
        <v>298</v>
      </c>
      <c r="AA820" s="34" t="s">
        <v>35</v>
      </c>
      <c r="AB820" s="35" t="s">
        <v>299</v>
      </c>
      <c r="AC820" s="35" t="s">
        <v>57</v>
      </c>
      <c r="AD820" s="36" t="s">
        <v>2119</v>
      </c>
    </row>
    <row r="821" spans="1:30" ht="46.5" x14ac:dyDescent="0.25">
      <c r="A821" s="37" t="s">
        <v>2252</v>
      </c>
      <c r="B821" s="38" t="s">
        <v>2253</v>
      </c>
      <c r="C821" s="39" t="s">
        <v>1541</v>
      </c>
      <c r="D821" s="39" t="s">
        <v>1544</v>
      </c>
      <c r="E821" s="39" t="s">
        <v>288</v>
      </c>
      <c r="F821" s="40">
        <f t="shared" ref="F821:Y821" si="617">SUM(F822:F822)</f>
        <v>0</v>
      </c>
      <c r="G821" s="40">
        <f t="shared" si="617"/>
        <v>0</v>
      </c>
      <c r="H821" s="40">
        <f t="shared" si="617"/>
        <v>0</v>
      </c>
      <c r="I821" s="40">
        <f t="shared" si="617"/>
        <v>0</v>
      </c>
      <c r="J821" s="40">
        <f t="shared" si="617"/>
        <v>0</v>
      </c>
      <c r="K821" s="40">
        <f t="shared" si="617"/>
        <v>0</v>
      </c>
      <c r="L821" s="40">
        <f t="shared" si="617"/>
        <v>0</v>
      </c>
      <c r="M821" s="40">
        <f t="shared" si="617"/>
        <v>0</v>
      </c>
      <c r="N821" s="40">
        <f t="shared" si="617"/>
        <v>0</v>
      </c>
      <c r="O821" s="40">
        <f t="shared" si="617"/>
        <v>0</v>
      </c>
      <c r="P821" s="40">
        <f t="shared" si="617"/>
        <v>0</v>
      </c>
      <c r="Q821" s="40">
        <f t="shared" si="617"/>
        <v>0</v>
      </c>
      <c r="R821" s="40">
        <f t="shared" si="617"/>
        <v>0</v>
      </c>
      <c r="S821" s="40">
        <f t="shared" si="617"/>
        <v>0</v>
      </c>
      <c r="T821" s="40">
        <f t="shared" si="617"/>
        <v>0</v>
      </c>
      <c r="U821" s="40">
        <f t="shared" si="617"/>
        <v>0</v>
      </c>
      <c r="V821" s="40">
        <f t="shared" si="617"/>
        <v>0</v>
      </c>
      <c r="W821" s="40">
        <f t="shared" si="617"/>
        <v>0</v>
      </c>
      <c r="X821" s="40">
        <f t="shared" si="617"/>
        <v>0</v>
      </c>
      <c r="Y821" s="40">
        <f t="shared" si="617"/>
        <v>0</v>
      </c>
      <c r="Z821" s="39" t="s">
        <v>2254</v>
      </c>
      <c r="AA821" s="41" t="s">
        <v>41</v>
      </c>
      <c r="AB821" s="42" t="s">
        <v>57</v>
      </c>
      <c r="AC821" s="42" t="s">
        <v>57</v>
      </c>
      <c r="AD821" s="43"/>
    </row>
    <row r="822" spans="1:30" ht="46.5" x14ac:dyDescent="0.25">
      <c r="A822" s="37" t="s">
        <v>2255</v>
      </c>
      <c r="B822" s="38" t="s">
        <v>2256</v>
      </c>
      <c r="C822" s="39"/>
      <c r="D822" s="39"/>
      <c r="E822" s="39"/>
      <c r="F822" s="44">
        <v>0</v>
      </c>
      <c r="G822" s="44">
        <v>0</v>
      </c>
      <c r="H822" s="44">
        <v>0</v>
      </c>
      <c r="I822" s="44">
        <v>0</v>
      </c>
      <c r="J822" s="44">
        <v>0</v>
      </c>
      <c r="K822" s="44">
        <v>0</v>
      </c>
      <c r="L822" s="44">
        <v>0</v>
      </c>
      <c r="M822" s="44">
        <v>0</v>
      </c>
      <c r="N822" s="44">
        <v>0</v>
      </c>
      <c r="O822" s="44">
        <v>0</v>
      </c>
      <c r="P822" s="44">
        <v>0</v>
      </c>
      <c r="Q822" s="44">
        <v>0</v>
      </c>
      <c r="R822" s="44">
        <v>0</v>
      </c>
      <c r="S822" s="44">
        <v>0</v>
      </c>
      <c r="T822" s="44">
        <v>0</v>
      </c>
      <c r="U822" s="44">
        <v>0</v>
      </c>
      <c r="V822" s="44">
        <v>0</v>
      </c>
      <c r="W822" s="44">
        <v>0</v>
      </c>
      <c r="X822" s="44">
        <v>0</v>
      </c>
      <c r="Y822" s="44">
        <v>0</v>
      </c>
      <c r="Z822" s="39"/>
      <c r="AA822" s="41"/>
      <c r="AB822" s="42"/>
      <c r="AC822" s="42"/>
      <c r="AD822" s="43"/>
    </row>
    <row r="823" spans="1:30" ht="69.75" x14ac:dyDescent="0.25">
      <c r="A823" s="37" t="s">
        <v>2257</v>
      </c>
      <c r="B823" s="38" t="s">
        <v>2258</v>
      </c>
      <c r="C823" s="39" t="s">
        <v>1541</v>
      </c>
      <c r="D823" s="39" t="s">
        <v>1544</v>
      </c>
      <c r="E823" s="39" t="s">
        <v>288</v>
      </c>
      <c r="F823" s="40">
        <f t="shared" ref="F823:Y823" si="618">SUM(F824:F824)</f>
        <v>0</v>
      </c>
      <c r="G823" s="40">
        <f t="shared" si="618"/>
        <v>0</v>
      </c>
      <c r="H823" s="40">
        <f t="shared" si="618"/>
        <v>0</v>
      </c>
      <c r="I823" s="40">
        <f t="shared" si="618"/>
        <v>0</v>
      </c>
      <c r="J823" s="40">
        <f t="shared" si="618"/>
        <v>0</v>
      </c>
      <c r="K823" s="40">
        <f t="shared" si="618"/>
        <v>0</v>
      </c>
      <c r="L823" s="40">
        <f t="shared" si="618"/>
        <v>0</v>
      </c>
      <c r="M823" s="40">
        <f t="shared" si="618"/>
        <v>0</v>
      </c>
      <c r="N823" s="40">
        <f t="shared" si="618"/>
        <v>0</v>
      </c>
      <c r="O823" s="40">
        <f t="shared" si="618"/>
        <v>0</v>
      </c>
      <c r="P823" s="40">
        <f t="shared" si="618"/>
        <v>0</v>
      </c>
      <c r="Q823" s="40">
        <f t="shared" si="618"/>
        <v>0</v>
      </c>
      <c r="R823" s="40">
        <f t="shared" si="618"/>
        <v>0</v>
      </c>
      <c r="S823" s="40">
        <f t="shared" si="618"/>
        <v>0</v>
      </c>
      <c r="T823" s="40">
        <f t="shared" si="618"/>
        <v>0</v>
      </c>
      <c r="U823" s="40">
        <f t="shared" si="618"/>
        <v>0</v>
      </c>
      <c r="V823" s="40">
        <f t="shared" si="618"/>
        <v>0</v>
      </c>
      <c r="W823" s="40">
        <f t="shared" si="618"/>
        <v>0</v>
      </c>
      <c r="X823" s="40">
        <f t="shared" si="618"/>
        <v>0</v>
      </c>
      <c r="Y823" s="40">
        <f t="shared" si="618"/>
        <v>0</v>
      </c>
      <c r="Z823" s="39" t="s">
        <v>2259</v>
      </c>
      <c r="AA823" s="41" t="s">
        <v>41</v>
      </c>
      <c r="AB823" s="42" t="s">
        <v>2260</v>
      </c>
      <c r="AC823" s="42" t="s">
        <v>57</v>
      </c>
      <c r="AD823" s="43"/>
    </row>
    <row r="824" spans="1:30" ht="46.5" x14ac:dyDescent="0.25">
      <c r="A824" s="52" t="s">
        <v>2261</v>
      </c>
      <c r="B824" s="53" t="s">
        <v>2262</v>
      </c>
      <c r="C824" s="54"/>
      <c r="D824" s="54"/>
      <c r="E824" s="54"/>
      <c r="F824" s="55">
        <v>0</v>
      </c>
      <c r="G824" s="55">
        <v>0</v>
      </c>
      <c r="H824" s="55">
        <v>0</v>
      </c>
      <c r="I824" s="55">
        <v>0</v>
      </c>
      <c r="J824" s="55">
        <v>0</v>
      </c>
      <c r="K824" s="55">
        <v>0</v>
      </c>
      <c r="L824" s="55">
        <v>0</v>
      </c>
      <c r="M824" s="55">
        <v>0</v>
      </c>
      <c r="N824" s="55">
        <v>0</v>
      </c>
      <c r="O824" s="55">
        <v>0</v>
      </c>
      <c r="P824" s="55">
        <v>0</v>
      </c>
      <c r="Q824" s="55">
        <v>0</v>
      </c>
      <c r="R824" s="55">
        <v>0</v>
      </c>
      <c r="S824" s="55">
        <v>0</v>
      </c>
      <c r="T824" s="55">
        <v>0</v>
      </c>
      <c r="U824" s="55">
        <v>0</v>
      </c>
      <c r="V824" s="55">
        <v>0</v>
      </c>
      <c r="W824" s="55">
        <v>0</v>
      </c>
      <c r="X824" s="55">
        <v>0</v>
      </c>
      <c r="Y824" s="55">
        <v>0</v>
      </c>
      <c r="Z824" s="54"/>
      <c r="AA824" s="56"/>
      <c r="AB824" s="57"/>
      <c r="AC824" s="57"/>
      <c r="AD824" s="58"/>
    </row>
    <row r="825" spans="1:30" s="64" customFormat="1" x14ac:dyDescent="0.25">
      <c r="A825" s="59"/>
      <c r="B825" s="59"/>
      <c r="C825" s="60"/>
      <c r="D825" s="60"/>
      <c r="E825" s="60"/>
      <c r="F825" s="61"/>
      <c r="G825" s="61"/>
      <c r="H825" s="61"/>
      <c r="I825" s="61"/>
      <c r="J825" s="61"/>
      <c r="K825" s="61"/>
      <c r="L825" s="61"/>
      <c r="M825" s="61"/>
      <c r="N825" s="61"/>
      <c r="O825" s="61"/>
      <c r="P825" s="61"/>
      <c r="Q825" s="61"/>
      <c r="R825" s="61"/>
      <c r="S825" s="61"/>
      <c r="T825" s="61"/>
      <c r="U825" s="61"/>
      <c r="V825" s="61"/>
      <c r="W825" s="61"/>
      <c r="X825" s="61"/>
      <c r="Y825" s="61"/>
      <c r="Z825" s="60"/>
      <c r="AA825" s="62"/>
      <c r="AB825" s="63"/>
      <c r="AC825" s="63"/>
      <c r="AD825" s="60"/>
    </row>
    <row r="826" spans="1:30" s="64" customFormat="1" x14ac:dyDescent="0.25">
      <c r="A826" s="59"/>
      <c r="B826" s="59"/>
      <c r="C826" s="60"/>
      <c r="D826" s="60"/>
      <c r="E826" s="60"/>
      <c r="F826" s="61"/>
      <c r="G826" s="61"/>
      <c r="H826" s="61"/>
      <c r="I826" s="61"/>
      <c r="J826" s="61"/>
      <c r="K826" s="61"/>
      <c r="L826" s="61"/>
      <c r="M826" s="61"/>
      <c r="N826" s="61"/>
      <c r="O826" s="61"/>
      <c r="P826" s="61"/>
      <c r="Q826" s="61"/>
      <c r="R826" s="61"/>
      <c r="S826" s="61"/>
      <c r="T826" s="61"/>
      <c r="U826" s="61"/>
      <c r="V826" s="61"/>
      <c r="W826" s="61"/>
      <c r="X826" s="61"/>
      <c r="Y826" s="61"/>
      <c r="Z826" s="60"/>
      <c r="AA826" s="62"/>
      <c r="AB826" s="63"/>
      <c r="AC826" s="63"/>
      <c r="AD826" s="60"/>
    </row>
    <row r="827" spans="1:30" s="64" customFormat="1" x14ac:dyDescent="0.25">
      <c r="A827" s="59"/>
      <c r="B827" s="59"/>
      <c r="C827" s="60"/>
      <c r="D827" s="60"/>
      <c r="E827" s="60"/>
      <c r="F827" s="61"/>
      <c r="G827" s="61"/>
      <c r="H827" s="61"/>
      <c r="I827" s="61"/>
      <c r="J827" s="61"/>
      <c r="K827" s="61"/>
      <c r="L827" s="61"/>
      <c r="M827" s="61"/>
      <c r="N827" s="61"/>
      <c r="O827" s="61"/>
      <c r="P827" s="61"/>
      <c r="Q827" s="61"/>
      <c r="R827" s="61"/>
      <c r="S827" s="61"/>
      <c r="T827" s="61"/>
      <c r="U827" s="61"/>
      <c r="V827" s="61"/>
      <c r="W827" s="61"/>
      <c r="X827" s="61"/>
      <c r="Y827" s="61"/>
      <c r="Z827" s="60"/>
      <c r="AA827" s="62"/>
      <c r="AB827" s="63"/>
      <c r="AC827" s="63"/>
      <c r="AD827" s="60"/>
    </row>
    <row r="828" spans="1:30" s="64" customFormat="1" x14ac:dyDescent="0.25">
      <c r="A828" s="59"/>
      <c r="B828" s="59"/>
      <c r="C828" s="60"/>
      <c r="D828" s="60"/>
      <c r="E828" s="60"/>
      <c r="F828" s="61"/>
      <c r="G828" s="61"/>
      <c r="H828" s="61"/>
      <c r="I828" s="61"/>
      <c r="J828" s="61"/>
      <c r="K828" s="61"/>
      <c r="L828" s="61"/>
      <c r="M828" s="61"/>
      <c r="N828" s="61"/>
      <c r="O828" s="61"/>
      <c r="P828" s="61"/>
      <c r="Q828" s="61"/>
      <c r="R828" s="61"/>
      <c r="S828" s="61"/>
      <c r="T828" s="61"/>
      <c r="U828" s="61"/>
      <c r="V828" s="61"/>
      <c r="W828" s="61"/>
      <c r="X828" s="61"/>
      <c r="Y828" s="61"/>
      <c r="Z828" s="60"/>
      <c r="AA828" s="62"/>
      <c r="AB828" s="63"/>
      <c r="AC828" s="63"/>
      <c r="AD828" s="60"/>
    </row>
    <row r="829" spans="1:30" s="64" customFormat="1" x14ac:dyDescent="0.25">
      <c r="A829" s="59"/>
      <c r="B829" s="59"/>
      <c r="C829" s="60"/>
      <c r="D829" s="60"/>
      <c r="E829" s="60"/>
      <c r="F829" s="61"/>
      <c r="G829" s="61"/>
      <c r="H829" s="61"/>
      <c r="I829" s="61"/>
      <c r="J829" s="61"/>
      <c r="K829" s="61"/>
      <c r="L829" s="61"/>
      <c r="M829" s="61"/>
      <c r="N829" s="61"/>
      <c r="O829" s="61"/>
      <c r="P829" s="61"/>
      <c r="Q829" s="61"/>
      <c r="R829" s="61"/>
      <c r="S829" s="61"/>
      <c r="T829" s="61"/>
      <c r="U829" s="61"/>
      <c r="V829" s="61"/>
      <c r="W829" s="61"/>
      <c r="X829" s="61"/>
      <c r="Y829" s="61"/>
      <c r="Z829" s="60"/>
      <c r="AA829" s="62"/>
      <c r="AB829" s="63"/>
      <c r="AC829" s="63"/>
      <c r="AD829" s="60"/>
    </row>
    <row r="830" spans="1:30" x14ac:dyDescent="0.25">
      <c r="A830" s="9" t="s">
        <v>0</v>
      </c>
      <c r="B830" s="9" t="s">
        <v>1</v>
      </c>
      <c r="C830" s="9" t="s">
        <v>5</v>
      </c>
      <c r="D830" s="9" t="s">
        <v>6</v>
      </c>
      <c r="E830" s="10"/>
      <c r="F830" s="10"/>
      <c r="G830" s="10"/>
      <c r="H830" s="10"/>
      <c r="I830" s="10"/>
      <c r="J830" s="10"/>
      <c r="K830" s="10"/>
      <c r="L830" s="10"/>
      <c r="M830" s="9" t="s">
        <v>7</v>
      </c>
      <c r="N830" s="9" t="s">
        <v>6</v>
      </c>
      <c r="O830" s="10"/>
      <c r="P830" s="10"/>
      <c r="Q830" s="10"/>
      <c r="R830" s="10"/>
      <c r="S830" s="10"/>
      <c r="T830" s="10"/>
      <c r="U830" s="10"/>
      <c r="V830" s="10"/>
    </row>
    <row r="831" spans="1:30" ht="45" x14ac:dyDescent="0.25">
      <c r="A831" s="9"/>
      <c r="B831" s="9"/>
      <c r="C831" s="9"/>
      <c r="D831" s="65" t="s">
        <v>9</v>
      </c>
      <c r="E831" s="65" t="s">
        <v>10</v>
      </c>
      <c r="F831" s="65" t="s">
        <v>11</v>
      </c>
      <c r="G831" s="65" t="s">
        <v>12</v>
      </c>
      <c r="H831" s="65" t="s">
        <v>13</v>
      </c>
      <c r="I831" s="65" t="s">
        <v>14</v>
      </c>
      <c r="J831" s="65" t="s">
        <v>15</v>
      </c>
      <c r="K831" s="65" t="s">
        <v>16</v>
      </c>
      <c r="L831" s="65" t="s">
        <v>17</v>
      </c>
      <c r="M831" s="9"/>
      <c r="N831" s="65" t="s">
        <v>9</v>
      </c>
      <c r="O831" s="65" t="s">
        <v>18</v>
      </c>
      <c r="P831" s="65" t="s">
        <v>19</v>
      </c>
      <c r="Q831" s="65" t="s">
        <v>20</v>
      </c>
      <c r="R831" s="65" t="s">
        <v>13</v>
      </c>
      <c r="S831" s="65" t="s">
        <v>14</v>
      </c>
      <c r="T831" s="65" t="s">
        <v>15</v>
      </c>
      <c r="U831" s="65" t="s">
        <v>16</v>
      </c>
      <c r="V831" s="65" t="s">
        <v>17</v>
      </c>
    </row>
    <row r="832" spans="1:30" ht="46.5" x14ac:dyDescent="0.25">
      <c r="A832" s="46" t="s">
        <v>2263</v>
      </c>
      <c r="B832" s="46" t="s">
        <v>2263</v>
      </c>
      <c r="C832" s="66">
        <f t="shared" ref="C832:V832" si="619">SUM(C833:C842)</f>
        <v>28518669.459999997</v>
      </c>
      <c r="D832" s="66">
        <f t="shared" si="619"/>
        <v>15890526.77</v>
      </c>
      <c r="E832" s="66">
        <f t="shared" si="619"/>
        <v>186804.32</v>
      </c>
      <c r="F832" s="66">
        <f t="shared" si="619"/>
        <v>208284</v>
      </c>
      <c r="G832" s="66">
        <f t="shared" si="619"/>
        <v>3838274.93</v>
      </c>
      <c r="H832" s="66">
        <f t="shared" si="619"/>
        <v>553291.44999999995</v>
      </c>
      <c r="I832" s="66">
        <f t="shared" si="619"/>
        <v>3272941.19</v>
      </c>
      <c r="J832" s="66">
        <f t="shared" si="619"/>
        <v>3457210.8</v>
      </c>
      <c r="K832" s="66">
        <f t="shared" si="619"/>
        <v>0</v>
      </c>
      <c r="L832" s="66">
        <f t="shared" si="619"/>
        <v>0</v>
      </c>
      <c r="M832" s="66">
        <f t="shared" si="619"/>
        <v>26989315.689999998</v>
      </c>
      <c r="N832" s="66">
        <f t="shared" si="619"/>
        <v>11848058.57</v>
      </c>
      <c r="O832" s="66">
        <f t="shared" si="619"/>
        <v>66724.13</v>
      </c>
      <c r="P832" s="66">
        <f t="shared" si="619"/>
        <v>120058.39</v>
      </c>
      <c r="Q832" s="66">
        <f t="shared" si="619"/>
        <v>0</v>
      </c>
      <c r="R832" s="66">
        <f t="shared" si="619"/>
        <v>477252.25</v>
      </c>
      <c r="S832" s="66">
        <f t="shared" si="619"/>
        <v>56873.86</v>
      </c>
      <c r="T832" s="66">
        <f t="shared" si="619"/>
        <v>2077457.98</v>
      </c>
      <c r="U832" s="66">
        <f t="shared" si="619"/>
        <v>0</v>
      </c>
      <c r="V832" s="66">
        <f t="shared" si="619"/>
        <v>0</v>
      </c>
    </row>
    <row r="833" spans="1:22" x14ac:dyDescent="0.25">
      <c r="A833" s="46" t="s">
        <v>2264</v>
      </c>
      <c r="B833" s="46" t="s">
        <v>2265</v>
      </c>
      <c r="C833" s="48">
        <v>15890526.77</v>
      </c>
      <c r="D833" s="48">
        <v>15890526.77</v>
      </c>
      <c r="E833" s="48">
        <v>0</v>
      </c>
      <c r="F833" s="48">
        <v>0</v>
      </c>
      <c r="G833" s="48">
        <v>0</v>
      </c>
      <c r="H833" s="48">
        <v>0</v>
      </c>
      <c r="I833" s="48">
        <v>0</v>
      </c>
      <c r="J833" s="48">
        <v>0</v>
      </c>
      <c r="K833" s="48">
        <v>0</v>
      </c>
      <c r="L833" s="48">
        <v>0</v>
      </c>
      <c r="M833" s="48">
        <v>15270424.210000001</v>
      </c>
      <c r="N833" s="48">
        <v>11848058.57</v>
      </c>
      <c r="O833" s="48">
        <v>0</v>
      </c>
      <c r="P833" s="48">
        <v>0</v>
      </c>
      <c r="Q833" s="48">
        <v>0</v>
      </c>
      <c r="R833" s="48">
        <v>0</v>
      </c>
      <c r="S833" s="48">
        <v>0</v>
      </c>
      <c r="T833" s="48">
        <v>0</v>
      </c>
      <c r="U833" s="48">
        <v>0</v>
      </c>
      <c r="V833" s="48">
        <v>0</v>
      </c>
    </row>
    <row r="834" spans="1:22" ht="93" x14ac:dyDescent="0.25">
      <c r="A834" s="46" t="s">
        <v>2266</v>
      </c>
      <c r="B834" s="46" t="s">
        <v>2267</v>
      </c>
      <c r="C834" s="48">
        <v>251719.57</v>
      </c>
      <c r="D834" s="48">
        <v>0</v>
      </c>
      <c r="E834" s="48">
        <v>0</v>
      </c>
      <c r="F834" s="48">
        <v>0</v>
      </c>
      <c r="G834" s="48">
        <v>0</v>
      </c>
      <c r="H834" s="48">
        <v>0</v>
      </c>
      <c r="I834" s="48">
        <v>0</v>
      </c>
      <c r="J834" s="48">
        <v>251719.57</v>
      </c>
      <c r="K834" s="48">
        <v>0</v>
      </c>
      <c r="L834" s="48">
        <v>0</v>
      </c>
      <c r="M834" s="48">
        <v>165614.15</v>
      </c>
      <c r="N834" s="48">
        <v>0</v>
      </c>
      <c r="O834" s="48">
        <v>0</v>
      </c>
      <c r="P834" s="48">
        <v>0</v>
      </c>
      <c r="Q834" s="48">
        <v>0</v>
      </c>
      <c r="R834" s="48">
        <v>0</v>
      </c>
      <c r="S834" s="48">
        <v>0</v>
      </c>
      <c r="T834" s="48">
        <v>165614.15</v>
      </c>
      <c r="U834" s="48">
        <v>0</v>
      </c>
      <c r="V834" s="48">
        <v>0</v>
      </c>
    </row>
    <row r="835" spans="1:22" x14ac:dyDescent="0.25">
      <c r="A835" s="46" t="s">
        <v>2268</v>
      </c>
      <c r="B835" s="46" t="s">
        <v>2269</v>
      </c>
      <c r="C835" s="48">
        <v>186804.32</v>
      </c>
      <c r="D835" s="48">
        <v>0</v>
      </c>
      <c r="E835" s="48">
        <v>186804.32</v>
      </c>
      <c r="F835" s="48">
        <v>0</v>
      </c>
      <c r="G835" s="48">
        <v>0</v>
      </c>
      <c r="H835" s="48">
        <v>0</v>
      </c>
      <c r="I835" s="48">
        <v>0</v>
      </c>
      <c r="J835" s="48">
        <v>0</v>
      </c>
      <c r="K835" s="48">
        <v>0</v>
      </c>
      <c r="L835" s="48">
        <v>0</v>
      </c>
      <c r="M835" s="48">
        <v>143884.93</v>
      </c>
      <c r="N835" s="48">
        <v>0</v>
      </c>
      <c r="O835" s="48">
        <v>66724.13</v>
      </c>
      <c r="P835" s="48">
        <v>0</v>
      </c>
      <c r="Q835" s="48">
        <v>0</v>
      </c>
      <c r="R835" s="48">
        <v>0</v>
      </c>
      <c r="S835" s="48">
        <v>0</v>
      </c>
      <c r="T835" s="48">
        <v>0</v>
      </c>
      <c r="U835" s="48">
        <v>0</v>
      </c>
      <c r="V835" s="48">
        <v>0</v>
      </c>
    </row>
    <row r="836" spans="1:22" x14ac:dyDescent="0.25">
      <c r="A836" s="46" t="s">
        <v>2270</v>
      </c>
      <c r="B836" s="46" t="s">
        <v>2271</v>
      </c>
      <c r="C836" s="48">
        <v>3838274.93</v>
      </c>
      <c r="D836" s="48">
        <v>0</v>
      </c>
      <c r="E836" s="48">
        <v>0</v>
      </c>
      <c r="F836" s="48">
        <v>0</v>
      </c>
      <c r="G836" s="48">
        <v>3838274.93</v>
      </c>
      <c r="H836" s="48">
        <v>0</v>
      </c>
      <c r="I836" s="48">
        <v>0</v>
      </c>
      <c r="J836" s="48">
        <v>0</v>
      </c>
      <c r="K836" s="48">
        <v>0</v>
      </c>
      <c r="L836" s="48">
        <v>0</v>
      </c>
      <c r="M836" s="48">
        <v>3814229.65</v>
      </c>
      <c r="N836" s="48">
        <v>0</v>
      </c>
      <c r="O836" s="48">
        <v>0</v>
      </c>
      <c r="P836" s="48">
        <v>0</v>
      </c>
      <c r="Q836" s="48">
        <v>0</v>
      </c>
      <c r="R836" s="48">
        <v>0</v>
      </c>
      <c r="S836" s="48">
        <v>0</v>
      </c>
      <c r="T836" s="48">
        <v>0</v>
      </c>
      <c r="U836" s="48">
        <v>0</v>
      </c>
      <c r="V836" s="48">
        <v>0</v>
      </c>
    </row>
    <row r="837" spans="1:22" x14ac:dyDescent="0.25">
      <c r="A837" s="46" t="s">
        <v>2272</v>
      </c>
      <c r="B837" s="46" t="s">
        <v>2273</v>
      </c>
      <c r="C837" s="48">
        <v>1834900</v>
      </c>
      <c r="D837" s="48">
        <v>0</v>
      </c>
      <c r="E837" s="48">
        <v>0</v>
      </c>
      <c r="F837" s="48">
        <v>0</v>
      </c>
      <c r="G837" s="48">
        <v>0</v>
      </c>
      <c r="H837" s="48">
        <v>0</v>
      </c>
      <c r="I837" s="48">
        <v>0</v>
      </c>
      <c r="J837" s="48">
        <v>1834900</v>
      </c>
      <c r="K837" s="48">
        <v>0</v>
      </c>
      <c r="L837" s="48">
        <v>0</v>
      </c>
      <c r="M837" s="48">
        <v>1763679.97</v>
      </c>
      <c r="N837" s="48">
        <v>0</v>
      </c>
      <c r="O837" s="48">
        <v>0</v>
      </c>
      <c r="P837" s="48">
        <v>0</v>
      </c>
      <c r="Q837" s="48">
        <v>0</v>
      </c>
      <c r="R837" s="48">
        <v>0</v>
      </c>
      <c r="S837" s="48">
        <v>0</v>
      </c>
      <c r="T837" s="48">
        <v>1763679.97</v>
      </c>
      <c r="U837" s="48">
        <v>0</v>
      </c>
      <c r="V837" s="48">
        <v>0</v>
      </c>
    </row>
    <row r="838" spans="1:22" x14ac:dyDescent="0.25">
      <c r="A838" s="46" t="s">
        <v>2274</v>
      </c>
      <c r="B838" s="46" t="s">
        <v>2275</v>
      </c>
      <c r="C838" s="48">
        <v>553291.44999999995</v>
      </c>
      <c r="D838" s="48">
        <v>0</v>
      </c>
      <c r="E838" s="48">
        <v>0</v>
      </c>
      <c r="F838" s="48">
        <v>0</v>
      </c>
      <c r="G838" s="48">
        <v>0</v>
      </c>
      <c r="H838" s="48">
        <v>553291.44999999995</v>
      </c>
      <c r="I838" s="48">
        <v>0</v>
      </c>
      <c r="J838" s="48">
        <v>0</v>
      </c>
      <c r="K838" s="48">
        <v>0</v>
      </c>
      <c r="L838" s="48">
        <v>0</v>
      </c>
      <c r="M838" s="48">
        <v>553291.44999999995</v>
      </c>
      <c r="N838" s="48">
        <v>0</v>
      </c>
      <c r="O838" s="48">
        <v>0</v>
      </c>
      <c r="P838" s="48">
        <v>0</v>
      </c>
      <c r="Q838" s="48">
        <v>0</v>
      </c>
      <c r="R838" s="48">
        <v>477252.25</v>
      </c>
      <c r="S838" s="48">
        <v>0</v>
      </c>
      <c r="T838" s="48">
        <v>0</v>
      </c>
      <c r="U838" s="48">
        <v>0</v>
      </c>
      <c r="V838" s="48">
        <v>0</v>
      </c>
    </row>
    <row r="839" spans="1:22" x14ac:dyDescent="0.25">
      <c r="A839" s="46" t="s">
        <v>2276</v>
      </c>
      <c r="B839" s="46" t="s">
        <v>2277</v>
      </c>
      <c r="C839" s="48">
        <v>208284</v>
      </c>
      <c r="D839" s="48">
        <v>0</v>
      </c>
      <c r="E839" s="48">
        <v>0</v>
      </c>
      <c r="F839" s="48">
        <v>208284</v>
      </c>
      <c r="G839" s="48">
        <v>0</v>
      </c>
      <c r="H839" s="48">
        <v>0</v>
      </c>
      <c r="I839" s="48">
        <v>0</v>
      </c>
      <c r="J839" s="48">
        <v>0</v>
      </c>
      <c r="K839" s="48">
        <v>0</v>
      </c>
      <c r="L839" s="48">
        <v>0</v>
      </c>
      <c r="M839" s="48">
        <v>178508.45</v>
      </c>
      <c r="N839" s="48">
        <v>0</v>
      </c>
      <c r="O839" s="48">
        <v>0</v>
      </c>
      <c r="P839" s="48">
        <v>120058.39</v>
      </c>
      <c r="Q839" s="48">
        <v>0</v>
      </c>
      <c r="R839" s="48">
        <v>0</v>
      </c>
      <c r="S839" s="48">
        <v>0</v>
      </c>
      <c r="T839" s="48">
        <v>0</v>
      </c>
      <c r="U839" s="48">
        <v>0</v>
      </c>
      <c r="V839" s="48">
        <v>0</v>
      </c>
    </row>
    <row r="840" spans="1:22" ht="46.5" x14ac:dyDescent="0.25">
      <c r="A840" s="46" t="s">
        <v>2278</v>
      </c>
      <c r="B840" s="46" t="s">
        <v>2279</v>
      </c>
      <c r="C840" s="48">
        <v>136977.4</v>
      </c>
      <c r="D840" s="48">
        <v>0</v>
      </c>
      <c r="E840" s="48">
        <v>0</v>
      </c>
      <c r="F840" s="48">
        <v>0</v>
      </c>
      <c r="G840" s="48">
        <v>0</v>
      </c>
      <c r="H840" s="48">
        <v>0</v>
      </c>
      <c r="I840" s="48">
        <v>136977.4</v>
      </c>
      <c r="J840" s="48">
        <v>0</v>
      </c>
      <c r="K840" s="48">
        <v>0</v>
      </c>
      <c r="L840" s="48">
        <v>0</v>
      </c>
      <c r="M840" s="48">
        <v>123812</v>
      </c>
      <c r="N840" s="48">
        <v>0</v>
      </c>
      <c r="O840" s="48">
        <v>0</v>
      </c>
      <c r="P840" s="48">
        <v>0</v>
      </c>
      <c r="Q840" s="48">
        <v>0</v>
      </c>
      <c r="R840" s="48">
        <v>0</v>
      </c>
      <c r="S840" s="48">
        <v>56873.86</v>
      </c>
      <c r="T840" s="48">
        <v>0</v>
      </c>
      <c r="U840" s="48">
        <v>0</v>
      </c>
      <c r="V840" s="48">
        <v>0</v>
      </c>
    </row>
    <row r="841" spans="1:22" ht="93" x14ac:dyDescent="0.25">
      <c r="A841" s="46" t="s">
        <v>2280</v>
      </c>
      <c r="B841" s="46" t="s">
        <v>2281</v>
      </c>
      <c r="C841" s="48">
        <v>2481927.23</v>
      </c>
      <c r="D841" s="48">
        <v>0</v>
      </c>
      <c r="E841" s="48">
        <v>0</v>
      </c>
      <c r="F841" s="48">
        <v>0</v>
      </c>
      <c r="G841" s="48">
        <v>0</v>
      </c>
      <c r="H841" s="48">
        <v>0</v>
      </c>
      <c r="I841" s="48">
        <v>0</v>
      </c>
      <c r="J841" s="48">
        <v>1370591.23</v>
      </c>
      <c r="K841" s="48">
        <v>0</v>
      </c>
      <c r="L841" s="48">
        <v>0</v>
      </c>
      <c r="M841" s="48">
        <v>2435384.7200000002</v>
      </c>
      <c r="N841" s="48">
        <v>0</v>
      </c>
      <c r="O841" s="48">
        <v>0</v>
      </c>
      <c r="P841" s="48">
        <v>0</v>
      </c>
      <c r="Q841" s="48">
        <v>0</v>
      </c>
      <c r="R841" s="48">
        <v>0</v>
      </c>
      <c r="S841" s="48">
        <v>0</v>
      </c>
      <c r="T841" s="48">
        <v>148163.85999999999</v>
      </c>
      <c r="U841" s="48">
        <v>0</v>
      </c>
      <c r="V841" s="48">
        <v>0</v>
      </c>
    </row>
    <row r="842" spans="1:22" ht="93" x14ac:dyDescent="0.25">
      <c r="A842" s="46" t="s">
        <v>2282</v>
      </c>
      <c r="B842" s="46" t="s">
        <v>2283</v>
      </c>
      <c r="C842" s="48">
        <v>3135963.79</v>
      </c>
      <c r="D842" s="48">
        <v>0</v>
      </c>
      <c r="E842" s="48">
        <v>0</v>
      </c>
      <c r="F842" s="48">
        <v>0</v>
      </c>
      <c r="G842" s="48">
        <v>0</v>
      </c>
      <c r="H842" s="48">
        <v>0</v>
      </c>
      <c r="I842" s="48">
        <v>3135963.79</v>
      </c>
      <c r="J842" s="48">
        <v>0</v>
      </c>
      <c r="K842" s="48">
        <v>0</v>
      </c>
      <c r="L842" s="48">
        <v>0</v>
      </c>
      <c r="M842" s="48">
        <v>2540486.16</v>
      </c>
      <c r="N842" s="48">
        <v>0</v>
      </c>
      <c r="O842" s="48">
        <v>0</v>
      </c>
      <c r="P842" s="48">
        <v>0</v>
      </c>
      <c r="Q842" s="48">
        <v>0</v>
      </c>
      <c r="R842" s="48">
        <v>0</v>
      </c>
      <c r="S842" s="48">
        <v>0</v>
      </c>
      <c r="T842" s="48">
        <v>0</v>
      </c>
      <c r="U842" s="48">
        <v>0</v>
      </c>
      <c r="V842" s="48">
        <v>0</v>
      </c>
    </row>
    <row r="843" spans="1:22" ht="69.75" x14ac:dyDescent="0.25">
      <c r="A843" s="46" t="s">
        <v>15</v>
      </c>
      <c r="B843" s="46" t="s">
        <v>2284</v>
      </c>
      <c r="C843" s="48">
        <v>10099807.91</v>
      </c>
      <c r="D843" s="48">
        <v>0</v>
      </c>
      <c r="E843" s="48">
        <v>0</v>
      </c>
      <c r="F843" s="48">
        <v>0</v>
      </c>
      <c r="G843" s="48">
        <v>0</v>
      </c>
      <c r="H843" s="48">
        <v>0</v>
      </c>
      <c r="I843" s="48">
        <v>0</v>
      </c>
      <c r="J843" s="48">
        <v>10099807.91</v>
      </c>
      <c r="K843" s="48">
        <v>0</v>
      </c>
      <c r="L843" s="48">
        <v>0</v>
      </c>
      <c r="M843" s="48">
        <v>10053797.32</v>
      </c>
      <c r="N843" s="48">
        <v>0</v>
      </c>
      <c r="O843" s="48">
        <v>0</v>
      </c>
      <c r="P843" s="48">
        <v>0</v>
      </c>
      <c r="Q843" s="48">
        <v>0</v>
      </c>
      <c r="R843" s="48">
        <v>0</v>
      </c>
      <c r="S843" s="48">
        <v>0</v>
      </c>
      <c r="T843" s="48">
        <v>10053797.32</v>
      </c>
      <c r="U843" s="48">
        <v>0</v>
      </c>
      <c r="V843" s="48">
        <v>0</v>
      </c>
    </row>
    <row r="844" spans="1:22" x14ac:dyDescent="0.25">
      <c r="A844" s="46" t="s">
        <v>17</v>
      </c>
      <c r="B844" s="46" t="s">
        <v>2285</v>
      </c>
      <c r="C844" s="66">
        <f t="shared" ref="C844:V844" si="620">SUM(C845:C845)</f>
        <v>10500</v>
      </c>
      <c r="D844" s="66">
        <f t="shared" si="620"/>
        <v>0</v>
      </c>
      <c r="E844" s="66">
        <f t="shared" si="620"/>
        <v>0</v>
      </c>
      <c r="F844" s="66">
        <f t="shared" si="620"/>
        <v>0</v>
      </c>
      <c r="G844" s="66">
        <f t="shared" si="620"/>
        <v>0</v>
      </c>
      <c r="H844" s="66">
        <f t="shared" si="620"/>
        <v>0</v>
      </c>
      <c r="I844" s="66">
        <f t="shared" si="620"/>
        <v>0</v>
      </c>
      <c r="J844" s="66">
        <f t="shared" si="620"/>
        <v>0</v>
      </c>
      <c r="K844" s="66">
        <f t="shared" si="620"/>
        <v>0</v>
      </c>
      <c r="L844" s="66">
        <f t="shared" si="620"/>
        <v>10500</v>
      </c>
      <c r="M844" s="66">
        <f t="shared" si="620"/>
        <v>10500</v>
      </c>
      <c r="N844" s="66">
        <f t="shared" si="620"/>
        <v>0</v>
      </c>
      <c r="O844" s="66">
        <f t="shared" si="620"/>
        <v>0</v>
      </c>
      <c r="P844" s="66">
        <f t="shared" si="620"/>
        <v>0</v>
      </c>
      <c r="Q844" s="66">
        <f t="shared" si="620"/>
        <v>0</v>
      </c>
      <c r="R844" s="66">
        <f t="shared" si="620"/>
        <v>0</v>
      </c>
      <c r="S844" s="66">
        <f t="shared" si="620"/>
        <v>0</v>
      </c>
      <c r="T844" s="66">
        <f t="shared" si="620"/>
        <v>0</v>
      </c>
      <c r="U844" s="66">
        <f t="shared" si="620"/>
        <v>0</v>
      </c>
      <c r="V844" s="66">
        <f t="shared" si="620"/>
        <v>10500</v>
      </c>
    </row>
    <row r="845" spans="1:22" x14ac:dyDescent="0.25">
      <c r="A845" s="46" t="s">
        <v>17</v>
      </c>
      <c r="B845" s="46" t="s">
        <v>2286</v>
      </c>
      <c r="C845" s="48">
        <v>10500</v>
      </c>
      <c r="D845" s="48">
        <v>0</v>
      </c>
      <c r="E845" s="48">
        <v>0</v>
      </c>
      <c r="F845" s="48">
        <v>0</v>
      </c>
      <c r="G845" s="48">
        <v>0</v>
      </c>
      <c r="H845" s="48">
        <v>0</v>
      </c>
      <c r="I845" s="48">
        <v>0</v>
      </c>
      <c r="J845" s="48">
        <v>0</v>
      </c>
      <c r="K845" s="48">
        <v>0</v>
      </c>
      <c r="L845" s="48">
        <v>10500</v>
      </c>
      <c r="M845" s="48">
        <v>10500</v>
      </c>
      <c r="N845" s="48">
        <v>0</v>
      </c>
      <c r="O845" s="48">
        <v>0</v>
      </c>
      <c r="P845" s="48">
        <v>0</v>
      </c>
      <c r="Q845" s="48">
        <v>0</v>
      </c>
      <c r="R845" s="48">
        <v>0</v>
      </c>
      <c r="S845" s="48">
        <v>0</v>
      </c>
      <c r="T845" s="48">
        <v>0</v>
      </c>
      <c r="U845" s="48">
        <v>0</v>
      </c>
      <c r="V845" s="48">
        <v>10500</v>
      </c>
    </row>
    <row r="846" spans="1:22" ht="45" x14ac:dyDescent="0.25">
      <c r="A846" s="67"/>
      <c r="B846" s="68" t="s">
        <v>2287</v>
      </c>
      <c r="C846" s="69">
        <f t="shared" ref="C846:V846" si="621">C832+C843+C844</f>
        <v>38628977.369999997</v>
      </c>
      <c r="D846" s="69">
        <f t="shared" si="621"/>
        <v>15890526.77</v>
      </c>
      <c r="E846" s="69">
        <f t="shared" si="621"/>
        <v>186804.32</v>
      </c>
      <c r="F846" s="69">
        <f t="shared" si="621"/>
        <v>208284</v>
      </c>
      <c r="G846" s="69">
        <f t="shared" si="621"/>
        <v>3838274.93</v>
      </c>
      <c r="H846" s="69">
        <f t="shared" si="621"/>
        <v>553291.44999999995</v>
      </c>
      <c r="I846" s="69">
        <f t="shared" si="621"/>
        <v>3272941.19</v>
      </c>
      <c r="J846" s="69">
        <f t="shared" si="621"/>
        <v>13557018.710000001</v>
      </c>
      <c r="K846" s="69">
        <f t="shared" si="621"/>
        <v>0</v>
      </c>
      <c r="L846" s="69">
        <f t="shared" si="621"/>
        <v>10500</v>
      </c>
      <c r="M846" s="69">
        <f t="shared" si="621"/>
        <v>37053613.009999998</v>
      </c>
      <c r="N846" s="69">
        <f t="shared" si="621"/>
        <v>11848058.57</v>
      </c>
      <c r="O846" s="69">
        <f t="shared" si="621"/>
        <v>66724.13</v>
      </c>
      <c r="P846" s="69">
        <f t="shared" si="621"/>
        <v>120058.39</v>
      </c>
      <c r="Q846" s="69">
        <f t="shared" si="621"/>
        <v>0</v>
      </c>
      <c r="R846" s="69">
        <f t="shared" si="621"/>
        <v>477252.25</v>
      </c>
      <c r="S846" s="69">
        <f t="shared" si="621"/>
        <v>56873.86</v>
      </c>
      <c r="T846" s="69">
        <f t="shared" si="621"/>
        <v>12131255.300000001</v>
      </c>
      <c r="U846" s="69">
        <f t="shared" si="621"/>
        <v>0</v>
      </c>
      <c r="V846" s="69">
        <f t="shared" si="621"/>
        <v>10500</v>
      </c>
    </row>
    <row r="847" spans="1:22" x14ac:dyDescent="0.25">
      <c r="A847" s="70"/>
      <c r="B847" s="71"/>
      <c r="C847" s="72"/>
      <c r="D847" s="72"/>
      <c r="E847" s="72"/>
      <c r="F847" s="72"/>
      <c r="G847" s="72"/>
      <c r="H847" s="72"/>
      <c r="I847" s="72"/>
      <c r="J847" s="72"/>
      <c r="K847" s="72"/>
      <c r="L847" s="72"/>
      <c r="M847" s="72"/>
      <c r="N847" s="72"/>
      <c r="O847" s="72"/>
      <c r="P847" s="72"/>
      <c r="Q847" s="72"/>
      <c r="R847" s="72"/>
      <c r="S847" s="72"/>
      <c r="T847" s="72"/>
      <c r="U847" s="72"/>
      <c r="V847" s="72"/>
    </row>
  </sheetData>
  <mergeCells count="40">
    <mergeCell ref="N830:V830"/>
    <mergeCell ref="Z1:AC5"/>
    <mergeCell ref="K3:S3"/>
    <mergeCell ref="A830:A831"/>
    <mergeCell ref="B830:B831"/>
    <mergeCell ref="C830:C831"/>
    <mergeCell ref="M830:M831"/>
    <mergeCell ref="D830:L830"/>
    <mergeCell ref="Z7:Z8"/>
    <mergeCell ref="AA7:AA8"/>
    <mergeCell ref="AD7:AD8"/>
    <mergeCell ref="G6:O6"/>
    <mergeCell ref="Q6:Y6"/>
    <mergeCell ref="Z6:AD6"/>
    <mergeCell ref="AB7:AC7"/>
    <mergeCell ref="U7:U8"/>
    <mergeCell ref="V7:V8"/>
    <mergeCell ref="W7:W8"/>
    <mergeCell ref="X7:X8"/>
    <mergeCell ref="Y7:Y8"/>
    <mergeCell ref="P6:P8"/>
    <mergeCell ref="Q7:Q8"/>
    <mergeCell ref="R7:R8"/>
    <mergeCell ref="S7:S8"/>
    <mergeCell ref="T7:T8"/>
    <mergeCell ref="A6:A8"/>
    <mergeCell ref="B6:B8"/>
    <mergeCell ref="C6:C8"/>
    <mergeCell ref="D6:D8"/>
    <mergeCell ref="E6:E8"/>
    <mergeCell ref="F6:F8"/>
    <mergeCell ref="G7:G8"/>
    <mergeCell ref="H7:H8"/>
    <mergeCell ref="I7:I8"/>
    <mergeCell ref="J7:J8"/>
    <mergeCell ref="K7:K8"/>
    <mergeCell ref="L7:L8"/>
    <mergeCell ref="M7:M8"/>
    <mergeCell ref="N7:N8"/>
    <mergeCell ref="O7:O8"/>
  </mergeCells>
  <pageMargins left="0.39370078740157483" right="0.39370078740157483" top="0.39370078740157483" bottom="0.39370078740157483" header="0.39370078740157483" footer="0.39370078740157483"/>
  <pageSetup paperSize="8" scale="2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2024-05-30T08:47:26Z</cp:lastPrinted>
  <dcterms:created xsi:type="dcterms:W3CDTF">2024-05-30T08:09:57Z</dcterms:created>
  <dcterms:modified xsi:type="dcterms:W3CDTF">2024-05-30T08:53:45Z</dcterms:modified>
</cp:coreProperties>
</file>