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codeName="ThisWorkbook"/>
  <mc:AlternateContent xmlns:mc="http://schemas.openxmlformats.org/markup-compatibility/2006">
    <mc:Choice Requires="x15">
      <x15ac:absPath xmlns:x15ac="http://schemas.microsoft.com/office/spreadsheetml/2010/11/ac" url="C:\Users\imaksvytiene\Desktop\Sav_adm_MVP_2024_09_Nr. AT-\"/>
    </mc:Choice>
  </mc:AlternateContent>
  <xr:revisionPtr revIDLastSave="0" documentId="13_ncr:1_{49C6FAE9-094D-4C29-A80A-FBB952EF81EE}" xr6:coauthVersionLast="47" xr6:coauthVersionMax="47" xr10:uidLastSave="{00000000-0000-0000-0000-000000000000}"/>
  <bookViews>
    <workbookView xWindow="540" yWindow="1065" windowWidth="27600" windowHeight="15030" xr2:uid="{00000000-000D-0000-FFFF-FFFF00000000}"/>
  </bookViews>
  <sheets>
    <sheet name="Planas" sheetId="2" r:id="rId1"/>
  </sheets>
  <definedNames>
    <definedName name="_xlnm.Print_Titles" localSheetId="0">Planas!$6:$8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G12" i="2"/>
  <c r="H12" i="2"/>
  <c r="I12" i="2"/>
  <c r="J12" i="2"/>
  <c r="K12" i="2"/>
  <c r="L12" i="2"/>
  <c r="M12" i="2"/>
  <c r="N12" i="2"/>
  <c r="O12" i="2"/>
  <c r="F14" i="2"/>
  <c r="G14" i="2"/>
  <c r="H14" i="2"/>
  <c r="I14" i="2"/>
  <c r="J14" i="2"/>
  <c r="K14" i="2"/>
  <c r="L14" i="2"/>
  <c r="M14" i="2"/>
  <c r="N14" i="2"/>
  <c r="O14" i="2"/>
  <c r="F16" i="2"/>
  <c r="G16" i="2"/>
  <c r="H16" i="2"/>
  <c r="I16" i="2"/>
  <c r="J16" i="2"/>
  <c r="K16" i="2"/>
  <c r="L16" i="2"/>
  <c r="M16" i="2"/>
  <c r="N16" i="2"/>
  <c r="O16" i="2"/>
  <c r="F18" i="2"/>
  <c r="G18" i="2"/>
  <c r="H18" i="2"/>
  <c r="I18" i="2"/>
  <c r="J18" i="2"/>
  <c r="K18" i="2"/>
  <c r="L18" i="2"/>
  <c r="M18" i="2"/>
  <c r="N18" i="2"/>
  <c r="O18" i="2"/>
  <c r="F22" i="2"/>
  <c r="G22" i="2"/>
  <c r="H22" i="2"/>
  <c r="I22" i="2"/>
  <c r="J22" i="2"/>
  <c r="K22" i="2"/>
  <c r="L22" i="2"/>
  <c r="M22" i="2"/>
  <c r="N22" i="2"/>
  <c r="O22" i="2"/>
  <c r="F24" i="2"/>
  <c r="G24" i="2"/>
  <c r="H24" i="2"/>
  <c r="I24" i="2"/>
  <c r="J24" i="2"/>
  <c r="K24" i="2"/>
  <c r="L24" i="2"/>
  <c r="M24" i="2"/>
  <c r="N24" i="2"/>
  <c r="O24" i="2"/>
  <c r="F26" i="2"/>
  <c r="G26" i="2"/>
  <c r="H26" i="2"/>
  <c r="I26" i="2"/>
  <c r="J26" i="2"/>
  <c r="K26" i="2"/>
  <c r="L26" i="2"/>
  <c r="M26" i="2"/>
  <c r="N26" i="2"/>
  <c r="O26" i="2"/>
  <c r="F28" i="2"/>
  <c r="G28" i="2"/>
  <c r="H28" i="2"/>
  <c r="I28" i="2"/>
  <c r="J28" i="2"/>
  <c r="K28" i="2"/>
  <c r="L28" i="2"/>
  <c r="M28" i="2"/>
  <c r="N28" i="2"/>
  <c r="O28" i="2"/>
  <c r="F30" i="2"/>
  <c r="G30" i="2"/>
  <c r="H30" i="2"/>
  <c r="I30" i="2"/>
  <c r="J30" i="2"/>
  <c r="K30" i="2"/>
  <c r="L30" i="2"/>
  <c r="M30" i="2"/>
  <c r="N30" i="2"/>
  <c r="O30" i="2"/>
  <c r="F32" i="2"/>
  <c r="G32" i="2"/>
  <c r="H32" i="2"/>
  <c r="I32" i="2"/>
  <c r="J32" i="2"/>
  <c r="K32" i="2"/>
  <c r="L32" i="2"/>
  <c r="M32" i="2"/>
  <c r="N32" i="2"/>
  <c r="O32" i="2"/>
  <c r="F34" i="2"/>
  <c r="G34" i="2"/>
  <c r="H34" i="2"/>
  <c r="I34" i="2"/>
  <c r="J34" i="2"/>
  <c r="K34" i="2"/>
  <c r="L34" i="2"/>
  <c r="M34" i="2"/>
  <c r="N34" i="2"/>
  <c r="O34" i="2"/>
  <c r="F36" i="2"/>
  <c r="G36" i="2"/>
  <c r="H36" i="2"/>
  <c r="I36" i="2"/>
  <c r="J36" i="2"/>
  <c r="K36" i="2"/>
  <c r="L36" i="2"/>
  <c r="M36" i="2"/>
  <c r="N36" i="2"/>
  <c r="O36" i="2"/>
  <c r="F38" i="2"/>
  <c r="G38" i="2"/>
  <c r="H38" i="2"/>
  <c r="I38" i="2"/>
  <c r="J38" i="2"/>
  <c r="K38" i="2"/>
  <c r="L38" i="2"/>
  <c r="M38" i="2"/>
  <c r="N38" i="2"/>
  <c r="O38" i="2"/>
  <c r="F41" i="2"/>
  <c r="G41" i="2"/>
  <c r="H41" i="2"/>
  <c r="H40" i="2" s="1"/>
  <c r="I41" i="2"/>
  <c r="J41" i="2"/>
  <c r="K41" i="2"/>
  <c r="L41" i="2"/>
  <c r="M41" i="2"/>
  <c r="N41" i="2"/>
  <c r="O41" i="2"/>
  <c r="F43" i="2"/>
  <c r="G43" i="2"/>
  <c r="H43" i="2"/>
  <c r="I43" i="2"/>
  <c r="J43" i="2"/>
  <c r="K43" i="2"/>
  <c r="L43" i="2"/>
  <c r="M43" i="2"/>
  <c r="N43" i="2"/>
  <c r="O43" i="2"/>
  <c r="F47" i="2"/>
  <c r="F46" i="2" s="1"/>
  <c r="F45" i="2" s="1"/>
  <c r="G47" i="2"/>
  <c r="G46" i="2" s="1"/>
  <c r="G45" i="2" s="1"/>
  <c r="H47" i="2"/>
  <c r="H46" i="2" s="1"/>
  <c r="H45" i="2" s="1"/>
  <c r="I47" i="2"/>
  <c r="I46" i="2" s="1"/>
  <c r="I45" i="2" s="1"/>
  <c r="J47" i="2"/>
  <c r="J46" i="2" s="1"/>
  <c r="J45" i="2" s="1"/>
  <c r="K47" i="2"/>
  <c r="K46" i="2" s="1"/>
  <c r="K45" i="2" s="1"/>
  <c r="L47" i="2"/>
  <c r="L46" i="2" s="1"/>
  <c r="L45" i="2" s="1"/>
  <c r="M47" i="2"/>
  <c r="M46" i="2" s="1"/>
  <c r="M45" i="2" s="1"/>
  <c r="N47" i="2"/>
  <c r="N46" i="2" s="1"/>
  <c r="N45" i="2" s="1"/>
  <c r="O47" i="2"/>
  <c r="O46" i="2" s="1"/>
  <c r="O45" i="2" s="1"/>
  <c r="F51" i="2"/>
  <c r="F50" i="2" s="1"/>
  <c r="F49" i="2" s="1"/>
  <c r="G51" i="2"/>
  <c r="G50" i="2" s="1"/>
  <c r="G49" i="2" s="1"/>
  <c r="H51" i="2"/>
  <c r="H50" i="2" s="1"/>
  <c r="H49" i="2" s="1"/>
  <c r="I51" i="2"/>
  <c r="I50" i="2" s="1"/>
  <c r="I49" i="2" s="1"/>
  <c r="J51" i="2"/>
  <c r="J50" i="2" s="1"/>
  <c r="J49" i="2" s="1"/>
  <c r="K51" i="2"/>
  <c r="K50" i="2" s="1"/>
  <c r="K49" i="2" s="1"/>
  <c r="L51" i="2"/>
  <c r="L50" i="2" s="1"/>
  <c r="L49" i="2" s="1"/>
  <c r="M51" i="2"/>
  <c r="M50" i="2" s="1"/>
  <c r="M49" i="2" s="1"/>
  <c r="N51" i="2"/>
  <c r="N50" i="2" s="1"/>
  <c r="N49" i="2" s="1"/>
  <c r="O51" i="2"/>
  <c r="O50" i="2" s="1"/>
  <c r="O49" i="2" s="1"/>
  <c r="F55" i="2"/>
  <c r="G55" i="2"/>
  <c r="H55" i="2"/>
  <c r="I55" i="2"/>
  <c r="J55" i="2"/>
  <c r="K55" i="2"/>
  <c r="L55" i="2"/>
  <c r="M55" i="2"/>
  <c r="N55" i="2"/>
  <c r="O55" i="2"/>
  <c r="F58" i="2"/>
  <c r="G58" i="2"/>
  <c r="H58" i="2"/>
  <c r="I58" i="2"/>
  <c r="J58" i="2"/>
  <c r="K58" i="2"/>
  <c r="L58" i="2"/>
  <c r="M58" i="2"/>
  <c r="N58" i="2"/>
  <c r="O58" i="2"/>
  <c r="F60" i="2"/>
  <c r="G60" i="2"/>
  <c r="F61" i="2"/>
  <c r="G61" i="2"/>
  <c r="H61" i="2"/>
  <c r="H60" i="2" s="1"/>
  <c r="I61" i="2"/>
  <c r="I60" i="2" s="1"/>
  <c r="J61" i="2"/>
  <c r="J60" i="2" s="1"/>
  <c r="K61" i="2"/>
  <c r="K60" i="2" s="1"/>
  <c r="L61" i="2"/>
  <c r="L60" i="2" s="1"/>
  <c r="M61" i="2"/>
  <c r="M60" i="2" s="1"/>
  <c r="N61" i="2"/>
  <c r="N60" i="2" s="1"/>
  <c r="O61" i="2"/>
  <c r="O60" i="2" s="1"/>
  <c r="F68" i="2"/>
  <c r="F67" i="2" s="1"/>
  <c r="F66" i="2" s="1"/>
  <c r="G68" i="2"/>
  <c r="G67" i="2" s="1"/>
  <c r="G66" i="2" s="1"/>
  <c r="H68" i="2"/>
  <c r="H67" i="2" s="1"/>
  <c r="H66" i="2" s="1"/>
  <c r="I68" i="2"/>
  <c r="I67" i="2" s="1"/>
  <c r="I66" i="2" s="1"/>
  <c r="J68" i="2"/>
  <c r="J67" i="2" s="1"/>
  <c r="J66" i="2" s="1"/>
  <c r="K68" i="2"/>
  <c r="K67" i="2" s="1"/>
  <c r="K66" i="2" s="1"/>
  <c r="L68" i="2"/>
  <c r="L67" i="2" s="1"/>
  <c r="L66" i="2" s="1"/>
  <c r="M68" i="2"/>
  <c r="M67" i="2" s="1"/>
  <c r="M66" i="2" s="1"/>
  <c r="N68" i="2"/>
  <c r="N67" i="2" s="1"/>
  <c r="N66" i="2" s="1"/>
  <c r="O68" i="2"/>
  <c r="O67" i="2" s="1"/>
  <c r="O66" i="2" s="1"/>
  <c r="F74" i="2"/>
  <c r="G74" i="2"/>
  <c r="H74" i="2"/>
  <c r="I74" i="2"/>
  <c r="J74" i="2"/>
  <c r="K74" i="2"/>
  <c r="L74" i="2"/>
  <c r="M74" i="2"/>
  <c r="N74" i="2"/>
  <c r="O74" i="2"/>
  <c r="F76" i="2"/>
  <c r="G76" i="2"/>
  <c r="H76" i="2"/>
  <c r="I76" i="2"/>
  <c r="J76" i="2"/>
  <c r="K76" i="2"/>
  <c r="K73" i="2" s="1"/>
  <c r="K72" i="2" s="1"/>
  <c r="L76" i="2"/>
  <c r="M76" i="2"/>
  <c r="N76" i="2"/>
  <c r="O76" i="2"/>
  <c r="F80" i="2"/>
  <c r="F79" i="2" s="1"/>
  <c r="F78" i="2" s="1"/>
  <c r="G80" i="2"/>
  <c r="G79" i="2" s="1"/>
  <c r="G78" i="2" s="1"/>
  <c r="H80" i="2"/>
  <c r="H79" i="2" s="1"/>
  <c r="H78" i="2" s="1"/>
  <c r="I80" i="2"/>
  <c r="I79" i="2" s="1"/>
  <c r="I78" i="2" s="1"/>
  <c r="J80" i="2"/>
  <c r="J79" i="2" s="1"/>
  <c r="J78" i="2" s="1"/>
  <c r="K80" i="2"/>
  <c r="K79" i="2" s="1"/>
  <c r="K78" i="2" s="1"/>
  <c r="L80" i="2"/>
  <c r="L79" i="2" s="1"/>
  <c r="L78" i="2" s="1"/>
  <c r="M80" i="2"/>
  <c r="M79" i="2" s="1"/>
  <c r="M78" i="2" s="1"/>
  <c r="N80" i="2"/>
  <c r="N79" i="2" s="1"/>
  <c r="N78" i="2" s="1"/>
  <c r="O80" i="2"/>
  <c r="O79" i="2" s="1"/>
  <c r="O78" i="2" s="1"/>
  <c r="F84" i="2"/>
  <c r="G84" i="2"/>
  <c r="H84" i="2"/>
  <c r="I84" i="2"/>
  <c r="J84" i="2"/>
  <c r="K84" i="2"/>
  <c r="L84" i="2"/>
  <c r="M84" i="2"/>
  <c r="N84" i="2"/>
  <c r="O84" i="2"/>
  <c r="F86" i="2"/>
  <c r="G86" i="2"/>
  <c r="H86" i="2"/>
  <c r="I86" i="2"/>
  <c r="J86" i="2"/>
  <c r="K86" i="2"/>
  <c r="L86" i="2"/>
  <c r="M86" i="2"/>
  <c r="M83" i="2" s="1"/>
  <c r="M82" i="2" s="1"/>
  <c r="N86" i="2"/>
  <c r="O86" i="2"/>
  <c r="F91" i="2"/>
  <c r="F90" i="2" s="1"/>
  <c r="G91" i="2"/>
  <c r="G90" i="2" s="1"/>
  <c r="H91" i="2"/>
  <c r="H90" i="2" s="1"/>
  <c r="I91" i="2"/>
  <c r="I90" i="2" s="1"/>
  <c r="J91" i="2"/>
  <c r="J90" i="2" s="1"/>
  <c r="K91" i="2"/>
  <c r="K90" i="2" s="1"/>
  <c r="L91" i="2"/>
  <c r="L90" i="2" s="1"/>
  <c r="M91" i="2"/>
  <c r="M90" i="2" s="1"/>
  <c r="N91" i="2"/>
  <c r="N90" i="2" s="1"/>
  <c r="O91" i="2"/>
  <c r="O90" i="2" s="1"/>
  <c r="F96" i="2"/>
  <c r="G96" i="2"/>
  <c r="H96" i="2"/>
  <c r="I96" i="2"/>
  <c r="J96" i="2"/>
  <c r="K96" i="2"/>
  <c r="L96" i="2"/>
  <c r="M96" i="2"/>
  <c r="N96" i="2"/>
  <c r="O96" i="2"/>
  <c r="F98" i="2"/>
  <c r="G98" i="2"/>
  <c r="H98" i="2"/>
  <c r="I98" i="2"/>
  <c r="J98" i="2"/>
  <c r="K98" i="2"/>
  <c r="L98" i="2"/>
  <c r="M98" i="2"/>
  <c r="N98" i="2"/>
  <c r="O98" i="2"/>
  <c r="F100" i="2"/>
  <c r="G100" i="2"/>
  <c r="H100" i="2"/>
  <c r="I100" i="2"/>
  <c r="J100" i="2"/>
  <c r="K100" i="2"/>
  <c r="L100" i="2"/>
  <c r="M100" i="2"/>
  <c r="N100" i="2"/>
  <c r="O100" i="2"/>
  <c r="F102" i="2"/>
  <c r="G102" i="2"/>
  <c r="H102" i="2"/>
  <c r="I102" i="2"/>
  <c r="J102" i="2"/>
  <c r="K102" i="2"/>
  <c r="L102" i="2"/>
  <c r="M102" i="2"/>
  <c r="N102" i="2"/>
  <c r="O102" i="2"/>
  <c r="F104" i="2"/>
  <c r="G104" i="2"/>
  <c r="H104" i="2"/>
  <c r="I104" i="2"/>
  <c r="J104" i="2"/>
  <c r="K104" i="2"/>
  <c r="L104" i="2"/>
  <c r="M104" i="2"/>
  <c r="N104" i="2"/>
  <c r="O104" i="2"/>
  <c r="F106" i="2"/>
  <c r="G106" i="2"/>
  <c r="H106" i="2"/>
  <c r="I106" i="2"/>
  <c r="J106" i="2"/>
  <c r="K106" i="2"/>
  <c r="L106" i="2"/>
  <c r="M106" i="2"/>
  <c r="N106" i="2"/>
  <c r="O106" i="2"/>
  <c r="F108" i="2"/>
  <c r="G108" i="2"/>
  <c r="H108" i="2"/>
  <c r="I108" i="2"/>
  <c r="J108" i="2"/>
  <c r="K108" i="2"/>
  <c r="L108" i="2"/>
  <c r="M108" i="2"/>
  <c r="N108" i="2"/>
  <c r="O108" i="2"/>
  <c r="F111" i="2"/>
  <c r="G111" i="2"/>
  <c r="H111" i="2"/>
  <c r="I111" i="2"/>
  <c r="J111" i="2"/>
  <c r="K111" i="2"/>
  <c r="L111" i="2"/>
  <c r="M111" i="2"/>
  <c r="N111" i="2"/>
  <c r="O111" i="2"/>
  <c r="F113" i="2"/>
  <c r="G113" i="2"/>
  <c r="H113" i="2"/>
  <c r="I113" i="2"/>
  <c r="J113" i="2"/>
  <c r="K113" i="2"/>
  <c r="L113" i="2"/>
  <c r="M113" i="2"/>
  <c r="N113" i="2"/>
  <c r="O113" i="2"/>
  <c r="F115" i="2"/>
  <c r="G115" i="2"/>
  <c r="H115" i="2"/>
  <c r="I115" i="2"/>
  <c r="J115" i="2"/>
  <c r="K115" i="2"/>
  <c r="L115" i="2"/>
  <c r="M115" i="2"/>
  <c r="N115" i="2"/>
  <c r="O115" i="2"/>
  <c r="F119" i="2"/>
  <c r="F118" i="2" s="1"/>
  <c r="F117" i="2" s="1"/>
  <c r="G119" i="2"/>
  <c r="G118" i="2" s="1"/>
  <c r="G117" i="2" s="1"/>
  <c r="H119" i="2"/>
  <c r="H118" i="2" s="1"/>
  <c r="H117" i="2" s="1"/>
  <c r="I119" i="2"/>
  <c r="I118" i="2" s="1"/>
  <c r="I117" i="2" s="1"/>
  <c r="J119" i="2"/>
  <c r="J118" i="2" s="1"/>
  <c r="J117" i="2" s="1"/>
  <c r="K119" i="2"/>
  <c r="K118" i="2" s="1"/>
  <c r="K117" i="2" s="1"/>
  <c r="L119" i="2"/>
  <c r="L118" i="2" s="1"/>
  <c r="L117" i="2" s="1"/>
  <c r="M119" i="2"/>
  <c r="M118" i="2" s="1"/>
  <c r="M117" i="2" s="1"/>
  <c r="N119" i="2"/>
  <c r="N118" i="2" s="1"/>
  <c r="N117" i="2" s="1"/>
  <c r="O119" i="2"/>
  <c r="O118" i="2" s="1"/>
  <c r="O117" i="2" s="1"/>
  <c r="F123" i="2"/>
  <c r="F122" i="2" s="1"/>
  <c r="F121" i="2" s="1"/>
  <c r="G123" i="2"/>
  <c r="G122" i="2" s="1"/>
  <c r="G121" i="2" s="1"/>
  <c r="H123" i="2"/>
  <c r="H122" i="2" s="1"/>
  <c r="H121" i="2" s="1"/>
  <c r="I123" i="2"/>
  <c r="I122" i="2" s="1"/>
  <c r="I121" i="2" s="1"/>
  <c r="J123" i="2"/>
  <c r="J122" i="2" s="1"/>
  <c r="J121" i="2" s="1"/>
  <c r="K123" i="2"/>
  <c r="K122" i="2" s="1"/>
  <c r="K121" i="2" s="1"/>
  <c r="L123" i="2"/>
  <c r="L122" i="2" s="1"/>
  <c r="L121" i="2" s="1"/>
  <c r="M123" i="2"/>
  <c r="M122" i="2" s="1"/>
  <c r="M121" i="2" s="1"/>
  <c r="N123" i="2"/>
  <c r="N122" i="2" s="1"/>
  <c r="N121" i="2" s="1"/>
  <c r="O123" i="2"/>
  <c r="O122" i="2" s="1"/>
  <c r="O121" i="2" s="1"/>
  <c r="F128" i="2"/>
  <c r="G128" i="2"/>
  <c r="H128" i="2"/>
  <c r="I128" i="2"/>
  <c r="J128" i="2"/>
  <c r="K128" i="2"/>
  <c r="L128" i="2"/>
  <c r="M128" i="2"/>
  <c r="N128" i="2"/>
  <c r="O128" i="2"/>
  <c r="F130" i="2"/>
  <c r="G130" i="2"/>
  <c r="H130" i="2"/>
  <c r="I130" i="2"/>
  <c r="J130" i="2"/>
  <c r="K130" i="2"/>
  <c r="L130" i="2"/>
  <c r="M130" i="2"/>
  <c r="N130" i="2"/>
  <c r="O130" i="2"/>
  <c r="F132" i="2"/>
  <c r="G132" i="2"/>
  <c r="H132" i="2"/>
  <c r="I132" i="2"/>
  <c r="J132" i="2"/>
  <c r="K132" i="2"/>
  <c r="L132" i="2"/>
  <c r="M132" i="2"/>
  <c r="N132" i="2"/>
  <c r="O132" i="2"/>
  <c r="F134" i="2"/>
  <c r="G134" i="2"/>
  <c r="H134" i="2"/>
  <c r="I134" i="2"/>
  <c r="J134" i="2"/>
  <c r="K134" i="2"/>
  <c r="L134" i="2"/>
  <c r="M134" i="2"/>
  <c r="N134" i="2"/>
  <c r="O134" i="2"/>
  <c r="F136" i="2"/>
  <c r="G136" i="2"/>
  <c r="H136" i="2"/>
  <c r="I136" i="2"/>
  <c r="J136" i="2"/>
  <c r="K136" i="2"/>
  <c r="L136" i="2"/>
  <c r="M136" i="2"/>
  <c r="N136" i="2"/>
  <c r="O136" i="2"/>
  <c r="F140" i="2"/>
  <c r="G140" i="2"/>
  <c r="H140" i="2"/>
  <c r="I140" i="2"/>
  <c r="J140" i="2"/>
  <c r="K140" i="2"/>
  <c r="L140" i="2"/>
  <c r="M140" i="2"/>
  <c r="N140" i="2"/>
  <c r="O140" i="2"/>
  <c r="F147" i="2"/>
  <c r="G147" i="2"/>
  <c r="H147" i="2"/>
  <c r="I147" i="2"/>
  <c r="J147" i="2"/>
  <c r="K147" i="2"/>
  <c r="L147" i="2"/>
  <c r="M147" i="2"/>
  <c r="M146" i="2" s="1"/>
  <c r="N147" i="2"/>
  <c r="O147" i="2"/>
  <c r="F149" i="2"/>
  <c r="G149" i="2"/>
  <c r="H149" i="2"/>
  <c r="I149" i="2"/>
  <c r="I146" i="2" s="1"/>
  <c r="J149" i="2"/>
  <c r="K149" i="2"/>
  <c r="L149" i="2"/>
  <c r="M149" i="2"/>
  <c r="N149" i="2"/>
  <c r="O149" i="2"/>
  <c r="F152" i="2"/>
  <c r="G152" i="2"/>
  <c r="H152" i="2"/>
  <c r="I152" i="2"/>
  <c r="J152" i="2"/>
  <c r="K152" i="2"/>
  <c r="L152" i="2"/>
  <c r="M152" i="2"/>
  <c r="N152" i="2"/>
  <c r="O152" i="2"/>
  <c r="F154" i="2"/>
  <c r="G154" i="2"/>
  <c r="H154" i="2"/>
  <c r="I154" i="2"/>
  <c r="J154" i="2"/>
  <c r="K154" i="2"/>
  <c r="L154" i="2"/>
  <c r="M154" i="2"/>
  <c r="N154" i="2"/>
  <c r="O154" i="2"/>
  <c r="F156" i="2"/>
  <c r="G156" i="2"/>
  <c r="H156" i="2"/>
  <c r="I156" i="2"/>
  <c r="J156" i="2"/>
  <c r="K156" i="2"/>
  <c r="L156" i="2"/>
  <c r="M156" i="2"/>
  <c r="N156" i="2"/>
  <c r="O156" i="2"/>
  <c r="F158" i="2"/>
  <c r="G158" i="2"/>
  <c r="H158" i="2"/>
  <c r="I158" i="2"/>
  <c r="J158" i="2"/>
  <c r="K158" i="2"/>
  <c r="L158" i="2"/>
  <c r="M158" i="2"/>
  <c r="N158" i="2"/>
  <c r="O158" i="2"/>
  <c r="F160" i="2"/>
  <c r="G160" i="2"/>
  <c r="H160" i="2"/>
  <c r="I160" i="2"/>
  <c r="J160" i="2"/>
  <c r="K160" i="2"/>
  <c r="L160" i="2"/>
  <c r="M160" i="2"/>
  <c r="N160" i="2"/>
  <c r="O160" i="2"/>
  <c r="F164" i="2"/>
  <c r="F163" i="2" s="1"/>
  <c r="F162" i="2" s="1"/>
  <c r="G164" i="2"/>
  <c r="G163" i="2" s="1"/>
  <c r="G162" i="2" s="1"/>
  <c r="H164" i="2"/>
  <c r="H163" i="2" s="1"/>
  <c r="H162" i="2" s="1"/>
  <c r="I164" i="2"/>
  <c r="I163" i="2" s="1"/>
  <c r="I162" i="2" s="1"/>
  <c r="J164" i="2"/>
  <c r="J163" i="2" s="1"/>
  <c r="J162" i="2" s="1"/>
  <c r="K164" i="2"/>
  <c r="K163" i="2" s="1"/>
  <c r="K162" i="2" s="1"/>
  <c r="L164" i="2"/>
  <c r="L163" i="2" s="1"/>
  <c r="L162" i="2" s="1"/>
  <c r="M164" i="2"/>
  <c r="M163" i="2" s="1"/>
  <c r="M162" i="2" s="1"/>
  <c r="N164" i="2"/>
  <c r="N163" i="2" s="1"/>
  <c r="N162" i="2" s="1"/>
  <c r="O164" i="2"/>
  <c r="O163" i="2" s="1"/>
  <c r="O162" i="2" s="1"/>
  <c r="F168" i="2"/>
  <c r="F167" i="2" s="1"/>
  <c r="G168" i="2"/>
  <c r="G167" i="2" s="1"/>
  <c r="H168" i="2"/>
  <c r="H167" i="2" s="1"/>
  <c r="I168" i="2"/>
  <c r="I167" i="2" s="1"/>
  <c r="J168" i="2"/>
  <c r="J167" i="2" s="1"/>
  <c r="K168" i="2"/>
  <c r="K167" i="2" s="1"/>
  <c r="L168" i="2"/>
  <c r="L167" i="2" s="1"/>
  <c r="M168" i="2"/>
  <c r="M167" i="2" s="1"/>
  <c r="N168" i="2"/>
  <c r="N167" i="2" s="1"/>
  <c r="O168" i="2"/>
  <c r="O167" i="2" s="1"/>
  <c r="F171" i="2"/>
  <c r="F170" i="2" s="1"/>
  <c r="G171" i="2"/>
  <c r="G170" i="2" s="1"/>
  <c r="H171" i="2"/>
  <c r="H170" i="2" s="1"/>
  <c r="I171" i="2"/>
  <c r="I170" i="2" s="1"/>
  <c r="J171" i="2"/>
  <c r="J170" i="2" s="1"/>
  <c r="K171" i="2"/>
  <c r="K170" i="2" s="1"/>
  <c r="L171" i="2"/>
  <c r="L170" i="2" s="1"/>
  <c r="M171" i="2"/>
  <c r="M170" i="2" s="1"/>
  <c r="N171" i="2"/>
  <c r="N170" i="2" s="1"/>
  <c r="O171" i="2"/>
  <c r="O170" i="2" s="1"/>
  <c r="F175" i="2"/>
  <c r="F174" i="2" s="1"/>
  <c r="F173" i="2" s="1"/>
  <c r="G175" i="2"/>
  <c r="G174" i="2" s="1"/>
  <c r="G173" i="2" s="1"/>
  <c r="H175" i="2"/>
  <c r="H174" i="2" s="1"/>
  <c r="H173" i="2" s="1"/>
  <c r="I175" i="2"/>
  <c r="I174" i="2" s="1"/>
  <c r="I173" i="2" s="1"/>
  <c r="J175" i="2"/>
  <c r="J174" i="2" s="1"/>
  <c r="J173" i="2" s="1"/>
  <c r="K175" i="2"/>
  <c r="K174" i="2" s="1"/>
  <c r="K173" i="2" s="1"/>
  <c r="L175" i="2"/>
  <c r="L174" i="2" s="1"/>
  <c r="L173" i="2" s="1"/>
  <c r="M175" i="2"/>
  <c r="M174" i="2" s="1"/>
  <c r="M173" i="2" s="1"/>
  <c r="N175" i="2"/>
  <c r="N174" i="2" s="1"/>
  <c r="N173" i="2" s="1"/>
  <c r="O175" i="2"/>
  <c r="O174" i="2" s="1"/>
  <c r="O173" i="2" s="1"/>
  <c r="F179" i="2"/>
  <c r="F178" i="2" s="1"/>
  <c r="F177" i="2" s="1"/>
  <c r="G179" i="2"/>
  <c r="G178" i="2" s="1"/>
  <c r="G177" i="2" s="1"/>
  <c r="H179" i="2"/>
  <c r="H178" i="2" s="1"/>
  <c r="H177" i="2" s="1"/>
  <c r="I179" i="2"/>
  <c r="I178" i="2" s="1"/>
  <c r="I177" i="2" s="1"/>
  <c r="J179" i="2"/>
  <c r="J178" i="2" s="1"/>
  <c r="J177" i="2" s="1"/>
  <c r="K179" i="2"/>
  <c r="K178" i="2" s="1"/>
  <c r="K177" i="2" s="1"/>
  <c r="L179" i="2"/>
  <c r="L178" i="2" s="1"/>
  <c r="L177" i="2" s="1"/>
  <c r="M179" i="2"/>
  <c r="M178" i="2" s="1"/>
  <c r="M177" i="2" s="1"/>
  <c r="N179" i="2"/>
  <c r="N178" i="2" s="1"/>
  <c r="N177" i="2" s="1"/>
  <c r="O179" i="2"/>
  <c r="O178" i="2" s="1"/>
  <c r="O177" i="2" s="1"/>
  <c r="F183" i="2"/>
  <c r="G183" i="2"/>
  <c r="H183" i="2"/>
  <c r="I183" i="2"/>
  <c r="J183" i="2"/>
  <c r="K183" i="2"/>
  <c r="L183" i="2"/>
  <c r="M183" i="2"/>
  <c r="N183" i="2"/>
  <c r="O183" i="2"/>
  <c r="F185" i="2"/>
  <c r="G185" i="2"/>
  <c r="H185" i="2"/>
  <c r="I185" i="2"/>
  <c r="J185" i="2"/>
  <c r="K185" i="2"/>
  <c r="L185" i="2"/>
  <c r="M185" i="2"/>
  <c r="N185" i="2"/>
  <c r="O185" i="2"/>
  <c r="F187" i="2"/>
  <c r="G187" i="2"/>
  <c r="H187" i="2"/>
  <c r="I187" i="2"/>
  <c r="J187" i="2"/>
  <c r="K187" i="2"/>
  <c r="L187" i="2"/>
  <c r="M187" i="2"/>
  <c r="N187" i="2"/>
  <c r="O187" i="2"/>
  <c r="F189" i="2"/>
  <c r="G189" i="2"/>
  <c r="H189" i="2"/>
  <c r="I189" i="2"/>
  <c r="J189" i="2"/>
  <c r="K189" i="2"/>
  <c r="L189" i="2"/>
  <c r="M189" i="2"/>
  <c r="N189" i="2"/>
  <c r="O189" i="2"/>
  <c r="F191" i="2"/>
  <c r="G191" i="2"/>
  <c r="H191" i="2"/>
  <c r="I191" i="2"/>
  <c r="J191" i="2"/>
  <c r="K191" i="2"/>
  <c r="L191" i="2"/>
  <c r="M191" i="2"/>
  <c r="N191" i="2"/>
  <c r="O191" i="2"/>
  <c r="F193" i="2"/>
  <c r="G193" i="2"/>
  <c r="H193" i="2"/>
  <c r="I193" i="2"/>
  <c r="J193" i="2"/>
  <c r="K193" i="2"/>
  <c r="L193" i="2"/>
  <c r="M193" i="2"/>
  <c r="N193" i="2"/>
  <c r="O193" i="2"/>
  <c r="F196" i="2"/>
  <c r="G196" i="2"/>
  <c r="H196" i="2"/>
  <c r="I196" i="2"/>
  <c r="J196" i="2"/>
  <c r="K196" i="2"/>
  <c r="L196" i="2"/>
  <c r="M196" i="2"/>
  <c r="N196" i="2"/>
  <c r="O196" i="2"/>
  <c r="F198" i="2"/>
  <c r="G198" i="2"/>
  <c r="H198" i="2"/>
  <c r="I198" i="2"/>
  <c r="J198" i="2"/>
  <c r="K198" i="2"/>
  <c r="L198" i="2"/>
  <c r="M198" i="2"/>
  <c r="N198" i="2"/>
  <c r="O198" i="2"/>
  <c r="F200" i="2"/>
  <c r="G200" i="2"/>
  <c r="H200" i="2"/>
  <c r="I200" i="2"/>
  <c r="J200" i="2"/>
  <c r="K200" i="2"/>
  <c r="L200" i="2"/>
  <c r="M200" i="2"/>
  <c r="N200" i="2"/>
  <c r="O200" i="2"/>
  <c r="F202" i="2"/>
  <c r="G202" i="2"/>
  <c r="H202" i="2"/>
  <c r="I202" i="2"/>
  <c r="J202" i="2"/>
  <c r="K202" i="2"/>
  <c r="L202" i="2"/>
  <c r="M202" i="2"/>
  <c r="N202" i="2"/>
  <c r="O202" i="2"/>
  <c r="F207" i="2"/>
  <c r="G207" i="2"/>
  <c r="H207" i="2"/>
  <c r="I207" i="2"/>
  <c r="J207" i="2"/>
  <c r="K207" i="2"/>
  <c r="L207" i="2"/>
  <c r="M207" i="2"/>
  <c r="N207" i="2"/>
  <c r="O207" i="2"/>
  <c r="F209" i="2"/>
  <c r="G209" i="2"/>
  <c r="H209" i="2"/>
  <c r="I209" i="2"/>
  <c r="J209" i="2"/>
  <c r="K209" i="2"/>
  <c r="L209" i="2"/>
  <c r="M209" i="2"/>
  <c r="N209" i="2"/>
  <c r="O209" i="2"/>
  <c r="F211" i="2"/>
  <c r="G211" i="2"/>
  <c r="H211" i="2"/>
  <c r="I211" i="2"/>
  <c r="J211" i="2"/>
  <c r="K211" i="2"/>
  <c r="L211" i="2"/>
  <c r="M211" i="2"/>
  <c r="N211" i="2"/>
  <c r="O211" i="2"/>
  <c r="F214" i="2"/>
  <c r="F213" i="2" s="1"/>
  <c r="G214" i="2"/>
  <c r="G213" i="2" s="1"/>
  <c r="H214" i="2"/>
  <c r="H213" i="2" s="1"/>
  <c r="I214" i="2"/>
  <c r="I213" i="2" s="1"/>
  <c r="J214" i="2"/>
  <c r="J213" i="2" s="1"/>
  <c r="K214" i="2"/>
  <c r="K213" i="2" s="1"/>
  <c r="L214" i="2"/>
  <c r="L213" i="2" s="1"/>
  <c r="M214" i="2"/>
  <c r="M213" i="2" s="1"/>
  <c r="N214" i="2"/>
  <c r="N213" i="2" s="1"/>
  <c r="O214" i="2"/>
  <c r="O213" i="2" s="1"/>
  <c r="F219" i="2"/>
  <c r="G219" i="2"/>
  <c r="H219" i="2"/>
  <c r="I219" i="2"/>
  <c r="J219" i="2"/>
  <c r="K219" i="2"/>
  <c r="L219" i="2"/>
  <c r="M219" i="2"/>
  <c r="N219" i="2"/>
  <c r="O219" i="2"/>
  <c r="F221" i="2"/>
  <c r="G221" i="2"/>
  <c r="H221" i="2"/>
  <c r="I221" i="2"/>
  <c r="J221" i="2"/>
  <c r="K221" i="2"/>
  <c r="L221" i="2"/>
  <c r="M221" i="2"/>
  <c r="N221" i="2"/>
  <c r="O221" i="2"/>
  <c r="F223" i="2"/>
  <c r="G223" i="2"/>
  <c r="H223" i="2"/>
  <c r="I223" i="2"/>
  <c r="J223" i="2"/>
  <c r="K223" i="2"/>
  <c r="L223" i="2"/>
  <c r="M223" i="2"/>
  <c r="N223" i="2"/>
  <c r="O223" i="2"/>
  <c r="F225" i="2"/>
  <c r="G225" i="2"/>
  <c r="H225" i="2"/>
  <c r="I225" i="2"/>
  <c r="J225" i="2"/>
  <c r="K225" i="2"/>
  <c r="L225" i="2"/>
  <c r="M225" i="2"/>
  <c r="N225" i="2"/>
  <c r="O225" i="2"/>
  <c r="F229" i="2"/>
  <c r="F228" i="2" s="1"/>
  <c r="G229" i="2"/>
  <c r="G228" i="2" s="1"/>
  <c r="H229" i="2"/>
  <c r="H228" i="2" s="1"/>
  <c r="I229" i="2"/>
  <c r="I228" i="2" s="1"/>
  <c r="J229" i="2"/>
  <c r="J228" i="2" s="1"/>
  <c r="K229" i="2"/>
  <c r="K228" i="2" s="1"/>
  <c r="L229" i="2"/>
  <c r="L228" i="2" s="1"/>
  <c r="L227" i="2" s="1"/>
  <c r="M229" i="2"/>
  <c r="M228" i="2" s="1"/>
  <c r="N229" i="2"/>
  <c r="N228" i="2" s="1"/>
  <c r="O229" i="2"/>
  <c r="O228" i="2" s="1"/>
  <c r="F234" i="2"/>
  <c r="F233" i="2" s="1"/>
  <c r="G234" i="2"/>
  <c r="G233" i="2" s="1"/>
  <c r="H234" i="2"/>
  <c r="H233" i="2" s="1"/>
  <c r="I234" i="2"/>
  <c r="I233" i="2" s="1"/>
  <c r="J234" i="2"/>
  <c r="J233" i="2" s="1"/>
  <c r="K234" i="2"/>
  <c r="K233" i="2" s="1"/>
  <c r="L234" i="2"/>
  <c r="L233" i="2" s="1"/>
  <c r="M234" i="2"/>
  <c r="M233" i="2" s="1"/>
  <c r="N234" i="2"/>
  <c r="N233" i="2" s="1"/>
  <c r="O234" i="2"/>
  <c r="O233" i="2" s="1"/>
  <c r="F238" i="2"/>
  <c r="F237" i="2" s="1"/>
  <c r="F236" i="2" s="1"/>
  <c r="G238" i="2"/>
  <c r="G237" i="2" s="1"/>
  <c r="G236" i="2" s="1"/>
  <c r="H238" i="2"/>
  <c r="H237" i="2" s="1"/>
  <c r="H236" i="2" s="1"/>
  <c r="I238" i="2"/>
  <c r="I237" i="2" s="1"/>
  <c r="I236" i="2" s="1"/>
  <c r="J238" i="2"/>
  <c r="J237" i="2" s="1"/>
  <c r="J236" i="2" s="1"/>
  <c r="K238" i="2"/>
  <c r="K237" i="2" s="1"/>
  <c r="K236" i="2" s="1"/>
  <c r="L238" i="2"/>
  <c r="L237" i="2" s="1"/>
  <c r="L236" i="2" s="1"/>
  <c r="M238" i="2"/>
  <c r="M237" i="2" s="1"/>
  <c r="M236" i="2" s="1"/>
  <c r="N238" i="2"/>
  <c r="N237" i="2" s="1"/>
  <c r="N236" i="2" s="1"/>
  <c r="O238" i="2"/>
  <c r="O237" i="2" s="1"/>
  <c r="O236" i="2" s="1"/>
  <c r="F243" i="2"/>
  <c r="F242" i="2" s="1"/>
  <c r="G243" i="2"/>
  <c r="G242" i="2" s="1"/>
  <c r="H243" i="2"/>
  <c r="H242" i="2" s="1"/>
  <c r="I243" i="2"/>
  <c r="I242" i="2" s="1"/>
  <c r="J243" i="2"/>
  <c r="J242" i="2" s="1"/>
  <c r="K243" i="2"/>
  <c r="K242" i="2" s="1"/>
  <c r="L243" i="2"/>
  <c r="L242" i="2" s="1"/>
  <c r="M243" i="2"/>
  <c r="M242" i="2" s="1"/>
  <c r="M241" i="2" s="1"/>
  <c r="N243" i="2"/>
  <c r="N242" i="2" s="1"/>
  <c r="O243" i="2"/>
  <c r="O242" i="2" s="1"/>
  <c r="F246" i="2"/>
  <c r="F245" i="2" s="1"/>
  <c r="G246" i="2"/>
  <c r="G245" i="2" s="1"/>
  <c r="H246" i="2"/>
  <c r="H245" i="2" s="1"/>
  <c r="I246" i="2"/>
  <c r="I245" i="2" s="1"/>
  <c r="J246" i="2"/>
  <c r="J245" i="2" s="1"/>
  <c r="K246" i="2"/>
  <c r="K245" i="2" s="1"/>
  <c r="L246" i="2"/>
  <c r="L245" i="2" s="1"/>
  <c r="M246" i="2"/>
  <c r="M245" i="2" s="1"/>
  <c r="N246" i="2"/>
  <c r="N245" i="2" s="1"/>
  <c r="O246" i="2"/>
  <c r="O245" i="2" s="1"/>
  <c r="O249" i="2"/>
  <c r="O248" i="2" s="1"/>
  <c r="F250" i="2"/>
  <c r="G250" i="2"/>
  <c r="H250" i="2"/>
  <c r="I250" i="2"/>
  <c r="J250" i="2"/>
  <c r="K250" i="2"/>
  <c r="L250" i="2"/>
  <c r="M250" i="2"/>
  <c r="M249" i="2" s="1"/>
  <c r="N250" i="2"/>
  <c r="O250" i="2"/>
  <c r="F254" i="2"/>
  <c r="G254" i="2"/>
  <c r="H254" i="2"/>
  <c r="I254" i="2"/>
  <c r="J254" i="2"/>
  <c r="K254" i="2"/>
  <c r="L254" i="2"/>
  <c r="M254" i="2"/>
  <c r="N254" i="2"/>
  <c r="O254" i="2"/>
  <c r="F256" i="2"/>
  <c r="G256" i="2"/>
  <c r="H256" i="2"/>
  <c r="H249" i="2" s="1"/>
  <c r="I256" i="2"/>
  <c r="J256" i="2"/>
  <c r="K256" i="2"/>
  <c r="L256" i="2"/>
  <c r="M256" i="2"/>
  <c r="N256" i="2"/>
  <c r="O256" i="2"/>
  <c r="G258" i="2"/>
  <c r="H258" i="2"/>
  <c r="F259" i="2"/>
  <c r="F258" i="2" s="1"/>
  <c r="G259" i="2"/>
  <c r="H259" i="2"/>
  <c r="I259" i="2"/>
  <c r="I258" i="2" s="1"/>
  <c r="J259" i="2"/>
  <c r="J258" i="2" s="1"/>
  <c r="K259" i="2"/>
  <c r="K258" i="2" s="1"/>
  <c r="L259" i="2"/>
  <c r="L258" i="2" s="1"/>
  <c r="M259" i="2"/>
  <c r="M258" i="2" s="1"/>
  <c r="N259" i="2"/>
  <c r="N258" i="2" s="1"/>
  <c r="O259" i="2"/>
  <c r="O258" i="2" s="1"/>
  <c r="F265" i="2"/>
  <c r="G265" i="2"/>
  <c r="H265" i="2"/>
  <c r="I265" i="2"/>
  <c r="J265" i="2"/>
  <c r="J263" i="2" s="1"/>
  <c r="J262" i="2" s="1"/>
  <c r="K265" i="2"/>
  <c r="L265" i="2"/>
  <c r="M265" i="2"/>
  <c r="N265" i="2"/>
  <c r="O265" i="2"/>
  <c r="F268" i="2"/>
  <c r="G268" i="2"/>
  <c r="H268" i="2"/>
  <c r="I268" i="2"/>
  <c r="J268" i="2"/>
  <c r="K268" i="2"/>
  <c r="L268" i="2"/>
  <c r="M268" i="2"/>
  <c r="N268" i="2"/>
  <c r="O268" i="2"/>
  <c r="F270" i="2"/>
  <c r="G270" i="2"/>
  <c r="H270" i="2"/>
  <c r="I270" i="2"/>
  <c r="J270" i="2"/>
  <c r="K270" i="2"/>
  <c r="L270" i="2"/>
  <c r="M270" i="2"/>
  <c r="N270" i="2"/>
  <c r="O270" i="2"/>
  <c r="F273" i="2"/>
  <c r="F272" i="2" s="1"/>
  <c r="G273" i="2"/>
  <c r="G272" i="2" s="1"/>
  <c r="H273" i="2"/>
  <c r="H272" i="2" s="1"/>
  <c r="I273" i="2"/>
  <c r="I272" i="2" s="1"/>
  <c r="J273" i="2"/>
  <c r="J272" i="2" s="1"/>
  <c r="K273" i="2"/>
  <c r="K272" i="2" s="1"/>
  <c r="L273" i="2"/>
  <c r="L272" i="2" s="1"/>
  <c r="M273" i="2"/>
  <c r="M272" i="2" s="1"/>
  <c r="N273" i="2"/>
  <c r="N272" i="2" s="1"/>
  <c r="O273" i="2"/>
  <c r="O272" i="2" s="1"/>
  <c r="F278" i="2"/>
  <c r="G278" i="2"/>
  <c r="H278" i="2"/>
  <c r="I278" i="2"/>
  <c r="J278" i="2"/>
  <c r="K278" i="2"/>
  <c r="L278" i="2"/>
  <c r="M278" i="2"/>
  <c r="N278" i="2"/>
  <c r="O278" i="2"/>
  <c r="F280" i="2"/>
  <c r="G280" i="2"/>
  <c r="H280" i="2"/>
  <c r="I280" i="2"/>
  <c r="J280" i="2"/>
  <c r="K280" i="2"/>
  <c r="L280" i="2"/>
  <c r="M280" i="2"/>
  <c r="N280" i="2"/>
  <c r="O280" i="2"/>
  <c r="F282" i="2"/>
  <c r="G282" i="2"/>
  <c r="H282" i="2"/>
  <c r="I282" i="2"/>
  <c r="J282" i="2"/>
  <c r="K282" i="2"/>
  <c r="L282" i="2"/>
  <c r="M282" i="2"/>
  <c r="N282" i="2"/>
  <c r="O282" i="2"/>
  <c r="F284" i="2"/>
  <c r="G284" i="2"/>
  <c r="H284" i="2"/>
  <c r="I284" i="2"/>
  <c r="J284" i="2"/>
  <c r="K284" i="2"/>
  <c r="L284" i="2"/>
  <c r="M284" i="2"/>
  <c r="N284" i="2"/>
  <c r="O284" i="2"/>
  <c r="F286" i="2"/>
  <c r="G286" i="2"/>
  <c r="H286" i="2"/>
  <c r="I286" i="2"/>
  <c r="J286" i="2"/>
  <c r="K286" i="2"/>
  <c r="L286" i="2"/>
  <c r="M286" i="2"/>
  <c r="N286" i="2"/>
  <c r="O286" i="2"/>
  <c r="F288" i="2"/>
  <c r="G288" i="2"/>
  <c r="H288" i="2"/>
  <c r="I288" i="2"/>
  <c r="J288" i="2"/>
  <c r="K288" i="2"/>
  <c r="L288" i="2"/>
  <c r="M288" i="2"/>
  <c r="N288" i="2"/>
  <c r="O288" i="2"/>
  <c r="F290" i="2"/>
  <c r="G290" i="2"/>
  <c r="H290" i="2"/>
  <c r="I290" i="2"/>
  <c r="J290" i="2"/>
  <c r="K290" i="2"/>
  <c r="L290" i="2"/>
  <c r="M290" i="2"/>
  <c r="N290" i="2"/>
  <c r="O290" i="2"/>
  <c r="F294" i="2"/>
  <c r="G294" i="2"/>
  <c r="H294" i="2"/>
  <c r="I294" i="2"/>
  <c r="J294" i="2"/>
  <c r="K294" i="2"/>
  <c r="L294" i="2"/>
  <c r="M294" i="2"/>
  <c r="N294" i="2"/>
  <c r="O294" i="2"/>
  <c r="F297" i="2"/>
  <c r="G297" i="2"/>
  <c r="H297" i="2"/>
  <c r="I297" i="2"/>
  <c r="J297" i="2"/>
  <c r="K297" i="2"/>
  <c r="L297" i="2"/>
  <c r="M297" i="2"/>
  <c r="N297" i="2"/>
  <c r="O297" i="2"/>
  <c r="F299" i="2"/>
  <c r="G299" i="2"/>
  <c r="H299" i="2"/>
  <c r="I299" i="2"/>
  <c r="J299" i="2"/>
  <c r="K299" i="2"/>
  <c r="L299" i="2"/>
  <c r="M299" i="2"/>
  <c r="N299" i="2"/>
  <c r="O299" i="2"/>
  <c r="F301" i="2"/>
  <c r="G301" i="2"/>
  <c r="H301" i="2"/>
  <c r="I301" i="2"/>
  <c r="J301" i="2"/>
  <c r="K301" i="2"/>
  <c r="L301" i="2"/>
  <c r="M301" i="2"/>
  <c r="N301" i="2"/>
  <c r="O301" i="2"/>
  <c r="F303" i="2"/>
  <c r="G303" i="2"/>
  <c r="H303" i="2"/>
  <c r="I303" i="2"/>
  <c r="J303" i="2"/>
  <c r="K303" i="2"/>
  <c r="L303" i="2"/>
  <c r="M303" i="2"/>
  <c r="N303" i="2"/>
  <c r="O303" i="2"/>
  <c r="F305" i="2"/>
  <c r="G305" i="2"/>
  <c r="H305" i="2"/>
  <c r="I305" i="2"/>
  <c r="J305" i="2"/>
  <c r="K305" i="2"/>
  <c r="L305" i="2"/>
  <c r="M305" i="2"/>
  <c r="N305" i="2"/>
  <c r="O305" i="2"/>
  <c r="F307" i="2"/>
  <c r="G307" i="2"/>
  <c r="H307" i="2"/>
  <c r="I307" i="2"/>
  <c r="J307" i="2"/>
  <c r="K307" i="2"/>
  <c r="L307" i="2"/>
  <c r="M307" i="2"/>
  <c r="N307" i="2"/>
  <c r="O307" i="2"/>
  <c r="F309" i="2"/>
  <c r="G309" i="2"/>
  <c r="H309" i="2"/>
  <c r="I309" i="2"/>
  <c r="J309" i="2"/>
  <c r="K309" i="2"/>
  <c r="L309" i="2"/>
  <c r="M309" i="2"/>
  <c r="N309" i="2"/>
  <c r="O309" i="2"/>
  <c r="F311" i="2"/>
  <c r="G311" i="2"/>
  <c r="H311" i="2"/>
  <c r="I311" i="2"/>
  <c r="J311" i="2"/>
  <c r="K311" i="2"/>
  <c r="L311" i="2"/>
  <c r="M311" i="2"/>
  <c r="N311" i="2"/>
  <c r="O311" i="2"/>
  <c r="F313" i="2"/>
  <c r="G313" i="2"/>
  <c r="H313" i="2"/>
  <c r="I313" i="2"/>
  <c r="J313" i="2"/>
  <c r="K313" i="2"/>
  <c r="L313" i="2"/>
  <c r="M313" i="2"/>
  <c r="N313" i="2"/>
  <c r="O313" i="2"/>
  <c r="F316" i="2"/>
  <c r="G316" i="2"/>
  <c r="H316" i="2"/>
  <c r="I316" i="2"/>
  <c r="J316" i="2"/>
  <c r="K316" i="2"/>
  <c r="L316" i="2"/>
  <c r="M316" i="2"/>
  <c r="N316" i="2"/>
  <c r="O316" i="2"/>
  <c r="F318" i="2"/>
  <c r="G318" i="2"/>
  <c r="H318" i="2"/>
  <c r="I318" i="2"/>
  <c r="J318" i="2"/>
  <c r="K318" i="2"/>
  <c r="L318" i="2"/>
  <c r="M318" i="2"/>
  <c r="N318" i="2"/>
  <c r="O318" i="2"/>
  <c r="F320" i="2"/>
  <c r="G320" i="2"/>
  <c r="H320" i="2"/>
  <c r="I320" i="2"/>
  <c r="J320" i="2"/>
  <c r="K320" i="2"/>
  <c r="L320" i="2"/>
  <c r="M320" i="2"/>
  <c r="N320" i="2"/>
  <c r="O320" i="2"/>
  <c r="F322" i="2"/>
  <c r="G322" i="2"/>
  <c r="H322" i="2"/>
  <c r="I322" i="2"/>
  <c r="J322" i="2"/>
  <c r="K322" i="2"/>
  <c r="L322" i="2"/>
  <c r="M322" i="2"/>
  <c r="N322" i="2"/>
  <c r="O322" i="2"/>
  <c r="F325" i="2"/>
  <c r="F324" i="2" s="1"/>
  <c r="G325" i="2"/>
  <c r="G324" i="2" s="1"/>
  <c r="H325" i="2"/>
  <c r="H324" i="2" s="1"/>
  <c r="I325" i="2"/>
  <c r="I324" i="2" s="1"/>
  <c r="J325" i="2"/>
  <c r="J324" i="2" s="1"/>
  <c r="K325" i="2"/>
  <c r="K324" i="2" s="1"/>
  <c r="L325" i="2"/>
  <c r="L324" i="2" s="1"/>
  <c r="M325" i="2"/>
  <c r="M324" i="2" s="1"/>
  <c r="N325" i="2"/>
  <c r="N324" i="2" s="1"/>
  <c r="O325" i="2"/>
  <c r="O324" i="2" s="1"/>
  <c r="F328" i="2"/>
  <c r="G328" i="2"/>
  <c r="H328" i="2"/>
  <c r="I328" i="2"/>
  <c r="J328" i="2"/>
  <c r="K328" i="2"/>
  <c r="L328" i="2"/>
  <c r="M328" i="2"/>
  <c r="N328" i="2"/>
  <c r="O328" i="2"/>
  <c r="F330" i="2"/>
  <c r="G330" i="2"/>
  <c r="H330" i="2"/>
  <c r="I330" i="2"/>
  <c r="J330" i="2"/>
  <c r="K330" i="2"/>
  <c r="L330" i="2"/>
  <c r="M330" i="2"/>
  <c r="N330" i="2"/>
  <c r="O330" i="2"/>
  <c r="F332" i="2"/>
  <c r="G332" i="2"/>
  <c r="H332" i="2"/>
  <c r="I332" i="2"/>
  <c r="J332" i="2"/>
  <c r="K332" i="2"/>
  <c r="L332" i="2"/>
  <c r="M332" i="2"/>
  <c r="N332" i="2"/>
  <c r="O332" i="2"/>
  <c r="F335" i="2"/>
  <c r="F334" i="2" s="1"/>
  <c r="G335" i="2"/>
  <c r="G334" i="2" s="1"/>
  <c r="H335" i="2"/>
  <c r="H334" i="2" s="1"/>
  <c r="I335" i="2"/>
  <c r="I334" i="2" s="1"/>
  <c r="J335" i="2"/>
  <c r="J334" i="2" s="1"/>
  <c r="K335" i="2"/>
  <c r="K334" i="2" s="1"/>
  <c r="L335" i="2"/>
  <c r="L334" i="2" s="1"/>
  <c r="M335" i="2"/>
  <c r="M334" i="2" s="1"/>
  <c r="N335" i="2"/>
  <c r="N334" i="2" s="1"/>
  <c r="O335" i="2"/>
  <c r="O334" i="2" s="1"/>
  <c r="F338" i="2"/>
  <c r="G338" i="2"/>
  <c r="H338" i="2"/>
  <c r="I338" i="2"/>
  <c r="J338" i="2"/>
  <c r="K338" i="2"/>
  <c r="L338" i="2"/>
  <c r="M338" i="2"/>
  <c r="N338" i="2"/>
  <c r="O338" i="2"/>
  <c r="F341" i="2"/>
  <c r="G341" i="2"/>
  <c r="H341" i="2"/>
  <c r="I341" i="2"/>
  <c r="J341" i="2"/>
  <c r="K341" i="2"/>
  <c r="L341" i="2"/>
  <c r="M341" i="2"/>
  <c r="N341" i="2"/>
  <c r="O341" i="2"/>
  <c r="F343" i="2"/>
  <c r="G343" i="2"/>
  <c r="H343" i="2"/>
  <c r="I343" i="2"/>
  <c r="J343" i="2"/>
  <c r="K343" i="2"/>
  <c r="L343" i="2"/>
  <c r="M343" i="2"/>
  <c r="N343" i="2"/>
  <c r="O343" i="2"/>
  <c r="F345" i="2"/>
  <c r="G345" i="2"/>
  <c r="H345" i="2"/>
  <c r="I345" i="2"/>
  <c r="J345" i="2"/>
  <c r="K345" i="2"/>
  <c r="L345" i="2"/>
  <c r="M345" i="2"/>
  <c r="N345" i="2"/>
  <c r="O345" i="2"/>
  <c r="F349" i="2"/>
  <c r="G349" i="2"/>
  <c r="H349" i="2"/>
  <c r="I349" i="2"/>
  <c r="J349" i="2"/>
  <c r="K349" i="2"/>
  <c r="L349" i="2"/>
  <c r="M349" i="2"/>
  <c r="N349" i="2"/>
  <c r="O349" i="2"/>
  <c r="F351" i="2"/>
  <c r="G351" i="2"/>
  <c r="H351" i="2"/>
  <c r="I351" i="2"/>
  <c r="J351" i="2"/>
  <c r="K351" i="2"/>
  <c r="L351" i="2"/>
  <c r="M351" i="2"/>
  <c r="N351" i="2"/>
  <c r="O351" i="2"/>
  <c r="F354" i="2"/>
  <c r="G354" i="2"/>
  <c r="H354" i="2"/>
  <c r="I354" i="2"/>
  <c r="J354" i="2"/>
  <c r="K354" i="2"/>
  <c r="L354" i="2"/>
  <c r="M354" i="2"/>
  <c r="N354" i="2"/>
  <c r="O354" i="2"/>
  <c r="F356" i="2"/>
  <c r="G356" i="2"/>
  <c r="H356" i="2"/>
  <c r="I356" i="2"/>
  <c r="J356" i="2"/>
  <c r="K356" i="2"/>
  <c r="L356" i="2"/>
  <c r="M356" i="2"/>
  <c r="N356" i="2"/>
  <c r="O356" i="2"/>
  <c r="F359" i="2"/>
  <c r="G359" i="2"/>
  <c r="H359" i="2"/>
  <c r="I359" i="2"/>
  <c r="J359" i="2"/>
  <c r="K359" i="2"/>
  <c r="L359" i="2"/>
  <c r="M359" i="2"/>
  <c r="N359" i="2"/>
  <c r="O359" i="2"/>
  <c r="F361" i="2"/>
  <c r="G361" i="2"/>
  <c r="H361" i="2"/>
  <c r="I361" i="2"/>
  <c r="J361" i="2"/>
  <c r="K361" i="2"/>
  <c r="L361" i="2"/>
  <c r="M361" i="2"/>
  <c r="N361" i="2"/>
  <c r="O361" i="2"/>
  <c r="F365" i="2"/>
  <c r="G365" i="2"/>
  <c r="H365" i="2"/>
  <c r="I365" i="2"/>
  <c r="J365" i="2"/>
  <c r="K365" i="2"/>
  <c r="L365" i="2"/>
  <c r="M365" i="2"/>
  <c r="N365" i="2"/>
  <c r="O365" i="2"/>
  <c r="F367" i="2"/>
  <c r="G367" i="2"/>
  <c r="H367" i="2"/>
  <c r="I367" i="2"/>
  <c r="J367" i="2"/>
  <c r="K367" i="2"/>
  <c r="L367" i="2"/>
  <c r="M367" i="2"/>
  <c r="N367" i="2"/>
  <c r="O367" i="2"/>
  <c r="F372" i="2"/>
  <c r="G372" i="2"/>
  <c r="H372" i="2"/>
  <c r="I372" i="2"/>
  <c r="J372" i="2"/>
  <c r="K372" i="2"/>
  <c r="L372" i="2"/>
  <c r="M372" i="2"/>
  <c r="N372" i="2"/>
  <c r="O372" i="2"/>
  <c r="F374" i="2"/>
  <c r="G374" i="2"/>
  <c r="H374" i="2"/>
  <c r="I374" i="2"/>
  <c r="J374" i="2"/>
  <c r="K374" i="2"/>
  <c r="L374" i="2"/>
  <c r="M374" i="2"/>
  <c r="N374" i="2"/>
  <c r="O374" i="2"/>
  <c r="F376" i="2"/>
  <c r="G376" i="2"/>
  <c r="H376" i="2"/>
  <c r="I376" i="2"/>
  <c r="J376" i="2"/>
  <c r="K376" i="2"/>
  <c r="L376" i="2"/>
  <c r="M376" i="2"/>
  <c r="N376" i="2"/>
  <c r="O376" i="2"/>
  <c r="F378" i="2"/>
  <c r="G378" i="2"/>
  <c r="H378" i="2"/>
  <c r="I378" i="2"/>
  <c r="J378" i="2"/>
  <c r="K378" i="2"/>
  <c r="L378" i="2"/>
  <c r="M378" i="2"/>
  <c r="N378" i="2"/>
  <c r="O378" i="2"/>
  <c r="F380" i="2"/>
  <c r="G380" i="2"/>
  <c r="H380" i="2"/>
  <c r="I380" i="2"/>
  <c r="J380" i="2"/>
  <c r="K380" i="2"/>
  <c r="L380" i="2"/>
  <c r="M380" i="2"/>
  <c r="N380" i="2"/>
  <c r="O380" i="2"/>
  <c r="F382" i="2"/>
  <c r="G382" i="2"/>
  <c r="H382" i="2"/>
  <c r="I382" i="2"/>
  <c r="J382" i="2"/>
  <c r="K382" i="2"/>
  <c r="L382" i="2"/>
  <c r="M382" i="2"/>
  <c r="N382" i="2"/>
  <c r="O382" i="2"/>
  <c r="F384" i="2"/>
  <c r="G384" i="2"/>
  <c r="H384" i="2"/>
  <c r="I384" i="2"/>
  <c r="J384" i="2"/>
  <c r="K384" i="2"/>
  <c r="L384" i="2"/>
  <c r="M384" i="2"/>
  <c r="N384" i="2"/>
  <c r="O384" i="2"/>
  <c r="F386" i="2"/>
  <c r="G386" i="2"/>
  <c r="H386" i="2"/>
  <c r="I386" i="2"/>
  <c r="J386" i="2"/>
  <c r="K386" i="2"/>
  <c r="L386" i="2"/>
  <c r="M386" i="2"/>
  <c r="N386" i="2"/>
  <c r="O386" i="2"/>
  <c r="F388" i="2"/>
  <c r="G388" i="2"/>
  <c r="H388" i="2"/>
  <c r="I388" i="2"/>
  <c r="J388" i="2"/>
  <c r="K388" i="2"/>
  <c r="L388" i="2"/>
  <c r="M388" i="2"/>
  <c r="N388" i="2"/>
  <c r="O388" i="2"/>
  <c r="F390" i="2"/>
  <c r="G390" i="2"/>
  <c r="H390" i="2"/>
  <c r="I390" i="2"/>
  <c r="J390" i="2"/>
  <c r="K390" i="2"/>
  <c r="L390" i="2"/>
  <c r="M390" i="2"/>
  <c r="N390" i="2"/>
  <c r="O390" i="2"/>
  <c r="F392" i="2"/>
  <c r="G392" i="2"/>
  <c r="H392" i="2"/>
  <c r="I392" i="2"/>
  <c r="J392" i="2"/>
  <c r="K392" i="2"/>
  <c r="L392" i="2"/>
  <c r="M392" i="2"/>
  <c r="N392" i="2"/>
  <c r="O392" i="2"/>
  <c r="F394" i="2"/>
  <c r="G394" i="2"/>
  <c r="H394" i="2"/>
  <c r="I394" i="2"/>
  <c r="J394" i="2"/>
  <c r="K394" i="2"/>
  <c r="L394" i="2"/>
  <c r="M394" i="2"/>
  <c r="N394" i="2"/>
  <c r="O394" i="2"/>
  <c r="F396" i="2"/>
  <c r="G396" i="2"/>
  <c r="H396" i="2"/>
  <c r="I396" i="2"/>
  <c r="J396" i="2"/>
  <c r="K396" i="2"/>
  <c r="L396" i="2"/>
  <c r="M396" i="2"/>
  <c r="N396" i="2"/>
  <c r="O396" i="2"/>
  <c r="F398" i="2"/>
  <c r="G398" i="2"/>
  <c r="H398" i="2"/>
  <c r="I398" i="2"/>
  <c r="J398" i="2"/>
  <c r="K398" i="2"/>
  <c r="L398" i="2"/>
  <c r="M398" i="2"/>
  <c r="N398" i="2"/>
  <c r="O398" i="2"/>
  <c r="F400" i="2"/>
  <c r="G400" i="2"/>
  <c r="H400" i="2"/>
  <c r="I400" i="2"/>
  <c r="J400" i="2"/>
  <c r="K400" i="2"/>
  <c r="L400" i="2"/>
  <c r="M400" i="2"/>
  <c r="N400" i="2"/>
  <c r="O400" i="2"/>
  <c r="F403" i="2"/>
  <c r="G403" i="2"/>
  <c r="H403" i="2"/>
  <c r="I403" i="2"/>
  <c r="J403" i="2"/>
  <c r="K403" i="2"/>
  <c r="L403" i="2"/>
  <c r="M403" i="2"/>
  <c r="N403" i="2"/>
  <c r="O403" i="2"/>
  <c r="F405" i="2"/>
  <c r="G405" i="2"/>
  <c r="H405" i="2"/>
  <c r="I405" i="2"/>
  <c r="J405" i="2"/>
  <c r="K405" i="2"/>
  <c r="L405" i="2"/>
  <c r="M405" i="2"/>
  <c r="N405" i="2"/>
  <c r="O405" i="2"/>
  <c r="F407" i="2"/>
  <c r="G407" i="2"/>
  <c r="H407" i="2"/>
  <c r="I407" i="2"/>
  <c r="J407" i="2"/>
  <c r="K407" i="2"/>
  <c r="L407" i="2"/>
  <c r="M407" i="2"/>
  <c r="N407" i="2"/>
  <c r="O407" i="2"/>
  <c r="F409" i="2"/>
  <c r="G409" i="2"/>
  <c r="H409" i="2"/>
  <c r="I409" i="2"/>
  <c r="J409" i="2"/>
  <c r="K409" i="2"/>
  <c r="L409" i="2"/>
  <c r="M409" i="2"/>
  <c r="N409" i="2"/>
  <c r="O409" i="2"/>
  <c r="F411" i="2"/>
  <c r="G411" i="2"/>
  <c r="H411" i="2"/>
  <c r="I411" i="2"/>
  <c r="J411" i="2"/>
  <c r="K411" i="2"/>
  <c r="L411" i="2"/>
  <c r="M411" i="2"/>
  <c r="N411" i="2"/>
  <c r="O411" i="2"/>
  <c r="F413" i="2"/>
  <c r="G413" i="2"/>
  <c r="H413" i="2"/>
  <c r="I413" i="2"/>
  <c r="J413" i="2"/>
  <c r="K413" i="2"/>
  <c r="L413" i="2"/>
  <c r="M413" i="2"/>
  <c r="N413" i="2"/>
  <c r="O413" i="2"/>
  <c r="F415" i="2"/>
  <c r="G415" i="2"/>
  <c r="H415" i="2"/>
  <c r="I415" i="2"/>
  <c r="J415" i="2"/>
  <c r="K415" i="2"/>
  <c r="L415" i="2"/>
  <c r="M415" i="2"/>
  <c r="N415" i="2"/>
  <c r="O415" i="2"/>
  <c r="F417" i="2"/>
  <c r="G417" i="2"/>
  <c r="H417" i="2"/>
  <c r="I417" i="2"/>
  <c r="J417" i="2"/>
  <c r="K417" i="2"/>
  <c r="L417" i="2"/>
  <c r="M417" i="2"/>
  <c r="N417" i="2"/>
  <c r="O417" i="2"/>
  <c r="F419" i="2"/>
  <c r="G419" i="2"/>
  <c r="H419" i="2"/>
  <c r="I419" i="2"/>
  <c r="J419" i="2"/>
  <c r="K419" i="2"/>
  <c r="L419" i="2"/>
  <c r="M419" i="2"/>
  <c r="N419" i="2"/>
  <c r="O419" i="2"/>
  <c r="F421" i="2"/>
  <c r="G421" i="2"/>
  <c r="H421" i="2"/>
  <c r="I421" i="2"/>
  <c r="J421" i="2"/>
  <c r="K421" i="2"/>
  <c r="L421" i="2"/>
  <c r="M421" i="2"/>
  <c r="N421" i="2"/>
  <c r="O421" i="2"/>
  <c r="F423" i="2"/>
  <c r="G423" i="2"/>
  <c r="H423" i="2"/>
  <c r="I423" i="2"/>
  <c r="J423" i="2"/>
  <c r="K423" i="2"/>
  <c r="L423" i="2"/>
  <c r="M423" i="2"/>
  <c r="N423" i="2"/>
  <c r="O423" i="2"/>
  <c r="F425" i="2"/>
  <c r="G425" i="2"/>
  <c r="H425" i="2"/>
  <c r="I425" i="2"/>
  <c r="J425" i="2"/>
  <c r="K425" i="2"/>
  <c r="L425" i="2"/>
  <c r="M425" i="2"/>
  <c r="N425" i="2"/>
  <c r="O425" i="2"/>
  <c r="F427" i="2"/>
  <c r="G427" i="2"/>
  <c r="H427" i="2"/>
  <c r="I427" i="2"/>
  <c r="J427" i="2"/>
  <c r="K427" i="2"/>
  <c r="L427" i="2"/>
  <c r="M427" i="2"/>
  <c r="N427" i="2"/>
  <c r="O427" i="2"/>
  <c r="F429" i="2"/>
  <c r="G429" i="2"/>
  <c r="H429" i="2"/>
  <c r="I429" i="2"/>
  <c r="J429" i="2"/>
  <c r="K429" i="2"/>
  <c r="L429" i="2"/>
  <c r="M429" i="2"/>
  <c r="N429" i="2"/>
  <c r="O429" i="2"/>
  <c r="F431" i="2"/>
  <c r="G431" i="2"/>
  <c r="H431" i="2"/>
  <c r="I431" i="2"/>
  <c r="J431" i="2"/>
  <c r="K431" i="2"/>
  <c r="L431" i="2"/>
  <c r="M431" i="2"/>
  <c r="N431" i="2"/>
  <c r="O431" i="2"/>
  <c r="F433" i="2"/>
  <c r="G433" i="2"/>
  <c r="H433" i="2"/>
  <c r="I433" i="2"/>
  <c r="J433" i="2"/>
  <c r="K433" i="2"/>
  <c r="L433" i="2"/>
  <c r="M433" i="2"/>
  <c r="N433" i="2"/>
  <c r="O433" i="2"/>
  <c r="F435" i="2"/>
  <c r="G435" i="2"/>
  <c r="H435" i="2"/>
  <c r="I435" i="2"/>
  <c r="J435" i="2"/>
  <c r="K435" i="2"/>
  <c r="L435" i="2"/>
  <c r="M435" i="2"/>
  <c r="N435" i="2"/>
  <c r="O435" i="2"/>
  <c r="F438" i="2"/>
  <c r="G438" i="2"/>
  <c r="H438" i="2"/>
  <c r="I438" i="2"/>
  <c r="J438" i="2"/>
  <c r="K438" i="2"/>
  <c r="L438" i="2"/>
  <c r="M438" i="2"/>
  <c r="N438" i="2"/>
  <c r="O438" i="2"/>
  <c r="F440" i="2"/>
  <c r="G440" i="2"/>
  <c r="H440" i="2"/>
  <c r="I440" i="2"/>
  <c r="J440" i="2"/>
  <c r="K440" i="2"/>
  <c r="L440" i="2"/>
  <c r="M440" i="2"/>
  <c r="N440" i="2"/>
  <c r="O440" i="2"/>
  <c r="F442" i="2"/>
  <c r="G442" i="2"/>
  <c r="H442" i="2"/>
  <c r="I442" i="2"/>
  <c r="J442" i="2"/>
  <c r="K442" i="2"/>
  <c r="L442" i="2"/>
  <c r="M442" i="2"/>
  <c r="N442" i="2"/>
  <c r="O442" i="2"/>
  <c r="F445" i="2"/>
  <c r="F444" i="2" s="1"/>
  <c r="G445" i="2"/>
  <c r="G444" i="2" s="1"/>
  <c r="H445" i="2"/>
  <c r="H444" i="2" s="1"/>
  <c r="I445" i="2"/>
  <c r="I444" i="2" s="1"/>
  <c r="J445" i="2"/>
  <c r="J444" i="2" s="1"/>
  <c r="K445" i="2"/>
  <c r="K444" i="2" s="1"/>
  <c r="L445" i="2"/>
  <c r="L444" i="2" s="1"/>
  <c r="M445" i="2"/>
  <c r="M444" i="2" s="1"/>
  <c r="N445" i="2"/>
  <c r="N444" i="2" s="1"/>
  <c r="O445" i="2"/>
  <c r="O444" i="2" s="1"/>
  <c r="F448" i="2"/>
  <c r="F447" i="2" s="1"/>
  <c r="G448" i="2"/>
  <c r="G447" i="2" s="1"/>
  <c r="H448" i="2"/>
  <c r="H447" i="2" s="1"/>
  <c r="I448" i="2"/>
  <c r="I447" i="2" s="1"/>
  <c r="J448" i="2"/>
  <c r="J447" i="2" s="1"/>
  <c r="K448" i="2"/>
  <c r="K447" i="2" s="1"/>
  <c r="L448" i="2"/>
  <c r="L447" i="2" s="1"/>
  <c r="M448" i="2"/>
  <c r="M447" i="2" s="1"/>
  <c r="N448" i="2"/>
  <c r="N447" i="2" s="1"/>
  <c r="O448" i="2"/>
  <c r="O447" i="2" s="1"/>
  <c r="F452" i="2"/>
  <c r="F450" i="2" s="1"/>
  <c r="G452" i="2"/>
  <c r="G450" i="2" s="1"/>
  <c r="H452" i="2"/>
  <c r="H450" i="2" s="1"/>
  <c r="I452" i="2"/>
  <c r="I450" i="2" s="1"/>
  <c r="J452" i="2"/>
  <c r="J450" i="2" s="1"/>
  <c r="K452" i="2"/>
  <c r="K450" i="2" s="1"/>
  <c r="L452" i="2"/>
  <c r="L450" i="2" s="1"/>
  <c r="M452" i="2"/>
  <c r="M450" i="2" s="1"/>
  <c r="N452" i="2"/>
  <c r="N450" i="2" s="1"/>
  <c r="O452" i="2"/>
  <c r="O450" i="2" s="1"/>
  <c r="F457" i="2"/>
  <c r="G457" i="2"/>
  <c r="H457" i="2"/>
  <c r="I457" i="2"/>
  <c r="J457" i="2"/>
  <c r="K457" i="2"/>
  <c r="L457" i="2"/>
  <c r="M457" i="2"/>
  <c r="N457" i="2"/>
  <c r="O457" i="2"/>
  <c r="F459" i="2"/>
  <c r="G459" i="2"/>
  <c r="H459" i="2"/>
  <c r="I459" i="2"/>
  <c r="J459" i="2"/>
  <c r="K459" i="2"/>
  <c r="L459" i="2"/>
  <c r="M459" i="2"/>
  <c r="N459" i="2"/>
  <c r="O459" i="2"/>
  <c r="F461" i="2"/>
  <c r="G461" i="2"/>
  <c r="H461" i="2"/>
  <c r="I461" i="2"/>
  <c r="J461" i="2"/>
  <c r="K461" i="2"/>
  <c r="L461" i="2"/>
  <c r="M461" i="2"/>
  <c r="N461" i="2"/>
  <c r="O461" i="2"/>
  <c r="F464" i="2"/>
  <c r="F463" i="2" s="1"/>
  <c r="G464" i="2"/>
  <c r="G463" i="2" s="1"/>
  <c r="H464" i="2"/>
  <c r="H463" i="2" s="1"/>
  <c r="I464" i="2"/>
  <c r="I463" i="2" s="1"/>
  <c r="J464" i="2"/>
  <c r="J463" i="2" s="1"/>
  <c r="K464" i="2"/>
  <c r="K463" i="2" s="1"/>
  <c r="L464" i="2"/>
  <c r="L463" i="2" s="1"/>
  <c r="M464" i="2"/>
  <c r="M463" i="2" s="1"/>
  <c r="N464" i="2"/>
  <c r="N463" i="2" s="1"/>
  <c r="O464" i="2"/>
  <c r="O463" i="2" s="1"/>
  <c r="I466" i="2"/>
  <c r="J466" i="2"/>
  <c r="F467" i="2"/>
  <c r="F466" i="2" s="1"/>
  <c r="G467" i="2"/>
  <c r="G466" i="2" s="1"/>
  <c r="H467" i="2"/>
  <c r="H466" i="2" s="1"/>
  <c r="I467" i="2"/>
  <c r="J467" i="2"/>
  <c r="K467" i="2"/>
  <c r="K466" i="2" s="1"/>
  <c r="L467" i="2"/>
  <c r="L466" i="2" s="1"/>
  <c r="M467" i="2"/>
  <c r="M466" i="2" s="1"/>
  <c r="N467" i="2"/>
  <c r="N466" i="2" s="1"/>
  <c r="O467" i="2"/>
  <c r="O466" i="2" s="1"/>
  <c r="F471" i="2"/>
  <c r="G471" i="2"/>
  <c r="H471" i="2"/>
  <c r="I471" i="2"/>
  <c r="J471" i="2"/>
  <c r="K471" i="2"/>
  <c r="L471" i="2"/>
  <c r="M471" i="2"/>
  <c r="N471" i="2"/>
  <c r="O471" i="2"/>
  <c r="F474" i="2"/>
  <c r="G474" i="2"/>
  <c r="H474" i="2"/>
  <c r="I474" i="2"/>
  <c r="J474" i="2"/>
  <c r="K474" i="2"/>
  <c r="L474" i="2"/>
  <c r="M474" i="2"/>
  <c r="N474" i="2"/>
  <c r="O474" i="2"/>
  <c r="F476" i="2"/>
  <c r="G476" i="2"/>
  <c r="H476" i="2"/>
  <c r="I476" i="2"/>
  <c r="J476" i="2"/>
  <c r="K476" i="2"/>
  <c r="L476" i="2"/>
  <c r="M476" i="2"/>
  <c r="N476" i="2"/>
  <c r="O476" i="2"/>
  <c r="F478" i="2"/>
  <c r="G478" i="2"/>
  <c r="H478" i="2"/>
  <c r="I478" i="2"/>
  <c r="J478" i="2"/>
  <c r="K478" i="2"/>
  <c r="L478" i="2"/>
  <c r="M478" i="2"/>
  <c r="N478" i="2"/>
  <c r="O478" i="2"/>
  <c r="F480" i="2"/>
  <c r="G480" i="2"/>
  <c r="H480" i="2"/>
  <c r="I480" i="2"/>
  <c r="J480" i="2"/>
  <c r="K480" i="2"/>
  <c r="L480" i="2"/>
  <c r="M480" i="2"/>
  <c r="N480" i="2"/>
  <c r="O480" i="2"/>
  <c r="F482" i="2"/>
  <c r="G482" i="2"/>
  <c r="H482" i="2"/>
  <c r="I482" i="2"/>
  <c r="J482" i="2"/>
  <c r="K482" i="2"/>
  <c r="L482" i="2"/>
  <c r="M482" i="2"/>
  <c r="N482" i="2"/>
  <c r="O482" i="2"/>
  <c r="F484" i="2"/>
  <c r="G484" i="2"/>
  <c r="H484" i="2"/>
  <c r="I484" i="2"/>
  <c r="J484" i="2"/>
  <c r="K484" i="2"/>
  <c r="L484" i="2"/>
  <c r="M484" i="2"/>
  <c r="N484" i="2"/>
  <c r="O484" i="2"/>
  <c r="F486" i="2"/>
  <c r="G486" i="2"/>
  <c r="H486" i="2"/>
  <c r="I486" i="2"/>
  <c r="J486" i="2"/>
  <c r="K486" i="2"/>
  <c r="L486" i="2"/>
  <c r="M486" i="2"/>
  <c r="N486" i="2"/>
  <c r="O486" i="2"/>
  <c r="F488" i="2"/>
  <c r="G488" i="2"/>
  <c r="H488" i="2"/>
  <c r="I488" i="2"/>
  <c r="J488" i="2"/>
  <c r="K488" i="2"/>
  <c r="L488" i="2"/>
  <c r="M488" i="2"/>
  <c r="N488" i="2"/>
  <c r="O488" i="2"/>
  <c r="F490" i="2"/>
  <c r="G490" i="2"/>
  <c r="H490" i="2"/>
  <c r="I490" i="2"/>
  <c r="J490" i="2"/>
  <c r="K490" i="2"/>
  <c r="L490" i="2"/>
  <c r="M490" i="2"/>
  <c r="N490" i="2"/>
  <c r="O490" i="2"/>
  <c r="F492" i="2"/>
  <c r="G492" i="2"/>
  <c r="H492" i="2"/>
  <c r="I492" i="2"/>
  <c r="J492" i="2"/>
  <c r="K492" i="2"/>
  <c r="L492" i="2"/>
  <c r="M492" i="2"/>
  <c r="N492" i="2"/>
  <c r="O492" i="2"/>
  <c r="F494" i="2"/>
  <c r="G494" i="2"/>
  <c r="H494" i="2"/>
  <c r="I494" i="2"/>
  <c r="J494" i="2"/>
  <c r="K494" i="2"/>
  <c r="L494" i="2"/>
  <c r="M494" i="2"/>
  <c r="N494" i="2"/>
  <c r="O494" i="2"/>
  <c r="F496" i="2"/>
  <c r="G496" i="2"/>
  <c r="H496" i="2"/>
  <c r="I496" i="2"/>
  <c r="J496" i="2"/>
  <c r="K496" i="2"/>
  <c r="L496" i="2"/>
  <c r="M496" i="2"/>
  <c r="N496" i="2"/>
  <c r="O496" i="2"/>
  <c r="F498" i="2"/>
  <c r="G498" i="2"/>
  <c r="H498" i="2"/>
  <c r="I498" i="2"/>
  <c r="J498" i="2"/>
  <c r="K498" i="2"/>
  <c r="L498" i="2"/>
  <c r="M498" i="2"/>
  <c r="N498" i="2"/>
  <c r="O498" i="2"/>
  <c r="F500" i="2"/>
  <c r="G500" i="2"/>
  <c r="H500" i="2"/>
  <c r="I500" i="2"/>
  <c r="J500" i="2"/>
  <c r="K500" i="2"/>
  <c r="L500" i="2"/>
  <c r="M500" i="2"/>
  <c r="N500" i="2"/>
  <c r="O500" i="2"/>
  <c r="F502" i="2"/>
  <c r="G502" i="2"/>
  <c r="H502" i="2"/>
  <c r="I502" i="2"/>
  <c r="J502" i="2"/>
  <c r="K502" i="2"/>
  <c r="L502" i="2"/>
  <c r="M502" i="2"/>
  <c r="N502" i="2"/>
  <c r="O502" i="2"/>
  <c r="F505" i="2"/>
  <c r="F504" i="2" s="1"/>
  <c r="G505" i="2"/>
  <c r="G504" i="2" s="1"/>
  <c r="H505" i="2"/>
  <c r="H504" i="2" s="1"/>
  <c r="I505" i="2"/>
  <c r="I504" i="2" s="1"/>
  <c r="J505" i="2"/>
  <c r="J504" i="2" s="1"/>
  <c r="K505" i="2"/>
  <c r="K504" i="2" s="1"/>
  <c r="L505" i="2"/>
  <c r="L504" i="2" s="1"/>
  <c r="M505" i="2"/>
  <c r="M504" i="2" s="1"/>
  <c r="N505" i="2"/>
  <c r="N504" i="2" s="1"/>
  <c r="O505" i="2"/>
  <c r="O504" i="2" s="1"/>
  <c r="F508" i="2"/>
  <c r="F507" i="2" s="1"/>
  <c r="G508" i="2"/>
  <c r="G507" i="2" s="1"/>
  <c r="H508" i="2"/>
  <c r="H507" i="2" s="1"/>
  <c r="I508" i="2"/>
  <c r="I507" i="2" s="1"/>
  <c r="J508" i="2"/>
  <c r="J507" i="2" s="1"/>
  <c r="K508" i="2"/>
  <c r="K507" i="2" s="1"/>
  <c r="L508" i="2"/>
  <c r="L507" i="2" s="1"/>
  <c r="M508" i="2"/>
  <c r="M507" i="2" s="1"/>
  <c r="N508" i="2"/>
  <c r="N507" i="2" s="1"/>
  <c r="O508" i="2"/>
  <c r="O507" i="2" s="1"/>
  <c r="F511" i="2"/>
  <c r="G511" i="2"/>
  <c r="H511" i="2"/>
  <c r="I511" i="2"/>
  <c r="J511" i="2"/>
  <c r="K511" i="2"/>
  <c r="L511" i="2"/>
  <c r="M511" i="2"/>
  <c r="N511" i="2"/>
  <c r="O511" i="2"/>
  <c r="F513" i="2"/>
  <c r="G513" i="2"/>
  <c r="H513" i="2"/>
  <c r="I513" i="2"/>
  <c r="J513" i="2"/>
  <c r="K513" i="2"/>
  <c r="L513" i="2"/>
  <c r="M513" i="2"/>
  <c r="N513" i="2"/>
  <c r="O513" i="2"/>
  <c r="F516" i="2"/>
  <c r="G516" i="2"/>
  <c r="H516" i="2"/>
  <c r="I516" i="2"/>
  <c r="J516" i="2"/>
  <c r="K516" i="2"/>
  <c r="L516" i="2"/>
  <c r="M516" i="2"/>
  <c r="N516" i="2"/>
  <c r="O516" i="2"/>
  <c r="F518" i="2"/>
  <c r="F515" i="2" s="1"/>
  <c r="G518" i="2"/>
  <c r="H518" i="2"/>
  <c r="I518" i="2"/>
  <c r="J518" i="2"/>
  <c r="J515" i="2" s="1"/>
  <c r="K518" i="2"/>
  <c r="L518" i="2"/>
  <c r="M518" i="2"/>
  <c r="N518" i="2"/>
  <c r="N515" i="2" s="1"/>
  <c r="O518" i="2"/>
  <c r="F523" i="2"/>
  <c r="G523" i="2"/>
  <c r="H523" i="2"/>
  <c r="I523" i="2"/>
  <c r="J523" i="2"/>
  <c r="K523" i="2"/>
  <c r="L523" i="2"/>
  <c r="M523" i="2"/>
  <c r="N523" i="2"/>
  <c r="O523" i="2"/>
  <c r="F525" i="2"/>
  <c r="F522" i="2" s="1"/>
  <c r="F521" i="2" s="1"/>
  <c r="G525" i="2"/>
  <c r="H525" i="2"/>
  <c r="I525" i="2"/>
  <c r="J525" i="2"/>
  <c r="J522" i="2" s="1"/>
  <c r="J521" i="2" s="1"/>
  <c r="K525" i="2"/>
  <c r="L525" i="2"/>
  <c r="M525" i="2"/>
  <c r="N525" i="2"/>
  <c r="O525" i="2"/>
  <c r="F530" i="2"/>
  <c r="F529" i="2" s="1"/>
  <c r="F528" i="2" s="1"/>
  <c r="G530" i="2"/>
  <c r="G529" i="2" s="1"/>
  <c r="G528" i="2" s="1"/>
  <c r="H530" i="2"/>
  <c r="H529" i="2" s="1"/>
  <c r="H528" i="2" s="1"/>
  <c r="I530" i="2"/>
  <c r="I529" i="2" s="1"/>
  <c r="I528" i="2" s="1"/>
  <c r="J530" i="2"/>
  <c r="J529" i="2" s="1"/>
  <c r="J528" i="2" s="1"/>
  <c r="K530" i="2"/>
  <c r="K529" i="2" s="1"/>
  <c r="K528" i="2" s="1"/>
  <c r="L530" i="2"/>
  <c r="L529" i="2" s="1"/>
  <c r="L528" i="2" s="1"/>
  <c r="M530" i="2"/>
  <c r="M529" i="2" s="1"/>
  <c r="M528" i="2" s="1"/>
  <c r="N530" i="2"/>
  <c r="N529" i="2" s="1"/>
  <c r="N528" i="2" s="1"/>
  <c r="O530" i="2"/>
  <c r="O529" i="2" s="1"/>
  <c r="O528" i="2" s="1"/>
  <c r="F535" i="2"/>
  <c r="G535" i="2"/>
  <c r="H535" i="2"/>
  <c r="I535" i="2"/>
  <c r="J535" i="2"/>
  <c r="K535" i="2"/>
  <c r="L535" i="2"/>
  <c r="M535" i="2"/>
  <c r="N535" i="2"/>
  <c r="O535" i="2"/>
  <c r="F540" i="2"/>
  <c r="G540" i="2"/>
  <c r="H540" i="2"/>
  <c r="I540" i="2"/>
  <c r="J540" i="2"/>
  <c r="K540" i="2"/>
  <c r="L540" i="2"/>
  <c r="M540" i="2"/>
  <c r="N540" i="2"/>
  <c r="O540" i="2"/>
  <c r="F542" i="2"/>
  <c r="G542" i="2"/>
  <c r="H542" i="2"/>
  <c r="I542" i="2"/>
  <c r="J542" i="2"/>
  <c r="K542" i="2"/>
  <c r="L542" i="2"/>
  <c r="M542" i="2"/>
  <c r="N542" i="2"/>
  <c r="O542" i="2"/>
  <c r="F544" i="2"/>
  <c r="G544" i="2"/>
  <c r="H544" i="2"/>
  <c r="I544" i="2"/>
  <c r="J544" i="2"/>
  <c r="K544" i="2"/>
  <c r="L544" i="2"/>
  <c r="M544" i="2"/>
  <c r="N544" i="2"/>
  <c r="O544" i="2"/>
  <c r="F548" i="2"/>
  <c r="G548" i="2"/>
  <c r="H548" i="2"/>
  <c r="I548" i="2"/>
  <c r="J548" i="2"/>
  <c r="K548" i="2"/>
  <c r="L548" i="2"/>
  <c r="M548" i="2"/>
  <c r="N548" i="2"/>
  <c r="O548" i="2"/>
  <c r="F550" i="2"/>
  <c r="G550" i="2"/>
  <c r="H550" i="2"/>
  <c r="I550" i="2"/>
  <c r="J550" i="2"/>
  <c r="K550" i="2"/>
  <c r="L550" i="2"/>
  <c r="M550" i="2"/>
  <c r="N550" i="2"/>
  <c r="O550" i="2"/>
  <c r="F553" i="2"/>
  <c r="G553" i="2"/>
  <c r="H553" i="2"/>
  <c r="I553" i="2"/>
  <c r="J553" i="2"/>
  <c r="K553" i="2"/>
  <c r="L553" i="2"/>
  <c r="M553" i="2"/>
  <c r="N553" i="2"/>
  <c r="O553" i="2"/>
  <c r="F555" i="2"/>
  <c r="G555" i="2"/>
  <c r="H555" i="2"/>
  <c r="I555" i="2"/>
  <c r="J555" i="2"/>
  <c r="K555" i="2"/>
  <c r="L555" i="2"/>
  <c r="M555" i="2"/>
  <c r="N555" i="2"/>
  <c r="O555" i="2"/>
  <c r="F557" i="2"/>
  <c r="G557" i="2"/>
  <c r="H557" i="2"/>
  <c r="I557" i="2"/>
  <c r="J557" i="2"/>
  <c r="K557" i="2"/>
  <c r="L557" i="2"/>
  <c r="M557" i="2"/>
  <c r="N557" i="2"/>
  <c r="O557" i="2"/>
  <c r="F559" i="2"/>
  <c r="G559" i="2"/>
  <c r="H559" i="2"/>
  <c r="I559" i="2"/>
  <c r="J559" i="2"/>
  <c r="K559" i="2"/>
  <c r="L559" i="2"/>
  <c r="M559" i="2"/>
  <c r="N559" i="2"/>
  <c r="O559" i="2"/>
  <c r="F562" i="2"/>
  <c r="G562" i="2"/>
  <c r="H562" i="2"/>
  <c r="I562" i="2"/>
  <c r="J562" i="2"/>
  <c r="K562" i="2"/>
  <c r="L562" i="2"/>
  <c r="M562" i="2"/>
  <c r="N562" i="2"/>
  <c r="O562" i="2"/>
  <c r="F565" i="2"/>
  <c r="G565" i="2"/>
  <c r="H565" i="2"/>
  <c r="I565" i="2"/>
  <c r="J565" i="2"/>
  <c r="K565" i="2"/>
  <c r="L565" i="2"/>
  <c r="M565" i="2"/>
  <c r="N565" i="2"/>
  <c r="O565" i="2"/>
  <c r="F567" i="2"/>
  <c r="G567" i="2"/>
  <c r="H567" i="2"/>
  <c r="I567" i="2"/>
  <c r="J567" i="2"/>
  <c r="K567" i="2"/>
  <c r="L567" i="2"/>
  <c r="M567" i="2"/>
  <c r="N567" i="2"/>
  <c r="O567" i="2"/>
  <c r="F569" i="2"/>
  <c r="G569" i="2"/>
  <c r="H569" i="2"/>
  <c r="I569" i="2"/>
  <c r="J569" i="2"/>
  <c r="K569" i="2"/>
  <c r="L569" i="2"/>
  <c r="M569" i="2"/>
  <c r="N569" i="2"/>
  <c r="O569" i="2"/>
  <c r="F571" i="2"/>
  <c r="G571" i="2"/>
  <c r="H571" i="2"/>
  <c r="I571" i="2"/>
  <c r="J571" i="2"/>
  <c r="K571" i="2"/>
  <c r="L571" i="2"/>
  <c r="M571" i="2"/>
  <c r="N571" i="2"/>
  <c r="O571" i="2"/>
  <c r="F575" i="2"/>
  <c r="G575" i="2"/>
  <c r="H575" i="2"/>
  <c r="I575" i="2"/>
  <c r="J575" i="2"/>
  <c r="K575" i="2"/>
  <c r="L575" i="2"/>
  <c r="M575" i="2"/>
  <c r="N575" i="2"/>
  <c r="O575" i="2"/>
  <c r="F577" i="2"/>
  <c r="G577" i="2"/>
  <c r="H577" i="2"/>
  <c r="I577" i="2"/>
  <c r="J577" i="2"/>
  <c r="K577" i="2"/>
  <c r="L577" i="2"/>
  <c r="M577" i="2"/>
  <c r="N577" i="2"/>
  <c r="O577" i="2"/>
  <c r="F580" i="2"/>
  <c r="F579" i="2" s="1"/>
  <c r="G580" i="2"/>
  <c r="G579" i="2" s="1"/>
  <c r="H580" i="2"/>
  <c r="H579" i="2" s="1"/>
  <c r="I580" i="2"/>
  <c r="I579" i="2" s="1"/>
  <c r="J580" i="2"/>
  <c r="J579" i="2" s="1"/>
  <c r="K580" i="2"/>
  <c r="K579" i="2" s="1"/>
  <c r="L580" i="2"/>
  <c r="L579" i="2" s="1"/>
  <c r="M580" i="2"/>
  <c r="M579" i="2" s="1"/>
  <c r="N580" i="2"/>
  <c r="N579" i="2" s="1"/>
  <c r="O580" i="2"/>
  <c r="O579" i="2" s="1"/>
  <c r="F585" i="2"/>
  <c r="G585" i="2"/>
  <c r="H585" i="2"/>
  <c r="I585" i="2"/>
  <c r="J585" i="2"/>
  <c r="K585" i="2"/>
  <c r="L585" i="2"/>
  <c r="M585" i="2"/>
  <c r="N585" i="2"/>
  <c r="N583" i="2" s="1"/>
  <c r="O585" i="2"/>
  <c r="F587" i="2"/>
  <c r="G587" i="2"/>
  <c r="H587" i="2"/>
  <c r="I587" i="2"/>
  <c r="J587" i="2"/>
  <c r="K587" i="2"/>
  <c r="L587" i="2"/>
  <c r="M587" i="2"/>
  <c r="N587" i="2"/>
  <c r="O587" i="2"/>
  <c r="F590" i="2"/>
  <c r="F589" i="2" s="1"/>
  <c r="G590" i="2"/>
  <c r="G589" i="2" s="1"/>
  <c r="H590" i="2"/>
  <c r="H589" i="2" s="1"/>
  <c r="I590" i="2"/>
  <c r="I589" i="2" s="1"/>
  <c r="J590" i="2"/>
  <c r="J589" i="2" s="1"/>
  <c r="K590" i="2"/>
  <c r="K589" i="2" s="1"/>
  <c r="L590" i="2"/>
  <c r="L589" i="2" s="1"/>
  <c r="M590" i="2"/>
  <c r="M589" i="2" s="1"/>
  <c r="N590" i="2"/>
  <c r="N589" i="2" s="1"/>
  <c r="O590" i="2"/>
  <c r="O589" i="2" s="1"/>
  <c r="N592" i="2"/>
  <c r="F593" i="2"/>
  <c r="F592" i="2" s="1"/>
  <c r="G593" i="2"/>
  <c r="G592" i="2" s="1"/>
  <c r="H593" i="2"/>
  <c r="H592" i="2" s="1"/>
  <c r="I593" i="2"/>
  <c r="I592" i="2" s="1"/>
  <c r="J593" i="2"/>
  <c r="J592" i="2" s="1"/>
  <c r="K593" i="2"/>
  <c r="K592" i="2" s="1"/>
  <c r="L593" i="2"/>
  <c r="L592" i="2" s="1"/>
  <c r="M593" i="2"/>
  <c r="M592" i="2" s="1"/>
  <c r="N593" i="2"/>
  <c r="O593" i="2"/>
  <c r="O592" i="2" s="1"/>
  <c r="F596" i="2"/>
  <c r="G596" i="2"/>
  <c r="H596" i="2"/>
  <c r="I596" i="2"/>
  <c r="J596" i="2"/>
  <c r="K596" i="2"/>
  <c r="L596" i="2"/>
  <c r="M596" i="2"/>
  <c r="N596" i="2"/>
  <c r="O596" i="2"/>
  <c r="F598" i="2"/>
  <c r="G598" i="2"/>
  <c r="H598" i="2"/>
  <c r="I598" i="2"/>
  <c r="J598" i="2"/>
  <c r="K598" i="2"/>
  <c r="L598" i="2"/>
  <c r="M598" i="2"/>
  <c r="N598" i="2"/>
  <c r="O598" i="2"/>
  <c r="F600" i="2"/>
  <c r="G600" i="2"/>
  <c r="H600" i="2"/>
  <c r="I600" i="2"/>
  <c r="J600" i="2"/>
  <c r="K600" i="2"/>
  <c r="L600" i="2"/>
  <c r="M600" i="2"/>
  <c r="N600" i="2"/>
  <c r="O600" i="2"/>
  <c r="F602" i="2"/>
  <c r="G602" i="2"/>
  <c r="H602" i="2"/>
  <c r="I602" i="2"/>
  <c r="J602" i="2"/>
  <c r="K602" i="2"/>
  <c r="L602" i="2"/>
  <c r="M602" i="2"/>
  <c r="N602" i="2"/>
  <c r="O602" i="2"/>
  <c r="F604" i="2"/>
  <c r="G604" i="2"/>
  <c r="H604" i="2"/>
  <c r="I604" i="2"/>
  <c r="J604" i="2"/>
  <c r="K604" i="2"/>
  <c r="L604" i="2"/>
  <c r="M604" i="2"/>
  <c r="N604" i="2"/>
  <c r="O604" i="2"/>
  <c r="F606" i="2"/>
  <c r="G606" i="2"/>
  <c r="H606" i="2"/>
  <c r="I606" i="2"/>
  <c r="J606" i="2"/>
  <c r="K606" i="2"/>
  <c r="L606" i="2"/>
  <c r="M606" i="2"/>
  <c r="N606" i="2"/>
  <c r="O606" i="2"/>
  <c r="F608" i="2"/>
  <c r="G608" i="2"/>
  <c r="H608" i="2"/>
  <c r="I608" i="2"/>
  <c r="J608" i="2"/>
  <c r="K608" i="2"/>
  <c r="L608" i="2"/>
  <c r="M608" i="2"/>
  <c r="N608" i="2"/>
  <c r="O608" i="2"/>
  <c r="F611" i="2"/>
  <c r="G611" i="2"/>
  <c r="H611" i="2"/>
  <c r="I611" i="2"/>
  <c r="J611" i="2"/>
  <c r="K611" i="2"/>
  <c r="L611" i="2"/>
  <c r="M611" i="2"/>
  <c r="N611" i="2"/>
  <c r="O611" i="2"/>
  <c r="F614" i="2"/>
  <c r="G614" i="2"/>
  <c r="H614" i="2"/>
  <c r="I614" i="2"/>
  <c r="J614" i="2"/>
  <c r="K614" i="2"/>
  <c r="L614" i="2"/>
  <c r="M614" i="2"/>
  <c r="N614" i="2"/>
  <c r="O614" i="2"/>
  <c r="F616" i="2"/>
  <c r="G616" i="2"/>
  <c r="H616" i="2"/>
  <c r="I616" i="2"/>
  <c r="J616" i="2"/>
  <c r="K616" i="2"/>
  <c r="L616" i="2"/>
  <c r="M616" i="2"/>
  <c r="N616" i="2"/>
  <c r="O616" i="2"/>
  <c r="F618" i="2"/>
  <c r="G618" i="2"/>
  <c r="H618" i="2"/>
  <c r="I618" i="2"/>
  <c r="J618" i="2"/>
  <c r="K618" i="2"/>
  <c r="L618" i="2"/>
  <c r="M618" i="2"/>
  <c r="N618" i="2"/>
  <c r="O618" i="2"/>
  <c r="F620" i="2"/>
  <c r="G620" i="2"/>
  <c r="H620" i="2"/>
  <c r="I620" i="2"/>
  <c r="J620" i="2"/>
  <c r="K620" i="2"/>
  <c r="L620" i="2"/>
  <c r="M620" i="2"/>
  <c r="N620" i="2"/>
  <c r="O620" i="2"/>
  <c r="F622" i="2"/>
  <c r="G622" i="2"/>
  <c r="H622" i="2"/>
  <c r="I622" i="2"/>
  <c r="J622" i="2"/>
  <c r="K622" i="2"/>
  <c r="L622" i="2"/>
  <c r="M622" i="2"/>
  <c r="N622" i="2"/>
  <c r="O622" i="2"/>
  <c r="F624" i="2"/>
  <c r="G624" i="2"/>
  <c r="H624" i="2"/>
  <c r="I624" i="2"/>
  <c r="J624" i="2"/>
  <c r="K624" i="2"/>
  <c r="L624" i="2"/>
  <c r="M624" i="2"/>
  <c r="N624" i="2"/>
  <c r="O624" i="2"/>
  <c r="F626" i="2"/>
  <c r="G626" i="2"/>
  <c r="H626" i="2"/>
  <c r="I626" i="2"/>
  <c r="J626" i="2"/>
  <c r="K626" i="2"/>
  <c r="L626" i="2"/>
  <c r="M626" i="2"/>
  <c r="N626" i="2"/>
  <c r="O626" i="2"/>
  <c r="F628" i="2"/>
  <c r="G628" i="2"/>
  <c r="H628" i="2"/>
  <c r="I628" i="2"/>
  <c r="J628" i="2"/>
  <c r="K628" i="2"/>
  <c r="L628" i="2"/>
  <c r="M628" i="2"/>
  <c r="N628" i="2"/>
  <c r="O628" i="2"/>
  <c r="F630" i="2"/>
  <c r="G630" i="2"/>
  <c r="H630" i="2"/>
  <c r="I630" i="2"/>
  <c r="J630" i="2"/>
  <c r="K630" i="2"/>
  <c r="L630" i="2"/>
  <c r="M630" i="2"/>
  <c r="N630" i="2"/>
  <c r="O630" i="2"/>
  <c r="F632" i="2"/>
  <c r="G632" i="2"/>
  <c r="H632" i="2"/>
  <c r="I632" i="2"/>
  <c r="J632" i="2"/>
  <c r="K632" i="2"/>
  <c r="L632" i="2"/>
  <c r="M632" i="2"/>
  <c r="N632" i="2"/>
  <c r="O632" i="2"/>
  <c r="F634" i="2"/>
  <c r="G634" i="2"/>
  <c r="H634" i="2"/>
  <c r="I634" i="2"/>
  <c r="J634" i="2"/>
  <c r="K634" i="2"/>
  <c r="L634" i="2"/>
  <c r="M634" i="2"/>
  <c r="N634" i="2"/>
  <c r="O634" i="2"/>
  <c r="F636" i="2"/>
  <c r="G636" i="2"/>
  <c r="H636" i="2"/>
  <c r="I636" i="2"/>
  <c r="J636" i="2"/>
  <c r="K636" i="2"/>
  <c r="L636" i="2"/>
  <c r="M636" i="2"/>
  <c r="N636" i="2"/>
  <c r="O636" i="2"/>
  <c r="F638" i="2"/>
  <c r="G638" i="2"/>
  <c r="H638" i="2"/>
  <c r="I638" i="2"/>
  <c r="J638" i="2"/>
  <c r="K638" i="2"/>
  <c r="L638" i="2"/>
  <c r="M638" i="2"/>
  <c r="N638" i="2"/>
  <c r="O638" i="2"/>
  <c r="F640" i="2"/>
  <c r="G640" i="2"/>
  <c r="H640" i="2"/>
  <c r="I640" i="2"/>
  <c r="J640" i="2"/>
  <c r="K640" i="2"/>
  <c r="L640" i="2"/>
  <c r="M640" i="2"/>
  <c r="N640" i="2"/>
  <c r="O640" i="2"/>
  <c r="F642" i="2"/>
  <c r="G642" i="2"/>
  <c r="H642" i="2"/>
  <c r="I642" i="2"/>
  <c r="J642" i="2"/>
  <c r="K642" i="2"/>
  <c r="L642" i="2"/>
  <c r="M642" i="2"/>
  <c r="N642" i="2"/>
  <c r="O642" i="2"/>
  <c r="F644" i="2"/>
  <c r="G644" i="2"/>
  <c r="H644" i="2"/>
  <c r="I644" i="2"/>
  <c r="J644" i="2"/>
  <c r="K644" i="2"/>
  <c r="L644" i="2"/>
  <c r="M644" i="2"/>
  <c r="N644" i="2"/>
  <c r="O644" i="2"/>
  <c r="F646" i="2"/>
  <c r="G646" i="2"/>
  <c r="H646" i="2"/>
  <c r="I646" i="2"/>
  <c r="J646" i="2"/>
  <c r="K646" i="2"/>
  <c r="L646" i="2"/>
  <c r="M646" i="2"/>
  <c r="N646" i="2"/>
  <c r="O646" i="2"/>
  <c r="F648" i="2"/>
  <c r="G648" i="2"/>
  <c r="H648" i="2"/>
  <c r="I648" i="2"/>
  <c r="J648" i="2"/>
  <c r="K648" i="2"/>
  <c r="L648" i="2"/>
  <c r="M648" i="2"/>
  <c r="N648" i="2"/>
  <c r="O648" i="2"/>
  <c r="F650" i="2"/>
  <c r="G650" i="2"/>
  <c r="H650" i="2"/>
  <c r="I650" i="2"/>
  <c r="J650" i="2"/>
  <c r="K650" i="2"/>
  <c r="L650" i="2"/>
  <c r="M650" i="2"/>
  <c r="N650" i="2"/>
  <c r="O650" i="2"/>
  <c r="F652" i="2"/>
  <c r="G652" i="2"/>
  <c r="H652" i="2"/>
  <c r="I652" i="2"/>
  <c r="J652" i="2"/>
  <c r="K652" i="2"/>
  <c r="L652" i="2"/>
  <c r="M652" i="2"/>
  <c r="N652" i="2"/>
  <c r="O652" i="2"/>
  <c r="F654" i="2"/>
  <c r="G654" i="2"/>
  <c r="H654" i="2"/>
  <c r="I654" i="2"/>
  <c r="J654" i="2"/>
  <c r="K654" i="2"/>
  <c r="L654" i="2"/>
  <c r="M654" i="2"/>
  <c r="N654" i="2"/>
  <c r="O654" i="2"/>
  <c r="F656" i="2"/>
  <c r="G656" i="2"/>
  <c r="H656" i="2"/>
  <c r="I656" i="2"/>
  <c r="J656" i="2"/>
  <c r="K656" i="2"/>
  <c r="L656" i="2"/>
  <c r="M656" i="2"/>
  <c r="N656" i="2"/>
  <c r="O656" i="2"/>
  <c r="F658" i="2"/>
  <c r="G658" i="2"/>
  <c r="H658" i="2"/>
  <c r="I658" i="2"/>
  <c r="J658" i="2"/>
  <c r="K658" i="2"/>
  <c r="L658" i="2"/>
  <c r="M658" i="2"/>
  <c r="N658" i="2"/>
  <c r="O658" i="2"/>
  <c r="F660" i="2"/>
  <c r="G660" i="2"/>
  <c r="H660" i="2"/>
  <c r="I660" i="2"/>
  <c r="J660" i="2"/>
  <c r="K660" i="2"/>
  <c r="L660" i="2"/>
  <c r="M660" i="2"/>
  <c r="N660" i="2"/>
  <c r="O660" i="2"/>
  <c r="F662" i="2"/>
  <c r="G662" i="2"/>
  <c r="H662" i="2"/>
  <c r="I662" i="2"/>
  <c r="J662" i="2"/>
  <c r="K662" i="2"/>
  <c r="L662" i="2"/>
  <c r="M662" i="2"/>
  <c r="N662" i="2"/>
  <c r="O662" i="2"/>
  <c r="F664" i="2"/>
  <c r="G664" i="2"/>
  <c r="H664" i="2"/>
  <c r="I664" i="2"/>
  <c r="J664" i="2"/>
  <c r="K664" i="2"/>
  <c r="L664" i="2"/>
  <c r="M664" i="2"/>
  <c r="N664" i="2"/>
  <c r="O664" i="2"/>
  <c r="F666" i="2"/>
  <c r="G666" i="2"/>
  <c r="H666" i="2"/>
  <c r="I666" i="2"/>
  <c r="J666" i="2"/>
  <c r="K666" i="2"/>
  <c r="L666" i="2"/>
  <c r="M666" i="2"/>
  <c r="N666" i="2"/>
  <c r="O666" i="2"/>
  <c r="F668" i="2"/>
  <c r="G668" i="2"/>
  <c r="H668" i="2"/>
  <c r="I668" i="2"/>
  <c r="J668" i="2"/>
  <c r="K668" i="2"/>
  <c r="L668" i="2"/>
  <c r="M668" i="2"/>
  <c r="N668" i="2"/>
  <c r="O668" i="2"/>
  <c r="F670" i="2"/>
  <c r="G670" i="2"/>
  <c r="H670" i="2"/>
  <c r="I670" i="2"/>
  <c r="J670" i="2"/>
  <c r="K670" i="2"/>
  <c r="L670" i="2"/>
  <c r="M670" i="2"/>
  <c r="N670" i="2"/>
  <c r="O670" i="2"/>
  <c r="F672" i="2"/>
  <c r="G672" i="2"/>
  <c r="H672" i="2"/>
  <c r="I672" i="2"/>
  <c r="J672" i="2"/>
  <c r="K672" i="2"/>
  <c r="L672" i="2"/>
  <c r="M672" i="2"/>
  <c r="N672" i="2"/>
  <c r="O672" i="2"/>
  <c r="F674" i="2"/>
  <c r="G674" i="2"/>
  <c r="H674" i="2"/>
  <c r="I674" i="2"/>
  <c r="J674" i="2"/>
  <c r="K674" i="2"/>
  <c r="L674" i="2"/>
  <c r="M674" i="2"/>
  <c r="N674" i="2"/>
  <c r="O674" i="2"/>
  <c r="F676" i="2"/>
  <c r="G676" i="2"/>
  <c r="H676" i="2"/>
  <c r="I676" i="2"/>
  <c r="J676" i="2"/>
  <c r="K676" i="2"/>
  <c r="L676" i="2"/>
  <c r="M676" i="2"/>
  <c r="N676" i="2"/>
  <c r="O676" i="2"/>
  <c r="F678" i="2"/>
  <c r="G678" i="2"/>
  <c r="H678" i="2"/>
  <c r="I678" i="2"/>
  <c r="J678" i="2"/>
  <c r="K678" i="2"/>
  <c r="L678" i="2"/>
  <c r="M678" i="2"/>
  <c r="N678" i="2"/>
  <c r="O678" i="2"/>
  <c r="F680" i="2"/>
  <c r="G680" i="2"/>
  <c r="H680" i="2"/>
  <c r="I680" i="2"/>
  <c r="J680" i="2"/>
  <c r="K680" i="2"/>
  <c r="L680" i="2"/>
  <c r="M680" i="2"/>
  <c r="N680" i="2"/>
  <c r="O680" i="2"/>
  <c r="F682" i="2"/>
  <c r="G682" i="2"/>
  <c r="H682" i="2"/>
  <c r="I682" i="2"/>
  <c r="J682" i="2"/>
  <c r="K682" i="2"/>
  <c r="L682" i="2"/>
  <c r="M682" i="2"/>
  <c r="N682" i="2"/>
  <c r="O682" i="2"/>
  <c r="F685" i="2"/>
  <c r="F684" i="2" s="1"/>
  <c r="G685" i="2"/>
  <c r="G684" i="2" s="1"/>
  <c r="H685" i="2"/>
  <c r="H684" i="2" s="1"/>
  <c r="I685" i="2"/>
  <c r="I684" i="2" s="1"/>
  <c r="J685" i="2"/>
  <c r="J684" i="2" s="1"/>
  <c r="K685" i="2"/>
  <c r="K684" i="2" s="1"/>
  <c r="L685" i="2"/>
  <c r="L684" i="2" s="1"/>
  <c r="M685" i="2"/>
  <c r="M684" i="2" s="1"/>
  <c r="N685" i="2"/>
  <c r="N684" i="2" s="1"/>
  <c r="O685" i="2"/>
  <c r="O684" i="2" s="1"/>
  <c r="F688" i="2"/>
  <c r="G688" i="2"/>
  <c r="H688" i="2"/>
  <c r="I688" i="2"/>
  <c r="J688" i="2"/>
  <c r="K688" i="2"/>
  <c r="L688" i="2"/>
  <c r="M688" i="2"/>
  <c r="N688" i="2"/>
  <c r="O688" i="2"/>
  <c r="F690" i="2"/>
  <c r="G690" i="2"/>
  <c r="H690" i="2"/>
  <c r="I690" i="2"/>
  <c r="J690" i="2"/>
  <c r="K690" i="2"/>
  <c r="L690" i="2"/>
  <c r="M690" i="2"/>
  <c r="N690" i="2"/>
  <c r="O690" i="2"/>
  <c r="F692" i="2"/>
  <c r="G692" i="2"/>
  <c r="H692" i="2"/>
  <c r="I692" i="2"/>
  <c r="J692" i="2"/>
  <c r="K692" i="2"/>
  <c r="L692" i="2"/>
  <c r="M692" i="2"/>
  <c r="N692" i="2"/>
  <c r="O692" i="2"/>
  <c r="F694" i="2"/>
  <c r="G694" i="2"/>
  <c r="H694" i="2"/>
  <c r="I694" i="2"/>
  <c r="J694" i="2"/>
  <c r="K694" i="2"/>
  <c r="L694" i="2"/>
  <c r="M694" i="2"/>
  <c r="N694" i="2"/>
  <c r="O694" i="2"/>
  <c r="F696" i="2"/>
  <c r="G696" i="2"/>
  <c r="H696" i="2"/>
  <c r="I696" i="2"/>
  <c r="J696" i="2"/>
  <c r="K696" i="2"/>
  <c r="L696" i="2"/>
  <c r="M696" i="2"/>
  <c r="N696" i="2"/>
  <c r="O696" i="2"/>
  <c r="F698" i="2"/>
  <c r="G698" i="2"/>
  <c r="H698" i="2"/>
  <c r="I698" i="2"/>
  <c r="J698" i="2"/>
  <c r="K698" i="2"/>
  <c r="L698" i="2"/>
  <c r="M698" i="2"/>
  <c r="N698" i="2"/>
  <c r="O698" i="2"/>
  <c r="F700" i="2"/>
  <c r="G700" i="2"/>
  <c r="H700" i="2"/>
  <c r="I700" i="2"/>
  <c r="J700" i="2"/>
  <c r="K700" i="2"/>
  <c r="L700" i="2"/>
  <c r="M700" i="2"/>
  <c r="N700" i="2"/>
  <c r="O700" i="2"/>
  <c r="F702" i="2"/>
  <c r="G702" i="2"/>
  <c r="H702" i="2"/>
  <c r="I702" i="2"/>
  <c r="J702" i="2"/>
  <c r="K702" i="2"/>
  <c r="L702" i="2"/>
  <c r="M702" i="2"/>
  <c r="N702" i="2"/>
  <c r="O702" i="2"/>
  <c r="F704" i="2"/>
  <c r="G704" i="2"/>
  <c r="H704" i="2"/>
  <c r="I704" i="2"/>
  <c r="J704" i="2"/>
  <c r="K704" i="2"/>
  <c r="L704" i="2"/>
  <c r="M704" i="2"/>
  <c r="N704" i="2"/>
  <c r="O704" i="2"/>
  <c r="F706" i="2"/>
  <c r="G706" i="2"/>
  <c r="H706" i="2"/>
  <c r="I706" i="2"/>
  <c r="J706" i="2"/>
  <c r="K706" i="2"/>
  <c r="L706" i="2"/>
  <c r="M706" i="2"/>
  <c r="N706" i="2"/>
  <c r="O706" i="2"/>
  <c r="F708" i="2"/>
  <c r="G708" i="2"/>
  <c r="H708" i="2"/>
  <c r="I708" i="2"/>
  <c r="J708" i="2"/>
  <c r="K708" i="2"/>
  <c r="L708" i="2"/>
  <c r="M708" i="2"/>
  <c r="N708" i="2"/>
  <c r="O708" i="2"/>
  <c r="F710" i="2"/>
  <c r="G710" i="2"/>
  <c r="H710" i="2"/>
  <c r="I710" i="2"/>
  <c r="J710" i="2"/>
  <c r="K710" i="2"/>
  <c r="L710" i="2"/>
  <c r="M710" i="2"/>
  <c r="N710" i="2"/>
  <c r="O710" i="2"/>
  <c r="F714" i="2"/>
  <c r="G714" i="2"/>
  <c r="H714" i="2"/>
  <c r="I714" i="2"/>
  <c r="I713" i="2" s="1"/>
  <c r="I712" i="2" s="1"/>
  <c r="J714" i="2"/>
  <c r="K714" i="2"/>
  <c r="L714" i="2"/>
  <c r="M714" i="2"/>
  <c r="N714" i="2"/>
  <c r="O714" i="2"/>
  <c r="F716" i="2"/>
  <c r="G716" i="2"/>
  <c r="H716" i="2"/>
  <c r="I716" i="2"/>
  <c r="J716" i="2"/>
  <c r="K716" i="2"/>
  <c r="L716" i="2"/>
  <c r="M716" i="2"/>
  <c r="N716" i="2"/>
  <c r="O716" i="2"/>
  <c r="F718" i="2"/>
  <c r="G718" i="2"/>
  <c r="H718" i="2"/>
  <c r="I718" i="2"/>
  <c r="J718" i="2"/>
  <c r="K718" i="2"/>
  <c r="L718" i="2"/>
  <c r="M718" i="2"/>
  <c r="N718" i="2"/>
  <c r="O718" i="2"/>
  <c r="F722" i="2"/>
  <c r="G722" i="2"/>
  <c r="H722" i="2"/>
  <c r="I722" i="2"/>
  <c r="J722" i="2"/>
  <c r="K722" i="2"/>
  <c r="L722" i="2"/>
  <c r="M722" i="2"/>
  <c r="N722" i="2"/>
  <c r="O722" i="2"/>
  <c r="F724" i="2"/>
  <c r="G724" i="2"/>
  <c r="H724" i="2"/>
  <c r="I724" i="2"/>
  <c r="J724" i="2"/>
  <c r="K724" i="2"/>
  <c r="L724" i="2"/>
  <c r="M724" i="2"/>
  <c r="N724" i="2"/>
  <c r="O724" i="2"/>
  <c r="F726" i="2"/>
  <c r="G726" i="2"/>
  <c r="H726" i="2"/>
  <c r="I726" i="2"/>
  <c r="J726" i="2"/>
  <c r="K726" i="2"/>
  <c r="L726" i="2"/>
  <c r="M726" i="2"/>
  <c r="N726" i="2"/>
  <c r="O726" i="2"/>
  <c r="F728" i="2"/>
  <c r="G728" i="2"/>
  <c r="H728" i="2"/>
  <c r="I728" i="2"/>
  <c r="J728" i="2"/>
  <c r="K728" i="2"/>
  <c r="L728" i="2"/>
  <c r="M728" i="2"/>
  <c r="N728" i="2"/>
  <c r="O728" i="2"/>
  <c r="F730" i="2"/>
  <c r="G730" i="2"/>
  <c r="H730" i="2"/>
  <c r="I730" i="2"/>
  <c r="J730" i="2"/>
  <c r="K730" i="2"/>
  <c r="L730" i="2"/>
  <c r="M730" i="2"/>
  <c r="N730" i="2"/>
  <c r="O730" i="2"/>
  <c r="F732" i="2"/>
  <c r="G732" i="2"/>
  <c r="H732" i="2"/>
  <c r="I732" i="2"/>
  <c r="J732" i="2"/>
  <c r="K732" i="2"/>
  <c r="L732" i="2"/>
  <c r="M732" i="2"/>
  <c r="N732" i="2"/>
  <c r="O732" i="2"/>
  <c r="F734" i="2"/>
  <c r="G734" i="2"/>
  <c r="H734" i="2"/>
  <c r="I734" i="2"/>
  <c r="J734" i="2"/>
  <c r="K734" i="2"/>
  <c r="L734" i="2"/>
  <c r="M734" i="2"/>
  <c r="N734" i="2"/>
  <c r="O734" i="2"/>
  <c r="F736" i="2"/>
  <c r="G736" i="2"/>
  <c r="H736" i="2"/>
  <c r="I736" i="2"/>
  <c r="J736" i="2"/>
  <c r="K736" i="2"/>
  <c r="L736" i="2"/>
  <c r="M736" i="2"/>
  <c r="N736" i="2"/>
  <c r="O736" i="2"/>
  <c r="F738" i="2"/>
  <c r="G738" i="2"/>
  <c r="H738" i="2"/>
  <c r="I738" i="2"/>
  <c r="J738" i="2"/>
  <c r="K738" i="2"/>
  <c r="L738" i="2"/>
  <c r="M738" i="2"/>
  <c r="N738" i="2"/>
  <c r="O738" i="2"/>
  <c r="F740" i="2"/>
  <c r="G740" i="2"/>
  <c r="H740" i="2"/>
  <c r="I740" i="2"/>
  <c r="J740" i="2"/>
  <c r="K740" i="2"/>
  <c r="L740" i="2"/>
  <c r="M740" i="2"/>
  <c r="N740" i="2"/>
  <c r="O740" i="2"/>
  <c r="F742" i="2"/>
  <c r="G742" i="2"/>
  <c r="H742" i="2"/>
  <c r="I742" i="2"/>
  <c r="J742" i="2"/>
  <c r="K742" i="2"/>
  <c r="L742" i="2"/>
  <c r="M742" i="2"/>
  <c r="N742" i="2"/>
  <c r="O742" i="2"/>
  <c r="F744" i="2"/>
  <c r="G744" i="2"/>
  <c r="H744" i="2"/>
  <c r="I744" i="2"/>
  <c r="J744" i="2"/>
  <c r="K744" i="2"/>
  <c r="L744" i="2"/>
  <c r="M744" i="2"/>
  <c r="N744" i="2"/>
  <c r="O744" i="2"/>
  <c r="F746" i="2"/>
  <c r="G746" i="2"/>
  <c r="H746" i="2"/>
  <c r="I746" i="2"/>
  <c r="J746" i="2"/>
  <c r="K746" i="2"/>
  <c r="L746" i="2"/>
  <c r="M746" i="2"/>
  <c r="N746" i="2"/>
  <c r="O746" i="2"/>
  <c r="F748" i="2"/>
  <c r="G748" i="2"/>
  <c r="H748" i="2"/>
  <c r="I748" i="2"/>
  <c r="J748" i="2"/>
  <c r="K748" i="2"/>
  <c r="L748" i="2"/>
  <c r="M748" i="2"/>
  <c r="N748" i="2"/>
  <c r="O748" i="2"/>
  <c r="F752" i="2"/>
  <c r="G752" i="2"/>
  <c r="H752" i="2"/>
  <c r="I752" i="2"/>
  <c r="J752" i="2"/>
  <c r="K752" i="2"/>
  <c r="L752" i="2"/>
  <c r="M752" i="2"/>
  <c r="N752" i="2"/>
  <c r="O752" i="2"/>
  <c r="F754" i="2"/>
  <c r="G754" i="2"/>
  <c r="H754" i="2"/>
  <c r="I754" i="2"/>
  <c r="J754" i="2"/>
  <c r="K754" i="2"/>
  <c r="L754" i="2"/>
  <c r="M754" i="2"/>
  <c r="N754" i="2"/>
  <c r="O754" i="2"/>
  <c r="F758" i="2"/>
  <c r="G758" i="2"/>
  <c r="H758" i="2"/>
  <c r="I758" i="2"/>
  <c r="J758" i="2"/>
  <c r="K758" i="2"/>
  <c r="L758" i="2"/>
  <c r="M758" i="2"/>
  <c r="N758" i="2"/>
  <c r="O758" i="2"/>
  <c r="F760" i="2"/>
  <c r="G760" i="2"/>
  <c r="H760" i="2"/>
  <c r="I760" i="2"/>
  <c r="J760" i="2"/>
  <c r="K760" i="2"/>
  <c r="L760" i="2"/>
  <c r="M760" i="2"/>
  <c r="N760" i="2"/>
  <c r="O760" i="2"/>
  <c r="F764" i="2"/>
  <c r="G764" i="2"/>
  <c r="H764" i="2"/>
  <c r="H763" i="2" s="1"/>
  <c r="H762" i="2" s="1"/>
  <c r="I764" i="2"/>
  <c r="J764" i="2"/>
  <c r="K764" i="2"/>
  <c r="L764" i="2"/>
  <c r="M764" i="2"/>
  <c r="N764" i="2"/>
  <c r="O764" i="2"/>
  <c r="F766" i="2"/>
  <c r="G766" i="2"/>
  <c r="H766" i="2"/>
  <c r="I766" i="2"/>
  <c r="J766" i="2"/>
  <c r="K766" i="2"/>
  <c r="L766" i="2"/>
  <c r="L763" i="2" s="1"/>
  <c r="L762" i="2" s="1"/>
  <c r="M766" i="2"/>
  <c r="N766" i="2"/>
  <c r="O766" i="2"/>
  <c r="C775" i="2"/>
  <c r="C787" i="2" s="1"/>
  <c r="D775" i="2"/>
  <c r="D787" i="2" s="1"/>
  <c r="E775" i="2"/>
  <c r="F775" i="2"/>
  <c r="F787" i="2" s="1"/>
  <c r="G775" i="2"/>
  <c r="G787" i="2" s="1"/>
  <c r="H775" i="2"/>
  <c r="H787" i="2" s="1"/>
  <c r="I775" i="2"/>
  <c r="I787" i="2" s="1"/>
  <c r="J775" i="2"/>
  <c r="J787" i="2" s="1"/>
  <c r="K775" i="2"/>
  <c r="K787" i="2" s="1"/>
  <c r="L775" i="2"/>
  <c r="L787" i="2" s="1"/>
  <c r="E787" i="2"/>
  <c r="I763" i="2" l="1"/>
  <c r="I762" i="2" s="1"/>
  <c r="K534" i="2"/>
  <c r="M510" i="2"/>
  <c r="N456" i="2"/>
  <c r="F456" i="2"/>
  <c r="M218" i="2"/>
  <c r="M217" i="2" s="1"/>
  <c r="O218" i="2"/>
  <c r="O217" i="2" s="1"/>
  <c r="G218" i="2"/>
  <c r="G217" i="2" s="1"/>
  <c r="I218" i="2"/>
  <c r="I217" i="2" s="1"/>
  <c r="K218" i="2"/>
  <c r="K217" i="2" s="1"/>
  <c r="O146" i="2"/>
  <c r="G146" i="2"/>
  <c r="I40" i="2"/>
  <c r="I583" i="2"/>
  <c r="F552" i="2"/>
  <c r="L552" i="2"/>
  <c r="L510" i="2"/>
  <c r="I364" i="2"/>
  <c r="I363" i="2" s="1"/>
  <c r="K364" i="2"/>
  <c r="K363" i="2" s="1"/>
  <c r="F249" i="2"/>
  <c r="F248" i="2" s="1"/>
  <c r="F206" i="2"/>
  <c r="K522" i="2"/>
  <c r="K521" i="2" s="1"/>
  <c r="I263" i="2"/>
  <c r="I262" i="2" s="1"/>
  <c r="K166" i="2"/>
  <c r="O40" i="2"/>
  <c r="G40" i="2"/>
  <c r="O583" i="2"/>
  <c r="G583" i="2"/>
  <c r="J510" i="2"/>
  <c r="K437" i="2"/>
  <c r="O364" i="2"/>
  <c r="O363" i="2" s="1"/>
  <c r="K348" i="2"/>
  <c r="L83" i="2"/>
  <c r="L82" i="2" s="1"/>
  <c r="I510" i="2"/>
  <c r="F337" i="2"/>
  <c r="K83" i="2"/>
  <c r="K82" i="2" s="1"/>
  <c r="K54" i="2"/>
  <c r="K53" i="2" s="1"/>
  <c r="N552" i="2"/>
  <c r="L515" i="2"/>
  <c r="H510" i="2"/>
  <c r="M437" i="2"/>
  <c r="H146" i="2"/>
  <c r="F110" i="2"/>
  <c r="J54" i="2"/>
  <c r="M248" i="2"/>
  <c r="O166" i="2"/>
  <c r="J763" i="2"/>
  <c r="J762" i="2" s="1"/>
  <c r="J751" i="2"/>
  <c r="J750" i="2" s="1"/>
  <c r="H713" i="2"/>
  <c r="H712" i="2" s="1"/>
  <c r="J713" i="2"/>
  <c r="J712" i="2" s="1"/>
  <c r="L713" i="2"/>
  <c r="L712" i="2" s="1"/>
  <c r="H583" i="2"/>
  <c r="L456" i="2"/>
  <c r="M348" i="2"/>
  <c r="M337" i="2"/>
  <c r="J327" i="2"/>
  <c r="G241" i="2"/>
  <c r="F218" i="2"/>
  <c r="F217" i="2" s="1"/>
  <c r="N206" i="2"/>
  <c r="N205" i="2" s="1"/>
  <c r="M166" i="2"/>
  <c r="I151" i="2"/>
  <c r="M110" i="2"/>
  <c r="M89" i="2" s="1"/>
  <c r="G73" i="2"/>
  <c r="G72" i="2" s="1"/>
  <c r="J534" i="2"/>
  <c r="O456" i="2"/>
  <c r="G456" i="2"/>
  <c r="G454" i="2" s="1"/>
  <c r="J437" i="2"/>
  <c r="F402" i="2"/>
  <c r="H364" i="2"/>
  <c r="H363" i="2" s="1"/>
  <c r="L348" i="2"/>
  <c r="K263" i="2"/>
  <c r="K262" i="2" s="1"/>
  <c r="M227" i="2"/>
  <c r="M206" i="2"/>
  <c r="M205" i="2" s="1"/>
  <c r="L166" i="2"/>
  <c r="H151" i="2"/>
  <c r="H145" i="2" s="1"/>
  <c r="J151" i="2"/>
  <c r="N146" i="2"/>
  <c r="F146" i="2"/>
  <c r="L73" i="2"/>
  <c r="L72" i="2" s="1"/>
  <c r="G182" i="2"/>
  <c r="F763" i="2"/>
  <c r="F762" i="2" s="1"/>
  <c r="F583" i="2"/>
  <c r="K515" i="2"/>
  <c r="O510" i="2"/>
  <c r="G510" i="2"/>
  <c r="H263" i="2"/>
  <c r="H262" i="2" s="1"/>
  <c r="J218" i="2"/>
  <c r="J217" i="2" s="1"/>
  <c r="F182" i="2"/>
  <c r="G151" i="2"/>
  <c r="G145" i="2" s="1"/>
  <c r="N40" i="2"/>
  <c r="F40" i="2"/>
  <c r="N763" i="2"/>
  <c r="N762" i="2" s="1"/>
  <c r="N510" i="2"/>
  <c r="F510" i="2"/>
  <c r="K470" i="2"/>
  <c r="J364" i="2"/>
  <c r="J363" i="2" s="1"/>
  <c r="L364" i="2"/>
  <c r="L363" i="2" s="1"/>
  <c r="I327" i="2"/>
  <c r="J241" i="2"/>
  <c r="N126" i="2"/>
  <c r="N125" i="2" s="1"/>
  <c r="L110" i="2"/>
  <c r="J73" i="2"/>
  <c r="J72" i="2" s="1"/>
  <c r="N713" i="2"/>
  <c r="N712" i="2" s="1"/>
  <c r="L583" i="2"/>
  <c r="G371" i="2"/>
  <c r="M353" i="2"/>
  <c r="O353" i="2"/>
  <c r="G353" i="2"/>
  <c r="K353" i="2"/>
  <c r="H327" i="2"/>
  <c r="H218" i="2"/>
  <c r="H217" i="2" s="1"/>
  <c r="K110" i="2"/>
  <c r="I73" i="2"/>
  <c r="I72" i="2" s="1"/>
  <c r="M95" i="2"/>
  <c r="K763" i="2"/>
  <c r="K762" i="2" s="1"/>
  <c r="K583" i="2"/>
  <c r="L522" i="2"/>
  <c r="L521" i="2" s="1"/>
  <c r="H515" i="2"/>
  <c r="M456" i="2"/>
  <c r="M454" i="2" s="1"/>
  <c r="N353" i="2"/>
  <c r="F353" i="2"/>
  <c r="J353" i="2"/>
  <c r="N337" i="2"/>
  <c r="O327" i="2"/>
  <c r="G327" i="2"/>
  <c r="G227" i="2"/>
  <c r="F166" i="2"/>
  <c r="N95" i="2"/>
  <c r="H73" i="2"/>
  <c r="H72" i="2" s="1"/>
  <c r="L54" i="2"/>
  <c r="L53" i="2" s="1"/>
  <c r="G166" i="2"/>
  <c r="H241" i="2"/>
  <c r="N721" i="2"/>
  <c r="N720" i="2" s="1"/>
  <c r="F721" i="2"/>
  <c r="F720" i="2" s="1"/>
  <c r="H721" i="2"/>
  <c r="H720" i="2" s="1"/>
  <c r="L721" i="2"/>
  <c r="L720" i="2" s="1"/>
  <c r="J583" i="2"/>
  <c r="I552" i="2"/>
  <c r="L534" i="2"/>
  <c r="O470" i="2"/>
  <c r="G470" i="2"/>
  <c r="O454" i="2"/>
  <c r="K456" i="2"/>
  <c r="K454" i="2" s="1"/>
  <c r="H402" i="2"/>
  <c r="N402" i="2"/>
  <c r="O371" i="2"/>
  <c r="I353" i="2"/>
  <c r="N327" i="2"/>
  <c r="F327" i="2"/>
  <c r="H277" i="2"/>
  <c r="N241" i="2"/>
  <c r="N227" i="2"/>
  <c r="F227" i="2"/>
  <c r="H182" i="2"/>
  <c r="N182" i="2"/>
  <c r="O151" i="2"/>
  <c r="O145" i="2" s="1"/>
  <c r="K151" i="2"/>
  <c r="O73" i="2"/>
  <c r="O72" i="2" s="1"/>
  <c r="M40" i="2"/>
  <c r="O721" i="2"/>
  <c r="O720" i="2" s="1"/>
  <c r="L470" i="2"/>
  <c r="I721" i="2"/>
  <c r="I720" i="2" s="1"/>
  <c r="K721" i="2"/>
  <c r="K720" i="2" s="1"/>
  <c r="M687" i="2"/>
  <c r="K687" i="2"/>
  <c r="K582" i="2" s="1"/>
  <c r="I595" i="2"/>
  <c r="I582" i="2" s="1"/>
  <c r="O595" i="2"/>
  <c r="G595" i="2"/>
  <c r="J561" i="2"/>
  <c r="M522" i="2"/>
  <c r="M521" i="2" s="1"/>
  <c r="M515" i="2"/>
  <c r="N454" i="2"/>
  <c r="F454" i="2"/>
  <c r="I437" i="2"/>
  <c r="O402" i="2"/>
  <c r="G402" i="2"/>
  <c r="N371" i="2"/>
  <c r="F371" i="2"/>
  <c r="H371" i="2"/>
  <c r="M327" i="2"/>
  <c r="I277" i="2"/>
  <c r="G263" i="2"/>
  <c r="M182" i="2"/>
  <c r="J166" i="2"/>
  <c r="L151" i="2"/>
  <c r="L146" i="2"/>
  <c r="F126" i="2"/>
  <c r="F125" i="2" s="1"/>
  <c r="L454" i="2"/>
  <c r="N166" i="2"/>
  <c r="J721" i="2"/>
  <c r="J720" i="2" s="1"/>
  <c r="L687" i="2"/>
  <c r="J687" i="2"/>
  <c r="H595" i="2"/>
  <c r="N595" i="2"/>
  <c r="F595" i="2"/>
  <c r="K561" i="2"/>
  <c r="O561" i="2"/>
  <c r="G561" i="2"/>
  <c r="K510" i="2"/>
  <c r="K469" i="2" s="1"/>
  <c r="L437" i="2"/>
  <c r="K371" i="2"/>
  <c r="J277" i="2"/>
  <c r="K227" i="2"/>
  <c r="H195" i="2"/>
  <c r="I166" i="2"/>
  <c r="I145" i="2"/>
  <c r="K146" i="2"/>
  <c r="J53" i="2"/>
  <c r="G721" i="2"/>
  <c r="G720" i="2" s="1"/>
  <c r="O751" i="2"/>
  <c r="O750" i="2" s="1"/>
  <c r="G751" i="2"/>
  <c r="G750" i="2" s="1"/>
  <c r="M751" i="2"/>
  <c r="M750" i="2" s="1"/>
  <c r="O713" i="2"/>
  <c r="O712" i="2" s="1"/>
  <c r="G713" i="2"/>
  <c r="G712" i="2" s="1"/>
  <c r="O687" i="2"/>
  <c r="G687" i="2"/>
  <c r="G582" i="2" s="1"/>
  <c r="I687" i="2"/>
  <c r="K595" i="2"/>
  <c r="M595" i="2"/>
  <c r="L561" i="2"/>
  <c r="G364" i="2"/>
  <c r="G363" i="2" s="1"/>
  <c r="J348" i="2"/>
  <c r="K327" i="2"/>
  <c r="O263" i="2"/>
  <c r="O262" i="2" s="1"/>
  <c r="L241" i="2"/>
  <c r="J227" i="2"/>
  <c r="N218" i="2"/>
  <c r="N217" i="2" s="1"/>
  <c r="O195" i="2"/>
  <c r="G195" i="2"/>
  <c r="O182" i="2"/>
  <c r="H126" i="2"/>
  <c r="H125" i="2" s="1"/>
  <c r="J83" i="2"/>
  <c r="J82" i="2" s="1"/>
  <c r="I54" i="2"/>
  <c r="I53" i="2" s="1"/>
  <c r="J40" i="2"/>
  <c r="O227" i="2"/>
  <c r="F205" i="2"/>
  <c r="M721" i="2"/>
  <c r="M720" i="2" s="1"/>
  <c r="F751" i="2"/>
  <c r="F750" i="2" s="1"/>
  <c r="H751" i="2"/>
  <c r="H750" i="2" s="1"/>
  <c r="L751" i="2"/>
  <c r="L750" i="2" s="1"/>
  <c r="F713" i="2"/>
  <c r="F712" i="2" s="1"/>
  <c r="N687" i="2"/>
  <c r="N582" i="2" s="1"/>
  <c r="F687" i="2"/>
  <c r="H687" i="2"/>
  <c r="J595" i="2"/>
  <c r="L595" i="2"/>
  <c r="M552" i="2"/>
  <c r="O552" i="2"/>
  <c r="G552" i="2"/>
  <c r="I348" i="2"/>
  <c r="L337" i="2"/>
  <c r="G249" i="2"/>
  <c r="L206" i="2"/>
  <c r="L205" i="2" s="1"/>
  <c r="M126" i="2"/>
  <c r="M125" i="2" s="1"/>
  <c r="O126" i="2"/>
  <c r="O125" i="2" s="1"/>
  <c r="G126" i="2"/>
  <c r="G125" i="2" s="1"/>
  <c r="I83" i="2"/>
  <c r="I82" i="2" s="1"/>
  <c r="N54" i="2"/>
  <c r="N53" i="2" s="1"/>
  <c r="F54" i="2"/>
  <c r="F53" i="2" s="1"/>
  <c r="H54" i="2"/>
  <c r="H53" i="2" s="1"/>
  <c r="O241" i="2"/>
  <c r="N751" i="2"/>
  <c r="N750" i="2" s="1"/>
  <c r="M763" i="2"/>
  <c r="M762" i="2" s="1"/>
  <c r="O763" i="2"/>
  <c r="O762" i="2" s="1"/>
  <c r="G763" i="2"/>
  <c r="G762" i="2" s="1"/>
  <c r="I751" i="2"/>
  <c r="I750" i="2" s="1"/>
  <c r="K751" i="2"/>
  <c r="K750" i="2" s="1"/>
  <c r="K713" i="2"/>
  <c r="K712" i="2" s="1"/>
  <c r="M713" i="2"/>
  <c r="M712" i="2" s="1"/>
  <c r="M583" i="2"/>
  <c r="O522" i="2"/>
  <c r="O521" i="2" s="1"/>
  <c r="G522" i="2"/>
  <c r="G521" i="2" s="1"/>
  <c r="I522" i="2"/>
  <c r="I521" i="2" s="1"/>
  <c r="O515" i="2"/>
  <c r="G515" i="2"/>
  <c r="I515" i="2"/>
  <c r="J470" i="2"/>
  <c r="J469" i="2" s="1"/>
  <c r="L353" i="2"/>
  <c r="H348" i="2"/>
  <c r="I337" i="2"/>
  <c r="K337" i="2"/>
  <c r="N249" i="2"/>
  <c r="N248" i="2" s="1"/>
  <c r="I241" i="2"/>
  <c r="K206" i="2"/>
  <c r="K205" i="2" s="1"/>
  <c r="N110" i="2"/>
  <c r="H110" i="2"/>
  <c r="J110" i="2"/>
  <c r="K95" i="2"/>
  <c r="N83" i="2"/>
  <c r="N82" i="2" s="1"/>
  <c r="F83" i="2"/>
  <c r="F82" i="2" s="1"/>
  <c r="H83" i="2"/>
  <c r="H82" i="2" s="1"/>
  <c r="M54" i="2"/>
  <c r="M53" i="2" s="1"/>
  <c r="O54" i="2"/>
  <c r="O53" i="2" s="1"/>
  <c r="G54" i="2"/>
  <c r="G53" i="2" s="1"/>
  <c r="H534" i="2"/>
  <c r="F470" i="2"/>
  <c r="H166" i="2"/>
  <c r="H561" i="2"/>
  <c r="F534" i="2"/>
  <c r="I249" i="2"/>
  <c r="I248" i="2" s="1"/>
  <c r="I240" i="2" s="1"/>
  <c r="F11" i="2"/>
  <c r="M534" i="2"/>
  <c r="I456" i="2"/>
  <c r="I454" i="2" s="1"/>
  <c r="O348" i="2"/>
  <c r="G348" i="2"/>
  <c r="N277" i="2"/>
  <c r="F277" i="2"/>
  <c r="J126" i="2"/>
  <c r="J125" i="2" s="1"/>
  <c r="L126" i="2"/>
  <c r="L125" i="2" s="1"/>
  <c r="O110" i="2"/>
  <c r="G110" i="2"/>
  <c r="I110" i="2"/>
  <c r="F95" i="2"/>
  <c r="I11" i="2"/>
  <c r="I10" i="2" s="1"/>
  <c r="I9" i="2" s="1"/>
  <c r="J371" i="2"/>
  <c r="L327" i="2"/>
  <c r="G262" i="2"/>
  <c r="H11" i="2"/>
  <c r="H10" i="2" s="1"/>
  <c r="H9" i="2" s="1"/>
  <c r="K552" i="2"/>
  <c r="H522" i="2"/>
  <c r="H521" i="2" s="1"/>
  <c r="N437" i="2"/>
  <c r="F437" i="2"/>
  <c r="F370" i="2" s="1"/>
  <c r="H437" i="2"/>
  <c r="I402" i="2"/>
  <c r="M402" i="2"/>
  <c r="N348" i="2"/>
  <c r="F348" i="2"/>
  <c r="J337" i="2"/>
  <c r="M277" i="2"/>
  <c r="F241" i="2"/>
  <c r="I227" i="2"/>
  <c r="I126" i="2"/>
  <c r="I125" i="2" s="1"/>
  <c r="K126" i="2"/>
  <c r="K125" i="2" s="1"/>
  <c r="N11" i="2"/>
  <c r="M561" i="2"/>
  <c r="H552" i="2"/>
  <c r="J552" i="2"/>
  <c r="O437" i="2"/>
  <c r="G437" i="2"/>
  <c r="L402" i="2"/>
  <c r="N364" i="2"/>
  <c r="N363" i="2" s="1"/>
  <c r="F364" i="2"/>
  <c r="F363" i="2" s="1"/>
  <c r="L277" i="2"/>
  <c r="H470" i="2"/>
  <c r="L371" i="2"/>
  <c r="I561" i="2"/>
  <c r="H248" i="2"/>
  <c r="N561" i="2"/>
  <c r="N470" i="2"/>
  <c r="N469" i="2" s="1"/>
  <c r="H456" i="2"/>
  <c r="H454" i="2" s="1"/>
  <c r="H353" i="2"/>
  <c r="O277" i="2"/>
  <c r="L11" i="2"/>
  <c r="N522" i="2"/>
  <c r="N521" i="2" s="1"/>
  <c r="K402" i="2"/>
  <c r="K370" i="2" s="1"/>
  <c r="M364" i="2"/>
  <c r="M363" i="2" s="1"/>
  <c r="H337" i="2"/>
  <c r="K277" i="2"/>
  <c r="G248" i="2"/>
  <c r="K241" i="2"/>
  <c r="J195" i="2"/>
  <c r="N195" i="2"/>
  <c r="F195" i="2"/>
  <c r="O83" i="2"/>
  <c r="O82" i="2" s="1"/>
  <c r="G83" i="2"/>
  <c r="G82" i="2" s="1"/>
  <c r="J11" i="2"/>
  <c r="J10" i="2" s="1"/>
  <c r="L95" i="2"/>
  <c r="L89" i="2" s="1"/>
  <c r="F561" i="2"/>
  <c r="N534" i="2"/>
  <c r="J456" i="2"/>
  <c r="J454" i="2" s="1"/>
  <c r="G277" i="2"/>
  <c r="O534" i="2"/>
  <c r="O533" i="2" s="1"/>
  <c r="G534" i="2"/>
  <c r="I534" i="2"/>
  <c r="M470" i="2"/>
  <c r="M469" i="2" s="1"/>
  <c r="I470" i="2"/>
  <c r="J402" i="2"/>
  <c r="I371" i="2"/>
  <c r="M371" i="2"/>
  <c r="O337" i="2"/>
  <c r="G337" i="2"/>
  <c r="I195" i="2"/>
  <c r="J249" i="2"/>
  <c r="J248" i="2" s="1"/>
  <c r="L249" i="2"/>
  <c r="L248" i="2" s="1"/>
  <c r="J206" i="2"/>
  <c r="J205" i="2" s="1"/>
  <c r="K195" i="2"/>
  <c r="M195" i="2"/>
  <c r="J146" i="2"/>
  <c r="J145" i="2" s="1"/>
  <c r="K11" i="2"/>
  <c r="M11" i="2"/>
  <c r="O11" i="2"/>
  <c r="O10" i="2" s="1"/>
  <c r="G11" i="2"/>
  <c r="G10" i="2" s="1"/>
  <c r="K249" i="2"/>
  <c r="K248" i="2" s="1"/>
  <c r="O206" i="2"/>
  <c r="O205" i="2" s="1"/>
  <c r="G206" i="2"/>
  <c r="G205" i="2" s="1"/>
  <c r="I206" i="2"/>
  <c r="I205" i="2" s="1"/>
  <c r="L195" i="2"/>
  <c r="H95" i="2"/>
  <c r="J95" i="2"/>
  <c r="H227" i="2"/>
  <c r="H206" i="2"/>
  <c r="H205" i="2" s="1"/>
  <c r="L182" i="2"/>
  <c r="O95" i="2"/>
  <c r="G95" i="2"/>
  <c r="I95" i="2"/>
  <c r="I89" i="2" s="1"/>
  <c r="N73" i="2"/>
  <c r="N72" i="2" s="1"/>
  <c r="F73" i="2"/>
  <c r="F72" i="2" s="1"/>
  <c r="L263" i="2"/>
  <c r="L262" i="2" s="1"/>
  <c r="N263" i="2"/>
  <c r="N262" i="2" s="1"/>
  <c r="F263" i="2"/>
  <c r="F262" i="2" s="1"/>
  <c r="I182" i="2"/>
  <c r="K182" i="2"/>
  <c r="N151" i="2"/>
  <c r="N145" i="2" s="1"/>
  <c r="F151" i="2"/>
  <c r="M73" i="2"/>
  <c r="M72" i="2" s="1"/>
  <c r="L40" i="2"/>
  <c r="M263" i="2"/>
  <c r="M262" i="2" s="1"/>
  <c r="M240" i="2" s="1"/>
  <c r="L218" i="2"/>
  <c r="L217" i="2" s="1"/>
  <c r="J182" i="2"/>
  <c r="M151" i="2"/>
  <c r="M145" i="2" s="1"/>
  <c r="F89" i="2"/>
  <c r="K40" i="2"/>
  <c r="G181" i="2" l="1"/>
  <c r="O582" i="2"/>
  <c r="M370" i="2"/>
  <c r="J533" i="2"/>
  <c r="J532" i="2" s="1"/>
  <c r="F240" i="2"/>
  <c r="F181" i="2"/>
  <c r="F88" i="2" s="1"/>
  <c r="H469" i="2"/>
  <c r="N240" i="2"/>
  <c r="F145" i="2"/>
  <c r="H89" i="2"/>
  <c r="M10" i="2"/>
  <c r="G240" i="2"/>
  <c r="F469" i="2"/>
  <c r="F369" i="2" s="1"/>
  <c r="L145" i="2"/>
  <c r="L88" i="2" s="1"/>
  <c r="J240" i="2"/>
  <c r="L582" i="2"/>
  <c r="K89" i="2"/>
  <c r="K88" i="2" s="1"/>
  <c r="J276" i="2"/>
  <c r="J275" i="2" s="1"/>
  <c r="N89" i="2"/>
  <c r="K181" i="2"/>
  <c r="O240" i="2"/>
  <c r="L469" i="2"/>
  <c r="J582" i="2"/>
  <c r="O9" i="2"/>
  <c r="G370" i="2"/>
  <c r="L370" i="2"/>
  <c r="O370" i="2"/>
  <c r="F10" i="2"/>
  <c r="F9" i="2" s="1"/>
  <c r="I469" i="2"/>
  <c r="K240" i="2"/>
  <c r="H370" i="2"/>
  <c r="M582" i="2"/>
  <c r="G89" i="2"/>
  <c r="F582" i="2"/>
  <c r="G469" i="2"/>
  <c r="O89" i="2"/>
  <c r="M181" i="2"/>
  <c r="I533" i="2"/>
  <c r="J9" i="2"/>
  <c r="K276" i="2"/>
  <c r="K275" i="2" s="1"/>
  <c r="N370" i="2"/>
  <c r="O469" i="2"/>
  <c r="K369" i="2"/>
  <c r="L181" i="2"/>
  <c r="N10" i="2"/>
  <c r="N9" i="2" s="1"/>
  <c r="H582" i="2"/>
  <c r="H369" i="2"/>
  <c r="G533" i="2"/>
  <c r="G532" i="2" s="1"/>
  <c r="L276" i="2"/>
  <c r="L275" i="2" s="1"/>
  <c r="M276" i="2"/>
  <c r="N369" i="2"/>
  <c r="H181" i="2"/>
  <c r="H88" i="2" s="1"/>
  <c r="L533" i="2"/>
  <c r="I181" i="2"/>
  <c r="G9" i="2"/>
  <c r="O532" i="2"/>
  <c r="H276" i="2"/>
  <c r="H275" i="2" s="1"/>
  <c r="I532" i="2"/>
  <c r="J89" i="2"/>
  <c r="K533" i="2"/>
  <c r="K532" i="2" s="1"/>
  <c r="K145" i="2"/>
  <c r="I370" i="2"/>
  <c r="I369" i="2" s="1"/>
  <c r="H240" i="2"/>
  <c r="O181" i="2"/>
  <c r="J181" i="2"/>
  <c r="N533" i="2"/>
  <c r="N532" i="2" s="1"/>
  <c r="N181" i="2"/>
  <c r="N88" i="2" s="1"/>
  <c r="H533" i="2"/>
  <c r="I276" i="2"/>
  <c r="I275" i="2" s="1"/>
  <c r="M275" i="2"/>
  <c r="J370" i="2"/>
  <c r="J369" i="2" s="1"/>
  <c r="L10" i="2"/>
  <c r="L9" i="2" s="1"/>
  <c r="M88" i="2"/>
  <c r="M533" i="2"/>
  <c r="M532" i="2" s="1"/>
  <c r="L240" i="2"/>
  <c r="O276" i="2"/>
  <c r="O275" i="2" s="1"/>
  <c r="M9" i="2"/>
  <c r="M369" i="2"/>
  <c r="G276" i="2"/>
  <c r="G275" i="2" s="1"/>
  <c r="F276" i="2"/>
  <c r="F275" i="2" s="1"/>
  <c r="F533" i="2"/>
  <c r="I88" i="2"/>
  <c r="K10" i="2"/>
  <c r="K9" i="2" s="1"/>
  <c r="N276" i="2"/>
  <c r="N275" i="2" s="1"/>
  <c r="H532" i="2" l="1"/>
  <c r="L532" i="2"/>
  <c r="O88" i="2"/>
  <c r="G369" i="2"/>
  <c r="G88" i="2"/>
  <c r="L369" i="2"/>
  <c r="J88" i="2"/>
  <c r="O369" i="2"/>
  <c r="F532" i="2"/>
</calcChain>
</file>

<file path=xl/sharedStrings.xml><?xml version="1.0" encoding="utf-8"?>
<sst xmlns="http://schemas.openxmlformats.org/spreadsheetml/2006/main" count="4012" uniqueCount="1979">
  <si>
    <t>Šakių rajono savivaldybės administracijos 2024 metų veiklos planas</t>
  </si>
  <si>
    <t>Kodas</t>
  </si>
  <si>
    <t>Šakių rajono savivaldybės administracijos 2024 m. metinis veiklos planas</t>
  </si>
  <si>
    <t>Vykdytojas</t>
  </si>
  <si>
    <t>Atsakingas (-i) asmuo (-ys)</t>
  </si>
  <si>
    <t>Papildomas (-i) požymis (-iai)</t>
  </si>
  <si>
    <t>Lėšos biudžetiniams metams</t>
  </si>
  <si>
    <t>Finansavimo lėšos</t>
  </si>
  <si>
    <t>Poveikio /Rezultato /Produkto /Veiklos efektyvumo</t>
  </si>
  <si>
    <t>SB</t>
  </si>
  <si>
    <t>SB (PĮ; KTP)</t>
  </si>
  <si>
    <t>SB (AA)</t>
  </si>
  <si>
    <t>SB (VB D)</t>
  </si>
  <si>
    <t>SP</t>
  </si>
  <si>
    <t>ES</t>
  </si>
  <si>
    <t>VB</t>
  </si>
  <si>
    <t>VIP</t>
  </si>
  <si>
    <t>KT</t>
  </si>
  <si>
    <t>Rodiklis</t>
  </si>
  <si>
    <t>Mato vnt.</t>
  </si>
  <si>
    <t>Planas</t>
  </si>
  <si>
    <t>2024</t>
  </si>
  <si>
    <t>01</t>
  </si>
  <si>
    <t>Mokymosi visą gyvenimą, jaunimo ir sporto programa</t>
  </si>
  <si>
    <t>Švietimo, kultūros ir sporto skyrius</t>
  </si>
  <si>
    <t>Darius Aštrauskas; Ingrida Kasparavičienė</t>
  </si>
  <si>
    <t>01.01.</t>
  </si>
  <si>
    <t>Tikslas. Švietimo kokybės gerinimas</t>
  </si>
  <si>
    <t>Darius Aštrauskas</t>
  </si>
  <si>
    <t>Visuomenės pasitenkinimas teikiamomis švietimo paslaugomis, procentais</t>
  </si>
  <si>
    <t>proc.</t>
  </si>
  <si>
    <t>100,00</t>
  </si>
  <si>
    <t>01.01.01</t>
  </si>
  <si>
    <t>Uždavinys. Kompleksiškai modernizuoti, renovuoti švietimo įstaigų mokymo (si) ir ugdymo (si) aplinką ir materialinę bazę (vaikų ir jaunimo ugdymo organizavimas)</t>
  </si>
  <si>
    <t>T</t>
  </si>
  <si>
    <t>Modernizuotų švietimo įstaigų skaičius</t>
  </si>
  <si>
    <t>vnt.</t>
  </si>
  <si>
    <t>2,00</t>
  </si>
  <si>
    <t>01.01.01.01.</t>
  </si>
  <si>
    <t>Priemonė. Atnaujinti įrangą brandos egzaminų vykdymui švietimo įstaigose</t>
  </si>
  <si>
    <t>Gintaras  Demenius</t>
  </si>
  <si>
    <t>TP</t>
  </si>
  <si>
    <t>Gaunamų iš Švietimo ir mokslo ministerijos priemonių skaičius</t>
  </si>
  <si>
    <t>01.01.01.01.01</t>
  </si>
  <si>
    <t>Veikla: Įsigyti įrangą brandos egzaminų vykdymui</t>
  </si>
  <si>
    <t>01.01.01.03</t>
  </si>
  <si>
    <t>Priemonė. Mokymo reikmėms skirtų lėšų naudojimo programa valdoma administracijoje</t>
  </si>
  <si>
    <t>Administracines lėšas naudojančių įstaigų skaičius</t>
  </si>
  <si>
    <t>1,00</t>
  </si>
  <si>
    <t>01.01.01.03.01</t>
  </si>
  <si>
    <t>Veikla: Paskirstyti mokinio krepšelio lėšas mokinio reikmėms tenkinti.</t>
  </si>
  <si>
    <t>01.01.01.05.</t>
  </si>
  <si>
    <t>Priemonė. Mokinių pavėžėjimo programa</t>
  </si>
  <si>
    <t>Mokinių, pavežamų maršrutiniu transportu, skaičius</t>
  </si>
  <si>
    <t>325,00</t>
  </si>
  <si>
    <t>01.01.01.05.01</t>
  </si>
  <si>
    <t>Veikla: Skirti lėšas atsiskaitymui su vežėjais už mokinių pavėžėjimą</t>
  </si>
  <si>
    <t>01.01.01.08.</t>
  </si>
  <si>
    <t>Priemonė. Renginių (olimpiadų, konkursų, viktorinų, peržiūrų, švenčių, festivalių, vasaros poilsio) organizavimo, mokinių ir darbuotojų skatinimo programos</t>
  </si>
  <si>
    <t>Organizuojamų renginių skaičius</t>
  </si>
  <si>
    <t>50,00</t>
  </si>
  <si>
    <t>Premija apdovanotų mokytojų skaičius</t>
  </si>
  <si>
    <t>4,00</t>
  </si>
  <si>
    <t>Skirtų premijų šimtukininkams ir mokiniams už aukštus mokymosi rezultatus skaičius</t>
  </si>
  <si>
    <t>9,00</t>
  </si>
  <si>
    <t>01.01.01.08.01.</t>
  </si>
  <si>
    <t>Veikla:  Įgyvendinti renginių (olimpiadų, konkursų, viktorinų, peržiūrų, švenčių, festivalių, vasaros poilsio) organizavimo, mokinių ir darbuotojų skatinimo programą</t>
  </si>
  <si>
    <t>01.01.01.11.</t>
  </si>
  <si>
    <t>Priemonė: Vaikų vasaros stovyklų programa</t>
  </si>
  <si>
    <t>BĮ Šakių rajono savivaldybės viešoji biblioteka; BĮ Zanavykų muziejus; BĮ Šakių kultūros centras; Šakių rajono jaunimo kūrybos ir sporto centras</t>
  </si>
  <si>
    <t>Gintaras  Demenius; Ingrida Kasparavičienė</t>
  </si>
  <si>
    <t>Mokiniams organizuotų stovyklų skaičius</t>
  </si>
  <si>
    <t>13,00</t>
  </si>
  <si>
    <t>01.01.01.11.01</t>
  </si>
  <si>
    <t>Veikla. Skirti lėšas vaikų vasaros stovykloms organizuoti</t>
  </si>
  <si>
    <t>01.01.01.14</t>
  </si>
  <si>
    <t>Priemonė: Kokybės krepšelio lėšos</t>
  </si>
  <si>
    <t>Kokybės krepšelį naudojančių įstaigų skaičius</t>
  </si>
  <si>
    <t>01.01.01.14.02</t>
  </si>
  <si>
    <t>Veikla. Įsigyti naujų mokymo priemonių</t>
  </si>
  <si>
    <t>01.01.01.18</t>
  </si>
  <si>
    <t>Priemonė. Įsteigti švietimo pagalbos specialistų pareigybes</t>
  </si>
  <si>
    <t>Švietimo įstaigų, kurioms skirti švietimo pagalbos specialistai, etatai</t>
  </si>
  <si>
    <t>01.01.01.18.01</t>
  </si>
  <si>
    <t>Veikla. Skirti lėšas naujoms švietimo pagalbos specialistų pareigybėms</t>
  </si>
  <si>
    <t>01.01.01.22.</t>
  </si>
  <si>
    <t>Priemonė. Mokinius vežančių Griškabūdžio seniūnijos autobusų išlaikymo programa</t>
  </si>
  <si>
    <t>Griškabūdžio seniūnija</t>
  </si>
  <si>
    <t>Mokinių, pavežamų seniūnijos autobusu, skaičius</t>
  </si>
  <si>
    <t>19,00</t>
  </si>
  <si>
    <t>01.01.01.22.01</t>
  </si>
  <si>
    <t>Veikla. Pavėžėti mokinius seniūnijos autobusu</t>
  </si>
  <si>
    <t>01.01.01.23.</t>
  </si>
  <si>
    <t>Priemonė. Mokinius vežančių Kriūkų seniūnijos autobusų išlaikymo programa</t>
  </si>
  <si>
    <t>Kriūkų seniūnija</t>
  </si>
  <si>
    <t>12,00</t>
  </si>
  <si>
    <t>01.01.01.23.01</t>
  </si>
  <si>
    <t>01.01.01.24.</t>
  </si>
  <si>
    <t>Priemonė. Mokinius vežančių Kudirkos Naumiesčio seniūnijos autobusų išlaikymo programa</t>
  </si>
  <si>
    <t>Kudirkos Naumiesčio seniūnija</t>
  </si>
  <si>
    <t>40,00</t>
  </si>
  <si>
    <t>01.01.01.24.01</t>
  </si>
  <si>
    <t>01.01.01.25.</t>
  </si>
  <si>
    <t>Priemonė. Mokinius vežančių Lekėčių seniūnijos autobusų išlaikymo programa</t>
  </si>
  <si>
    <t>Lekėčių seniūnija</t>
  </si>
  <si>
    <t>24,00</t>
  </si>
  <si>
    <t>01.01.01.25.01</t>
  </si>
  <si>
    <t>01.01.01.27.</t>
  </si>
  <si>
    <t>Priemonė. Dalyvauti elektroninio mokinio pažymėjimo programoje</t>
  </si>
  <si>
    <t>Programoje dalyvaujančių švietimo įstaigų skaičius</t>
  </si>
  <si>
    <t>01.01.01.27.01</t>
  </si>
  <si>
    <t>Veikla. Įsigyti elektronius mokinio pažymėjmus rajono mokiniams</t>
  </si>
  <si>
    <t>01.01.01.28.</t>
  </si>
  <si>
    <t>Priemonė. Įgyvendinti STEAM programą</t>
  </si>
  <si>
    <t>Projekte dalyvaujančių įstaigų skaičius</t>
  </si>
  <si>
    <t>11,00</t>
  </si>
  <si>
    <t>01.01.01.28.01</t>
  </si>
  <si>
    <t>Veikla. Skirti lėšas projekto įgyvendinimui</t>
  </si>
  <si>
    <t>01.01.02.</t>
  </si>
  <si>
    <t>Uždavinys. Tobulinti pedagoginio personalo klvalifikacijos kėlimą ir persikvalifikavimo galimybes.</t>
  </si>
  <si>
    <t>Pakėlusių kvalifikaciją pedagogų skaičius</t>
  </si>
  <si>
    <t>120,00</t>
  </si>
  <si>
    <t>01.01.02.01.</t>
  </si>
  <si>
    <t>Priemonė. Organizuoti kvalifikacijos kėlimo kursus švietimo įstaigų vadovams, pavaduotojams, dakykų mokytojams, mokytojams, dirbantiems neformaliojo švietimo srityje</t>
  </si>
  <si>
    <t>Suorganizuotų kvalifikacijos kėlimo kursų skaičius</t>
  </si>
  <si>
    <t>01.01.02.01.01</t>
  </si>
  <si>
    <t>Veikla:  Suorganizuoti kvalifikacijos kėlimo kursus, švietimo įstaigų vadovams, pavaduotojams, mokytojams</t>
  </si>
  <si>
    <t>01.01.02.02.</t>
  </si>
  <si>
    <t>Priemonė. Mokytojų perkvalifikavimo programa</t>
  </si>
  <si>
    <t>Perkvalifikuojamų specialistų skaičius</t>
  </si>
  <si>
    <t>01.01.02.02.01</t>
  </si>
  <si>
    <t>Veikla: Sudaryti persikvalifikavimo galimybes mokytojams</t>
  </si>
  <si>
    <t>01.03.</t>
  </si>
  <si>
    <t>Tikslas. Suaugusiųjų mokymo (si) sistemos, sąlygų ir paskatų plėtojimas</t>
  </si>
  <si>
    <t>Besimokančių suaugusiųjų žmonių dalis procentais</t>
  </si>
  <si>
    <t>90,00</t>
  </si>
  <si>
    <t>01.03.02.</t>
  </si>
  <si>
    <t>Uždavinys. Didinti neformaliojo švietimo prieinamumą ir galimybes</t>
  </si>
  <si>
    <t>Programų skaičius</t>
  </si>
  <si>
    <t>01.03.02.03.</t>
  </si>
  <si>
    <t>Priemonė. Vykdyti neformaliojo suaugusiųjų švietimo ir tęstinio mokymosi 2022–2025 m. veiksmų planą</t>
  </si>
  <si>
    <t>Ingrida Kasparavičienė</t>
  </si>
  <si>
    <t>Projektų skaičius</t>
  </si>
  <si>
    <t>01.03.02.03.01</t>
  </si>
  <si>
    <t>Veikla: Įgyvendinti projektus pagal neformaliojo suaugusiųjų švietimo veiksmų planą</t>
  </si>
  <si>
    <t>01.04.</t>
  </si>
  <si>
    <t>Tikslas. Sveiko gyvenimo būdo ir sporto propogavimas</t>
  </si>
  <si>
    <t>Besilaikančiųjų sveiko gyvenimo būdo dalis</t>
  </si>
  <si>
    <t>67,00</t>
  </si>
  <si>
    <t>01.04.01.</t>
  </si>
  <si>
    <t>Uždavinys. Skatinti sporto klubų ir masinių sportinių renginių veiklas</t>
  </si>
  <si>
    <t>184,00</t>
  </si>
  <si>
    <t>01.04.01.01.</t>
  </si>
  <si>
    <t>Priemonė. VšĮ Šakių krepšinio klubo finansavimo programa</t>
  </si>
  <si>
    <t>NKL varžybų skaičius</t>
  </si>
  <si>
    <t>01.04.01.01.01</t>
  </si>
  <si>
    <t>Veikla:  Vykdyti VšĮ Šakių krepšinio klubo finansavimo programą</t>
  </si>
  <si>
    <t>01.05.</t>
  </si>
  <si>
    <t>Tikslas. Jaunimo politikos įgyvendinimas</t>
  </si>
  <si>
    <t>Jaunimo reikalų koordinatorė</t>
  </si>
  <si>
    <t>Danutė Jurgutienė</t>
  </si>
  <si>
    <t>Jaunimo iniciatyvų projektuose ir savanorystės programose dalyvaujančio jaunimo dalis</t>
  </si>
  <si>
    <t>10,00</t>
  </si>
  <si>
    <t>01.05.01.</t>
  </si>
  <si>
    <t>Uždavinys. Skatinti ir palaikyti jaunimo iniciatyvas.</t>
  </si>
  <si>
    <t>01.05.01.01</t>
  </si>
  <si>
    <t>Priemonė. Skatinti ir palaikyti jaunimo iniciatyvas</t>
  </si>
  <si>
    <t>Projektų, skirtų jaunimo iniciatyvų skatinimui, jaunimo mokymams ir gerosios patirties sklaidai, skaičius</t>
  </si>
  <si>
    <t>15,00</t>
  </si>
  <si>
    <t>Jaunimui skirtų premijų skaičius</t>
  </si>
  <si>
    <t>8,00</t>
  </si>
  <si>
    <t>01.05.01.01.01</t>
  </si>
  <si>
    <t>Veikla:  Skatinti jaunimo organizacijų, neformalių jaunimo grupių ir organizacijų, dirbančių su jaunimu, patirties mainų, mokymų, seminarų organizavimą ir kitas iniciatyvas.</t>
  </si>
  <si>
    <t>01.05.01.02.</t>
  </si>
  <si>
    <t>Priemonė. Skirti socialines stipendijas jaunimui</t>
  </si>
  <si>
    <t>Skirtų socialinių stipendijų jaunimui skaičius</t>
  </si>
  <si>
    <t>01.05.01.02.01</t>
  </si>
  <si>
    <t>Veikla:  Remti gabius jaunuolius, neturinčius galimybių studijuoti dėl materialinių sunkumų, skiriant jiems socialines stipendijas.</t>
  </si>
  <si>
    <t>01.05.02.</t>
  </si>
  <si>
    <t>Uždavinys. Teikti atvirojo darbo su jaunimu bei mobiliojo darbo su jaunimu paslaugas</t>
  </si>
  <si>
    <t>Teikiamų paslaugų skaičius</t>
  </si>
  <si>
    <t>01.05.02.01.</t>
  </si>
  <si>
    <t>Priemonė. Užtikrinti atvirojo darbo su jaunimu ir mobiliojo darbo su jaunimu teikiamų paslaugų įvairovę ir kokybę</t>
  </si>
  <si>
    <t>BĮ Šakių rajono savivaldybės viešoji biblioteka; BĮ Šakių kultūros centras; BĮ Socialinių paslaugų centras</t>
  </si>
  <si>
    <t>Komandų, vykdančių mobilųjį darbą su jaunimu</t>
  </si>
  <si>
    <t>Vietovių, kuriose vykdomas mobilusis darbas su jaunimu</t>
  </si>
  <si>
    <t>3,00</t>
  </si>
  <si>
    <t>Veikiančių atvirųjų jaunimo erdvių skaičius</t>
  </si>
  <si>
    <t>Veikiančių atvirųjų jaunimo centrų skaičius</t>
  </si>
  <si>
    <t>01.05.02.01.01</t>
  </si>
  <si>
    <t>Veikla: Teikti atvirojo darbo su jaunimu ir mobiliojo darbo su jaunimu paslaugas</t>
  </si>
  <si>
    <t>01.06.</t>
  </si>
  <si>
    <t>Tikslas. Socialinių paslaugų aprėpties didinimas.</t>
  </si>
  <si>
    <t>Tarpinstitucinio bendradarbiavimo koordinatorius</t>
  </si>
  <si>
    <t>Aušra Pavydienė</t>
  </si>
  <si>
    <t>Naujai  gavusių socialines paslaugas asmenų skaičius</t>
  </si>
  <si>
    <t>01.06.01.</t>
  </si>
  <si>
    <t>Uždavinys. Vykdyti tarpinstitucinį bendradarbiavimą teikiant koordinuotą pagalbą vaikui ir šeimai</t>
  </si>
  <si>
    <t>Gavusių koordinuotą pagalbą šeimų skaičius</t>
  </si>
  <si>
    <t>01.06.01.01.</t>
  </si>
  <si>
    <t>Priemonė. Teikti koordinuotą pagalbą vaikui ir šeimai</t>
  </si>
  <si>
    <t>TN</t>
  </si>
  <si>
    <t>Šeimų, gavusių koordinuotai teikiamas paslaugas, skaičius</t>
  </si>
  <si>
    <t>20,00</t>
  </si>
  <si>
    <t>Vaikų, gavusių paskirtas minimalios ar vidutinės priežiūros priemones, skaičius</t>
  </si>
  <si>
    <t>Vaikų, gavusių paskirtą privalomą ikimokyklinį ugdymą, skaičius</t>
  </si>
  <si>
    <t>01.06.01.01.01</t>
  </si>
  <si>
    <t>Veikla: Vykdyti tarpinstitucinį bendradarbiavimą teikiant pagalbą, paslaugas vaikui ir šeimai</t>
  </si>
  <si>
    <t>01.07.</t>
  </si>
  <si>
    <t>Tikslas. Efektyvaus viešojo valdymo sistemos sukūrimas.</t>
  </si>
  <si>
    <t>Įdiegtų  išmaniųjų sistemų aprėptis procentais</t>
  </si>
  <si>
    <t>01.07.01.</t>
  </si>
  <si>
    <t>Uždavinys.Sukurti aukšta kvalifikacija ir darbo rezultatais paremtą darbuotojų skatinimo programą</t>
  </si>
  <si>
    <t>Švietimo, kultūros ir sporto skyrius; Jaunimo reikalų koordinatorė</t>
  </si>
  <si>
    <t>Kvalifikuotų specialistų skaičius</t>
  </si>
  <si>
    <t>01.07.01.01.</t>
  </si>
  <si>
    <t>Priemonė. Vykdyti Šakių rajono savivaldybėje biudžetinių ir viešųjų įstaigų specialistų pritraukimą ir kvalifikacijos tobulinimą</t>
  </si>
  <si>
    <t>Parengtų ir pritrauktų specialistų skaičius</t>
  </si>
  <si>
    <t>01.07.01.01.01</t>
  </si>
  <si>
    <t>Veikla: Organizuoti specialistų pritraukimą ir kvalifikacijos tobulinimą</t>
  </si>
  <si>
    <t>01.07.01.02.</t>
  </si>
  <si>
    <t>Priemonė. Iš dalies kompensuoti kelionės išlaidas pedagogams</t>
  </si>
  <si>
    <t>Kompensaciją gavusių pedagogų skaičius</t>
  </si>
  <si>
    <t>162,00</t>
  </si>
  <si>
    <t>01.07.01.02.01</t>
  </si>
  <si>
    <t>Veikla. Skirti lėšas pedagogų kelionės išlaidų kompensavimui</t>
  </si>
  <si>
    <t>01.08.</t>
  </si>
  <si>
    <t>Tikslas. Švietimo įtraukties ir veiksmingumo didinimas, siekiant atitikties asmens ir visuomenės poreikiams.</t>
  </si>
  <si>
    <t>Aukštąjį išsilavinimą turinčių 25–34 metų gyventojų dalis, proc.</t>
  </si>
  <si>
    <t>60,50</t>
  </si>
  <si>
    <t>01.08.01.</t>
  </si>
  <si>
    <t>Uždavinys. Pagerinti  ugdymosi rezultatus ir sumažinti jų atotrūkį.</t>
  </si>
  <si>
    <t>P</t>
  </si>
  <si>
    <t>Vaikų, dalyvaujančių programoje, dalis proc.</t>
  </si>
  <si>
    <t>01.08.01.03.</t>
  </si>
  <si>
    <t>Priemonė. Įgyvendinti informatikos ir technologinės kūrybos mokymo programą</t>
  </si>
  <si>
    <t>PP</t>
  </si>
  <si>
    <t>Pradinių klasių, dalyvaujančių programoje, komplektų skaičius</t>
  </si>
  <si>
    <t>55,00</t>
  </si>
  <si>
    <t>01.08.01.03.01</t>
  </si>
  <si>
    <t>Veikla. Skirti lėšas "Vedlių" programos įgyvendinimui</t>
  </si>
  <si>
    <t>01.09.</t>
  </si>
  <si>
    <t>Tikslas. Ryšių su diaspora stiprinimas.</t>
  </si>
  <si>
    <t>Lietuvos gyventojų dalis, mananti, kad Lietuvos interesų tarptautinėje bendruomenėje įgyvendinimas yra užtikrintas, proc.</t>
  </si>
  <si>
    <t>01.09.01.</t>
  </si>
  <si>
    <t>Uždavinys. Stiprinti diasporos politiką.</t>
  </si>
  <si>
    <t>Užsienio lietuvių, įsitraukusių į Lietuvos gyvenimą ir gerovės joje kūrimą, dalis</t>
  </si>
  <si>
    <t>30,00</t>
  </si>
  <si>
    <t>01.09.01.01.</t>
  </si>
  <si>
    <t>Priemonė. Organizuoti vaikų vasaros stovyklą, įtraukiant diasporos vaikus</t>
  </si>
  <si>
    <t>Lankiusių stovyklą, diasporos vaikams, vaikų skaičius</t>
  </si>
  <si>
    <t>5,00</t>
  </si>
  <si>
    <t>01.09.01.01.01</t>
  </si>
  <si>
    <t>Veikla: Suorganizuoti stovyklą lietuvių diasporos vaikams ir jaunimui.</t>
  </si>
  <si>
    <t>01.09.01.02.</t>
  </si>
  <si>
    <t>Priemonė. Plėsti lituanistinį švietimą</t>
  </si>
  <si>
    <t>Diasporos vaikų, papildomai besimokančių lietuvių kalbos, skaičius</t>
  </si>
  <si>
    <t>01.09.01.02.01</t>
  </si>
  <si>
    <t>Veikla. Mokyti papildomai lietuvių kalbos diasporos vaikus</t>
  </si>
  <si>
    <t>04.</t>
  </si>
  <si>
    <t>Regioninės plėtros ir bendruomeninių iniciatyvų programa</t>
  </si>
  <si>
    <t>Ūkio ir investicijų skyrius</t>
  </si>
  <si>
    <t>Iveta Ignatjevaitė; Martynas Remeikis</t>
  </si>
  <si>
    <t>04.01.</t>
  </si>
  <si>
    <t xml:space="preserve">Tikslas: Darnaus išteklių naudojimo skatinimas.  </t>
  </si>
  <si>
    <t>Martynas Remeikis</t>
  </si>
  <si>
    <t>Renovuotų daugiabučių namų dalis procentais</t>
  </si>
  <si>
    <t>04.01.01.</t>
  </si>
  <si>
    <t>Uždavinys: Kompleksiškai plėtoti ir puoselėti  rekreacines teritorijas, želdynus, tvenkinius bei kitas viešąsias erdves, pritaikant jas gyventojų bei verslo poreikiams</t>
  </si>
  <si>
    <t>Pritaikytų viešųjų erdvių skaičius</t>
  </si>
  <si>
    <t>04.01.01.03.</t>
  </si>
  <si>
    <t>Priemonė: įgyvendinti projektą  „Gelgaudiškio dvaro parko sutvarkymas.“ (V-016)</t>
  </si>
  <si>
    <t>Miglė Kriaučiūnienė</t>
  </si>
  <si>
    <t>Atliktų projekto ekspertizių skaičius</t>
  </si>
  <si>
    <t>Stebėjimo sistemų įrangos skaičius</t>
  </si>
  <si>
    <t>04.01.01.03.04.</t>
  </si>
  <si>
    <t>Veikla: Įrengti stebėjimo sistemų įrangą</t>
  </si>
  <si>
    <t>04.01.01.03.05.</t>
  </si>
  <si>
    <t>Veikla: Atlikti projekto ekspertizę</t>
  </si>
  <si>
    <t>04.01.03</t>
  </si>
  <si>
    <t>Uždavinys: Švelninti poveikį klimato kaitai, įskaitant  gyvenamųjų ir savivaldybių viešųjų pastatų energijos vartojimo efektyvumo didinimą ir energijos iš atsinaujinančių išteklių naudojimo skatinimą.</t>
  </si>
  <si>
    <t>Sutaupytas daugiabučių namų ir savivaldybių viešųjų pastatų ūkyje energijos suminis kiekis GWh</t>
  </si>
  <si>
    <t>GWh</t>
  </si>
  <si>
    <t>0,34</t>
  </si>
  <si>
    <t>04.01.03.03.</t>
  </si>
  <si>
    <t>Priemonė. Įgyvendinti projektą ,,Saulės fotovoltinės jėgainės diegimas Šakių rajono savivaldybės administracijos pastate, esančiame Bažnyčios g. 4, Šakiuose"</t>
  </si>
  <si>
    <t>Aušra Slidziauskienė</t>
  </si>
  <si>
    <t>PP, TI</t>
  </si>
  <si>
    <t>Parengtų ŠESD (šiltnamio efektą sukeliančių dujų) ataskaitų skaičius</t>
  </si>
  <si>
    <t>04.01.03.03.03.</t>
  </si>
  <si>
    <t>Veikla: Parengti ŠESD (šiltnamio efektą sukeliančių dujų) ataskaitą</t>
  </si>
  <si>
    <t>04.01.03.07.</t>
  </si>
  <si>
    <t>Priemonė. Įgyvendinti projektą ,,Saulės fotovoltinės jėgainės diegimas Kukarskės globos namuose, esančiuose Nemuno g. 136, Kukarskės k. Kidulių sen.,Šakių r."</t>
  </si>
  <si>
    <t>04.01.03.07.02.</t>
  </si>
  <si>
    <t>04.01.03.08.</t>
  </si>
  <si>
    <t>Priemonė. Įgyvendinti projektą ,,Atsinaujinančių energijos šaltinių diegimas Šakių rajono savivaldybės jaunimo kūrybos ir sporto centre"</t>
  </si>
  <si>
    <t>04.01.03.08.02.</t>
  </si>
  <si>
    <t>04.01.03.11.</t>
  </si>
  <si>
    <t>Priemonė. Įgyvendinti projektą ,,Atsinaujinančių energijos šaltinių diegimas Šakių kultūros centre"</t>
  </si>
  <si>
    <t>04.01.03.11.02.</t>
  </si>
  <si>
    <t>04.01.03.12.</t>
  </si>
  <si>
    <t>Priemonė: Įgyvendinti projektą „Šakių „Žiburio“ gimnazijos pastato modernizavimas/atnaujinimas (energetinio efektyvumo didinimas) "</t>
  </si>
  <si>
    <t>Rasa Liubamirskaitė</t>
  </si>
  <si>
    <t>Atlikta rangos darbų, procentais</t>
  </si>
  <si>
    <t>04.01.03.12.02.</t>
  </si>
  <si>
    <t>Veikla: Modernizuoti/atnaujinti Šakių ,,Žiburio" gimnaziją</t>
  </si>
  <si>
    <t>04.01.03.16.</t>
  </si>
  <si>
    <t>Priemonė. Įgyvendinti projektą" Kultūros objektų infrastruktūros modernizavimas ir plėtra Šakių rajone"</t>
  </si>
  <si>
    <t>Parengtų techninių projektų skaičius</t>
  </si>
  <si>
    <t>04.01.03.16.01.</t>
  </si>
  <si>
    <t>Veikla: Parengti kultūros objektų techninius projektus</t>
  </si>
  <si>
    <t>04.01.03.17.</t>
  </si>
  <si>
    <t>Priemonė. Įgyvendinti projektą "Skatinti alternatyviųjų degalų naudojimą transporto sektoriuje Šakių rajono savivaldybėje"</t>
  </si>
  <si>
    <t xml:space="preserve">UAB „Šakių autobusų parkas“ </t>
  </si>
  <si>
    <t>Parengtų projektinių paraiškų skaičius</t>
  </si>
  <si>
    <t>04.01.03.17.01.</t>
  </si>
  <si>
    <t>Veikla: Pateikti projekto įgyvendinimo planą.</t>
  </si>
  <si>
    <t>04.01.04.</t>
  </si>
  <si>
    <t>Uždavinys: Rengti teritorijų planavimo dokumentus</t>
  </si>
  <si>
    <t>Architektūros ir urbanistikos skyrius</t>
  </si>
  <si>
    <t>Jurgita Bosikienė</t>
  </si>
  <si>
    <t>Suplanuotų teritorijų skaičius</t>
  </si>
  <si>
    <t>04.01.04.01.</t>
  </si>
  <si>
    <t>Priemonė: Teritorijų planavimo dokumentų rengimas</t>
  </si>
  <si>
    <t>Parengtų projektų teritorijų planavimo dokumentų skaičius</t>
  </si>
  <si>
    <t>04.01.04.01.02.</t>
  </si>
  <si>
    <t>Veikla: Parengti teritorijų planavimo dokumentų projektus</t>
  </si>
  <si>
    <t>04.01.04.02.</t>
  </si>
  <si>
    <t>Priemonė: Plėtoti Geoinformacinės sistemos kūrimą Šakių rajono savivaldybės teritorijoje</t>
  </si>
  <si>
    <t>Atnaujintų GIS GeoMap programinės įrangos vienetų skaičius</t>
  </si>
  <si>
    <t>04.01.04.02.01</t>
  </si>
  <si>
    <t>Veikla: Įsigyti GIS GeoMap programinės įrangos atnaujinimą</t>
  </si>
  <si>
    <t>04.01.04.03.</t>
  </si>
  <si>
    <t>Priemonė: „Šakių rajono teritorijų pritaikymo šiandienos poreikiams parengtų priešprojektinių pasiūlymų parengimas ir viešinimo paslaugos, konkurso „Išmanusis mietas X“ metu“</t>
  </si>
  <si>
    <t>Priešprojektinių pasiūlymų skaičius</t>
  </si>
  <si>
    <t>04.01.04.03.02.</t>
  </si>
  <si>
    <t>Veikla: parengti priešprojektinius pasiūlymus</t>
  </si>
  <si>
    <t>04.02.</t>
  </si>
  <si>
    <t>Tikslas: Inžinerinės infrastruktūros modernizavimas.</t>
  </si>
  <si>
    <t>Verslo įmonių, kurioms pagerinta viešoji infrastruktūra dalis, (nuo visų įmonių) procentais</t>
  </si>
  <si>
    <t>04.02.02.</t>
  </si>
  <si>
    <t xml:space="preserve">Uždavinys: Kurti ir plėtoti pramonės zonas ir subzonas </t>
  </si>
  <si>
    <t>Naujų  verslo zonų ir subzonų skaičius</t>
  </si>
  <si>
    <t>04.02.02.01.</t>
  </si>
  <si>
    <t>Priemonė: „Šakių pramonės zonos įrengimas“ / infrastruktūros įrengimo darbai (R)</t>
  </si>
  <si>
    <t>RE</t>
  </si>
  <si>
    <t>Parengtų techninių projektų dėl privažiavimų į PEZ teritoriją skaičius</t>
  </si>
  <si>
    <t>04.02.02.01.05.</t>
  </si>
  <si>
    <t>Veikla: Parengti techninius projektus dėl privažiavimų į PEZ teritoriją</t>
  </si>
  <si>
    <t>04.03.</t>
  </si>
  <si>
    <t>Tikslas: Šiuolaikiškos susisiekimo sistemos plėtra.</t>
  </si>
  <si>
    <t>Vietinės reikšmės kelių su asfalto danga dalis procentais</t>
  </si>
  <si>
    <t>17,00</t>
  </si>
  <si>
    <t>04.03.01.</t>
  </si>
  <si>
    <t>Uždavinys: Modernizuoti ir plėtoti savivaldybės vietinės reikšmės kelius, gatves ir kitas susisiekimo komunikacijas</t>
  </si>
  <si>
    <t>Modernizuotų ir įrengtų vietinės reikšmės kelių ir gatvių  ilgis kilometrais</t>
  </si>
  <si>
    <t>km</t>
  </si>
  <si>
    <t>4,92</t>
  </si>
  <si>
    <t>04.03.01.01.</t>
  </si>
  <si>
    <t>Priemonė: Įgyvendinti projektą „Šakių miesto susisiekimo infrastruktūros modernizavimas" (TID-511)</t>
  </si>
  <si>
    <t>04.03.01.01.10.</t>
  </si>
  <si>
    <t>Veikla: Baigiamosios dokumentacijos rengimas</t>
  </si>
  <si>
    <t>04.04.</t>
  </si>
  <si>
    <t>Tikslas: Efektyvus melioracijos statinių funkcionavimas</t>
  </si>
  <si>
    <t>Žemės ūkio ir kaimo reikalų skyrius</t>
  </si>
  <si>
    <t>Irena  Žemaitienė; Lina Štrimaitytė; Rimantas  Vaičiūnas</t>
  </si>
  <si>
    <t>Pagerintos žemės dalis nuo viso melioruotos žemės ploto, procentais</t>
  </si>
  <si>
    <t>04.04.01.</t>
  </si>
  <si>
    <t xml:space="preserve">Uždavinys: Skatinti efektyvesnį melioracijos statinių naudojimą ir priežiūrą
</t>
  </si>
  <si>
    <t>Įsteigtų melioracijos statinių naudotojų asociacijų skaičius</t>
  </si>
  <si>
    <t>Melioracijos statinių naudotojų projektų skaičius</t>
  </si>
  <si>
    <t>7,00</t>
  </si>
  <si>
    <t>04.04.01.05.</t>
  </si>
  <si>
    <t>Priemonė: Įgyvendinti projektą ,,Šakių rajono savivaldybės Briedžių, Liepalotų ir Lukšių kadastro vietovėse esančių melioracijos statinių rekonstravimas“</t>
  </si>
  <si>
    <t>Irena  Žemaitienė; Rimantas  Vaičiūnas</t>
  </si>
  <si>
    <t>Prižiūrimų griovių ilgis kilometrais (projekto priežiūrą vykdoma iš 12 programos 12.05.01.01. priemonės)</t>
  </si>
  <si>
    <t>20,41</t>
  </si>
  <si>
    <t>04.04.01.05.04</t>
  </si>
  <si>
    <t>Veikla: Vykdyti Projekto ,,Šakių rajono savivaldybės Briedžių, Liepalotų ir Lukšių kadastro vietovėse esančių melioracijos statinių rekonstravimas“ griovių priežiūros darbus (šienavimas)</t>
  </si>
  <si>
    <t>04.04.01.06</t>
  </si>
  <si>
    <t>Priemonė: Įgyvendinti projektą ,,Šakių rajono savivaldybės Kidulių ir Voverių kadastro vietovėse esančių melioracijos statinių rekonstravimas“</t>
  </si>
  <si>
    <t>15,94</t>
  </si>
  <si>
    <t>04.04.01.06.04</t>
  </si>
  <si>
    <t>Veikla: Vykdyti Projekto ,,Šakių rajono savivaldybės Kidulių ir Voverių kadastro vietovėse esančių melioracijos statinių rekonstravimas“ griovių priežiūros darbus (šienavimas)</t>
  </si>
  <si>
    <t>04.04.01.07.</t>
  </si>
  <si>
    <t>Priemonė: Įgyvendinti projektą ,,Šakių rajono savivaldybės Išdagų, Sintautų ir Veršių kadastro vietovėse esančių melioracijos statinių rekonstravimas"</t>
  </si>
  <si>
    <t>18,64</t>
  </si>
  <si>
    <t>04.04.01.07.04.</t>
  </si>
  <si>
    <t>Veikla: Vykdyti Projekto ,,Šakių rajono savivaldybės Išdagų, Sintautų ir Veršių kadastro vietovėse esančių melioracijos statinių rekonstravimas“ griovių priežiūros darbus (šienavimas)</t>
  </si>
  <si>
    <t>04.04.01.08.</t>
  </si>
  <si>
    <t>Priemonė: įgyvendinti projektą „Šakių rajono savivaldybės Užsienių ir Žvirgždaičių kadastro vietovėse esančių melioracijos statinių rekonstravimas“</t>
  </si>
  <si>
    <t>25,76</t>
  </si>
  <si>
    <t>04.04.01.08.03.</t>
  </si>
  <si>
    <t>Veikla: Vykdyti Projekto ,,Šakių rajono savivaldybės Užsienių ir Žvirgždaičių kadastro vietovėse esančių melioracijos statinių rekonstravimas“ griovių priežiūros darbus (šienavimas)</t>
  </si>
  <si>
    <t>04.04.01.09.</t>
  </si>
  <si>
    <t>Priemonė: Įgyvendinti projektą „Šakių rajono savivaldybės Baltrušių, Barzdų ir Patašinės kadastro vietovėse esančių melioracijos statinių rekonstravimas“</t>
  </si>
  <si>
    <t>Rekonstruojamų griovių ilgis kilometrais</t>
  </si>
  <si>
    <t>19,82</t>
  </si>
  <si>
    <t>Parengtų projektų skaičius</t>
  </si>
  <si>
    <t>04.04.01.09.02.</t>
  </si>
  <si>
    <t>Veikla: Rekonstruoti melioracijos griovius</t>
  </si>
  <si>
    <t>04.04.01.09.03.</t>
  </si>
  <si>
    <t>Veikla: Parengti projekto  „Šakių rajono savivaldybės Baltrušių, Barzdų ir Patašinės kadastro vietovėse esančių melioracijos statinių rekonstravimas“ techninį darbo projektą</t>
  </si>
  <si>
    <t>04.04.01.10.</t>
  </si>
  <si>
    <t>Priemonė: Įgyvendinti projektą „Šakių rajono savivaldybės Gerdžiūnų ir Kriūkų kadastro vietovėse esančių melioracijos statinių rekonstravimas“</t>
  </si>
  <si>
    <t>Parengtų projekto paraiškų skaičius</t>
  </si>
  <si>
    <t>Rekonstruojamų griovių ilgis</t>
  </si>
  <si>
    <t>18,03</t>
  </si>
  <si>
    <t>04.04.01.10.01.</t>
  </si>
  <si>
    <t>Veikla: Parengti projekto  „Šakių rajono savivaldybės Gerdžiūnų ir Kriūkų kadastro vietovėse esančių melioracijos statinių rekonstravimas“ paraišką</t>
  </si>
  <si>
    <t>04.04.01.10.02.</t>
  </si>
  <si>
    <t>Veikla: Parengti projekto „Šakių rajono savivaldybės Gerdžiūnų ir Kriūkų kadastro vietovėse esančių melioracijos statinių rekonstravimas“ techninį darbo projektą</t>
  </si>
  <si>
    <t>04.05.</t>
  </si>
  <si>
    <t>Tikslas: Kompleksinis miestelių ir kaimų bendruomeninės ir viešosios infrastruktūros atnaujinimas.</t>
  </si>
  <si>
    <t>Per 100 gyventojų turinčių vietovių kurių infrastruktūra atnaujinta dalis, procentais</t>
  </si>
  <si>
    <t>04.05.01.</t>
  </si>
  <si>
    <t>Uždavinys:  Atnaujinti gyvenviečių, turinčių nuo 1000 iki 6000 gyventojų viešąją infrastruktūrą</t>
  </si>
  <si>
    <t>Atnaujintų gyvenviečių skaičius</t>
  </si>
  <si>
    <t>04.05.01.01</t>
  </si>
  <si>
    <t>Priemonė: Įgyvendinti projektą „Kudirkos Naumiesčio gyvenamosios vietovės atnaujinimas“ (R-908)</t>
  </si>
  <si>
    <t>Parengtų deklaracijų skaičius</t>
  </si>
  <si>
    <t>04.05.01.01.05.</t>
  </si>
  <si>
    <t>Veikla: Parengti projekto deklaraciją</t>
  </si>
  <si>
    <t>04.05.01.02.</t>
  </si>
  <si>
    <t>Priemonė: Įgyvendinti projektą ,,Lukšių gyvenamosios vietovės atnaujinimas" (R-908)</t>
  </si>
  <si>
    <t>04.05.01.02.05.</t>
  </si>
  <si>
    <t>04.05.02.</t>
  </si>
  <si>
    <t>Uždavinys:  Atnaujinti gyvenviečių, turinčių iki  1000 gyventojų viešąją infrastruktūrą</t>
  </si>
  <si>
    <t>0,00</t>
  </si>
  <si>
    <t>04.05.02.01.</t>
  </si>
  <si>
    <t>Priemonė: Įgyvendinti priemonės „Kaimo atnaujinimas ir plėtra“ projektą „Barzdų atnaujinimas ir plėtra“</t>
  </si>
  <si>
    <t>Apdraustų investicijų skaičius</t>
  </si>
  <si>
    <t>04.05.02.01.04.</t>
  </si>
  <si>
    <t>Veikla: apdrausti projekto „Barzdų atnaujinimas ir plėtra“ investicijas</t>
  </si>
  <si>
    <t>04.05.02.04.</t>
  </si>
  <si>
    <t>Priemonė: Įgyvendinti priemonės „Kaimo atnaujinimas ir plėtra“ projektą „Kriūkų atnaujinimas ir plėtra“</t>
  </si>
  <si>
    <t>04.05.02.04.04.</t>
  </si>
  <si>
    <t>Veikla: Apdrausti projekto „Kriūkų atnaujinimas ir plėtra“ investicijas</t>
  </si>
  <si>
    <t>04.05.02.05.</t>
  </si>
  <si>
    <t>Priemonė: Įgyvendinti priemonės „Kaimo atnaujinimas ir plėtra „projektą „Plokščių atnaujinimas ir plėtra“</t>
  </si>
  <si>
    <t>04.05.02.05.04.</t>
  </si>
  <si>
    <t>Veikla: Apdrausti projekto „Plokščių atnaujinimas ir plėtra“ investicijas</t>
  </si>
  <si>
    <t>04.05.02.06.</t>
  </si>
  <si>
    <t>Priemonė: Įgyvendinti priemonės „Kaimo atnaujinimas ir plėtra“ projektą „Sudargo atnaujinimas ir plėtra“</t>
  </si>
  <si>
    <t>04.05.02.06.04.</t>
  </si>
  <si>
    <t>Veikla: Apdrausti projekto „Sudargo atnaujinimas ir plėtra“ investicijas</t>
  </si>
  <si>
    <t>04.05.02.08.</t>
  </si>
  <si>
    <t>Priemonė: Įgyvendinti priemonės „Kaimo atnaujinimas ir plėtra“ projektą „Žvirgždaičių atnaujinimas ir plėtra“</t>
  </si>
  <si>
    <t>Iveta Ignatjevaitė</t>
  </si>
  <si>
    <t>04.05.02.08.03.</t>
  </si>
  <si>
    <t>Veikla: Apdrausti projekto „Žvirgždaičių atnaujinimas ir plėtra“ investicijas</t>
  </si>
  <si>
    <t>04.09.</t>
  </si>
  <si>
    <t>Tikslas: Sporto ir aktyvaus laisvalaikio infrastruktūros plėtojimas.</t>
  </si>
  <si>
    <t>Atnaujintų ir naujai įkurtų objektų dalis procentais</t>
  </si>
  <si>
    <t>04.09.01.</t>
  </si>
  <si>
    <t>Uždavinys: Atnaujinti esamas ir kurti naujas sporto ir aktyvaus laisvalaikio zonas bei viešąsias erdves</t>
  </si>
  <si>
    <t>Atnaujintų ir naujai įkurtų objektų skaičius</t>
  </si>
  <si>
    <t>04.09.01.08.</t>
  </si>
  <si>
    <t>Priemonė. Įgyvendinti projektą "Šakių "Varpo" mokyklos stadiono modernizavimas"</t>
  </si>
  <si>
    <t>04.09.01.08.01.</t>
  </si>
  <si>
    <t>Veikla: Parengti techninį projektą</t>
  </si>
  <si>
    <t>04.12.</t>
  </si>
  <si>
    <t>Tikslas: Regioninio ir tarptautinio bendradarbiavimo plėtojimas.</t>
  </si>
  <si>
    <t>Įgyvendintų tarptautinių ir regioninių partnerysčių skaičius</t>
  </si>
  <si>
    <t>04.12.01.</t>
  </si>
  <si>
    <t>Uždavinys: ES lėšomis finansuojamų bendradarbiavimo projektų įgyvendinimas</t>
  </si>
  <si>
    <t>Planuojamų ir vykdomų projektų skaičius</t>
  </si>
  <si>
    <t>04.12.01.01.</t>
  </si>
  <si>
    <t>Priemonė: finansuoti apyvartines Regioninės plėtros programos išlaidas</t>
  </si>
  <si>
    <t>Vykdomų priemonių, projektų įgyvendinimui būtinų išlaidų finansavimui, skaičius</t>
  </si>
  <si>
    <t>04.12.01.01.02.</t>
  </si>
  <si>
    <t>Veikla: Finansuoti priemonių, projektų įgyvendinimui būtinąsias išlaidas</t>
  </si>
  <si>
    <t>04.12.02.</t>
  </si>
  <si>
    <t>Uždavinys. Išnaudoti regioninio ir  tarptautinio bendradarbiavimo galimybes socialinės infrastruktūros plėtrai</t>
  </si>
  <si>
    <t>Vykdomų partnerystės  projektų skaičius</t>
  </si>
  <si>
    <t>04.12.02.02.</t>
  </si>
  <si>
    <t>Priemonė: „Įgyvendinti projektą „WiFi4EU Šakių rajono savivaldybėje“</t>
  </si>
  <si>
    <t>04.12.02.02.02.</t>
  </si>
  <si>
    <t>Veikla: Palaikyti bevielio interneto ryšio prieigos taškus (apmokėti už interneto paslaugas)</t>
  </si>
  <si>
    <t>04.16.</t>
  </si>
  <si>
    <t>Tikslas: Viešosios tvarkos palaikymo sistemų tobulinimas.</t>
  </si>
  <si>
    <t>Ištirtų nusikalstamų veikų skaičiaus pokytis, procentais</t>
  </si>
  <si>
    <t>0,50</t>
  </si>
  <si>
    <t>04.16.01.</t>
  </si>
  <si>
    <t>Uždavinys: Gerinti saugumą viešosiose erdvėse</t>
  </si>
  <si>
    <t>Lokalių vaizdo stebėjimo sistemų įdiegimas ir plėtra</t>
  </si>
  <si>
    <t>04.16.01.01.</t>
  </si>
  <si>
    <t>Priemonė: „Miesto stebėjimo sistemos įrengimas“</t>
  </si>
  <si>
    <t>04.16.01.01.01</t>
  </si>
  <si>
    <t>Veikla: Atnaujinti stebėjimo sistemos įrangą</t>
  </si>
  <si>
    <t>04.17.</t>
  </si>
  <si>
    <t>Tikslas: Kultūros paveldo saugojimas, aktualizavimas ir pritaikymas viešiesiems poreikiams.</t>
  </si>
  <si>
    <t>Restauruotų ir pritaikytų kultūros paveldo objektų dalis nuo visų kultūros paveldo objektų (per 370 objektų), procentais</t>
  </si>
  <si>
    <t>3,14</t>
  </si>
  <si>
    <t>04.17.01</t>
  </si>
  <si>
    <t>Uždavinys. Restauruoti, pritaikyti viešiesiems poreikiams kultūros paveldo objektus.</t>
  </si>
  <si>
    <t>Restauruotų ir pritaikytų statinių skaičius</t>
  </si>
  <si>
    <t>04.17.01.10.</t>
  </si>
  <si>
    <t>Priemonė: „Įgyvendinti projektą „Gelgaudiškio dvaro sodybos rūmų, Parko g. 5, Gelgaudiškis, Šakių r. rūsio patalpų tvarkybos darbų projektas“</t>
  </si>
  <si>
    <t>Nupirktų tvarkybos darbų projektų skaičius</t>
  </si>
  <si>
    <t>04.17.01.10.01.</t>
  </si>
  <si>
    <t>Veikla: įsigyti Gelgaudiškio dvaro rūmų rūsio patalpų tvarkybos darbų projekto parengimo paslaugas</t>
  </si>
  <si>
    <t>04.21.</t>
  </si>
  <si>
    <t>Tikslas. Didinti gyventojų socialinę gerovę ir įtrauktį, stiprinti sveikatą ir gerinti Lietuvos demografinę padėtį</t>
  </si>
  <si>
    <t>Asmenys, patiriantys skurdo riziką ar socialinę atskirtį, procentais</t>
  </si>
  <si>
    <t>04.21.01.</t>
  </si>
  <si>
    <t>Uždavinys. Didinti neįgaliųjų ir jų šeimų, senyvo amžiaus žmonių bei kitų pažeidžiamų ir socialinėje atskirtyje esančių grupių gerovę</t>
  </si>
  <si>
    <t>Socialines paslaugas gaunančių tikslinės grupės asmenų dalis nuo bendro su skurdo rizika ar socialine atskirtimi susiduriančių gyventojų skaičiaus</t>
  </si>
  <si>
    <t>04.21.01.01.</t>
  </si>
  <si>
    <t>Priemonė. Įgyvendinti projektą  “Senyvo amžiaus asmenų socialinės gerovės didinimas steigiant dienos užimtumo centrą "Senjorų biuras" (R)</t>
  </si>
  <si>
    <t>04.21.01.01.01.</t>
  </si>
  <si>
    <t>04.21.01.02.</t>
  </si>
  <si>
    <t>Priemonė. Įgyvendinti projektą  „Socialinio būsto plėtra Šakių rajone“ (R)</t>
  </si>
  <si>
    <t>Naujai įsigytų/pastatytų ar rekonstruotų butų/gyvenamojo (-ų) namo (-ų) skaičius</t>
  </si>
  <si>
    <t>04.21.01.02.01.</t>
  </si>
  <si>
    <t>04.21.01.03.</t>
  </si>
  <si>
    <t>Priemonė. Įgyvendinti projektą  „Senatvė-likimo dovana“ (R)</t>
  </si>
  <si>
    <t>04.21.01.03.01.</t>
  </si>
  <si>
    <t>04.21.01.04.</t>
  </si>
  <si>
    <t>Priemonė. Įgyvendinti projektą „Grupinio gyvenimo namų plėtra Šakių mieste“ (R)</t>
  </si>
  <si>
    <t>Įsigytų investicinių projektų ir konsultacijų teikimo paslaugų skaičius</t>
  </si>
  <si>
    <t>04.21.01.04.01.</t>
  </si>
  <si>
    <t>Veikla: Nupirkti investicinių projektų ir konsultacijų paslaugas bei parengti reikiamus dokumentus</t>
  </si>
  <si>
    <t>04.21.01.05.</t>
  </si>
  <si>
    <t>Priemonė. Įgyvendinti projektą „Socialinių dirbtuvių modernizavimas ir plėtra Šakių rajone“ (R)</t>
  </si>
  <si>
    <t>Paprastojo remonto darbų aprašo rengimas</t>
  </si>
  <si>
    <t>04.21.01.05.01.</t>
  </si>
  <si>
    <t>Veikla: Parengti paprastojo remonto darbų aprašą</t>
  </si>
  <si>
    <t>04.21.01.06.</t>
  </si>
  <si>
    <t>Priemonė. Įgyvendinti projektą „Apsaugotų būstų infrastruktūros plėtra Šakių rajone“ (R)</t>
  </si>
  <si>
    <t>Tyrimų, analizių skaičius</t>
  </si>
  <si>
    <t>04.21.01.06.01.</t>
  </si>
  <si>
    <t>Veikla: Nupirkti ir atlikti būstų pasiūlos analizę</t>
  </si>
  <si>
    <t>04.21.02.</t>
  </si>
  <si>
    <t>Uždavinys. Didinti kokybiškų ir inovatyvių sveikatos priežiūros paslaugų prieinamumą ir sveikatos atsparumą grėsmėms</t>
  </si>
  <si>
    <t>Išvengiamas mirtingumas proc. (pagal jungtinį EBPO ir Eurostato sąrašą)</t>
  </si>
  <si>
    <t>73,20</t>
  </si>
  <si>
    <t>04.21.02.01.</t>
  </si>
  <si>
    <t>Priemonė. Įgyvendinti projektą  „Visuomenės sveikatos paslaugų kokybės gerinimas Šakių rajone (VSB)“ (R)</t>
  </si>
  <si>
    <t>Planuojamas gyventojų, kuriems šio projekto metu bus skirtos viešosios paslaigos, skaičius</t>
  </si>
  <si>
    <t>04.21.02.01.01.</t>
  </si>
  <si>
    <t>Veikla: Parengti ir pateikti projekto paraišką</t>
  </si>
  <si>
    <t>04.21.02.02.</t>
  </si>
  <si>
    <t>Priemonė. Įgyvendinti projektą  „Šakių rajono mobiliosios komandos aprūpinimas įranga ir transporto priemone“ (SAM)</t>
  </si>
  <si>
    <t>Įstaigų, teikiančių asmens sveikatos priežiūros namuose paslaugas skaičius</t>
  </si>
  <si>
    <t>04.21.02.02.01.</t>
  </si>
  <si>
    <t>04.21.02.03.</t>
  </si>
  <si>
    <t>Priemonė. Įgyvendinti projektą  „Šakių rajono savivaldybės sveikatos centro sudėtyje teikiamų sveikatos priežiūros paslaugų infrastruktūros modernizavimas“ (SAM)</t>
  </si>
  <si>
    <t>Įsteigtų sveikatos centrų skaičius</t>
  </si>
  <si>
    <t>04.21.02.03.01.</t>
  </si>
  <si>
    <t>04.21.02.04.</t>
  </si>
  <si>
    <t>Priemonė. Įgyvendinti projektą "Ilgalaikės priežiūros paslaugų plėtra" (R)</t>
  </si>
  <si>
    <t>Įsteigtų stacionarų skaičius</t>
  </si>
  <si>
    <t>Parengtų ir pateiktų projektinių pasiūlymų skaičius</t>
  </si>
  <si>
    <t>04.21.02.04.01.</t>
  </si>
  <si>
    <t>Veikla: Projektinio pasiūlymo parengimas ir pateikimas Marijampolės Regiono plėtros tarybai</t>
  </si>
  <si>
    <t>04.22.</t>
  </si>
  <si>
    <t>Tikslas. Didinti švietimo įtrauktį ir veiksmingumą, siekiant atitikties asmens ir visuomenės poreikiams</t>
  </si>
  <si>
    <t>Mokinių pasiekimų atotrūkis nuo esamų pasiekimų, procentais</t>
  </si>
  <si>
    <t>04.22.01.</t>
  </si>
  <si>
    <t>Uždavinys. Didinti švietimo įtrauktį ir prieinamumą, užtikrinti saugią aplinką kiekvienam asmeniui</t>
  </si>
  <si>
    <t>Švietimo pagalbą gaunančių mokinių dalis nuo visų, kuriems nustatytas pagalbos poreikis, procentais</t>
  </si>
  <si>
    <t>04.22.01.01.</t>
  </si>
  <si>
    <t>Priemonė. Įgyvendinti projektą „Visos dienos mokyklos įkūrimas Lukšių Vinco Grybo gimnazijoje“ (R)</t>
  </si>
  <si>
    <t>04.22.01.01.01.</t>
  </si>
  <si>
    <t>04.22.01.02.</t>
  </si>
  <si>
    <t>Priemonė. Įgyvendinti projektą „Visos dienos mokyklos įkūrimas Šakių Varpo mokykloje“ (R)</t>
  </si>
  <si>
    <t>04.22.01.02.01.</t>
  </si>
  <si>
    <t>04.22.01.03.</t>
  </si>
  <si>
    <t>Priemonė. Įgyvendinti projektą „Ikimokyklinio ugdymo prieinamumo didinimas Šakių rajono savivaldybėje "Maži žingsneliai"“ (R)</t>
  </si>
  <si>
    <t>04.22.01.03.01.</t>
  </si>
  <si>
    <t>Veikla: Nupirkti investicijų skaičiuoklę ir konsultacines paslaugas</t>
  </si>
  <si>
    <t>04.22.02.</t>
  </si>
  <si>
    <t>Uždavinys. Pagerinti ugdymosi rezultatus ir sumažinti jų atotrūkį.</t>
  </si>
  <si>
    <t>04.22.02.01.</t>
  </si>
  <si>
    <t>Priemonė. Įgyvendinti projektą "Tūkstantmečio mokyklų" programa" (R)</t>
  </si>
  <si>
    <t>Programą įgyvendinančių mokyklų skaičius</t>
  </si>
  <si>
    <t>04.22.02.01.01.</t>
  </si>
  <si>
    <t>Veikla: Remonto darbų pirkimas</t>
  </si>
  <si>
    <t>04.22.02.01.02.</t>
  </si>
  <si>
    <t>Veikla: Įrangos pirkimas Griškabūdžio, Kudirkos Naumiesčio, Lukšių, Žiburio gimnazijoms ir Varpo mokyklai</t>
  </si>
  <si>
    <t>04.23.</t>
  </si>
  <si>
    <t>Tikslas. Stiprinti tautinį ir pilietinį tapatumą, didinti kultūros skvarbą ir visuomenės kūrybingumą</t>
  </si>
  <si>
    <t>Gyventojų, kurie patys aktyviai dalyvauja kultūrinėse veiklose, dalis procentais</t>
  </si>
  <si>
    <t>04.23.01.</t>
  </si>
  <si>
    <t>Uždavinys. Atgaivinti visuomenei reikšmingą kultūros ir tautinį paveldą ir didinti jo naudojimą visuomenės poreikiams</t>
  </si>
  <si>
    <t>Įveiklintų kultūros paveldo objektų dalis, procentais</t>
  </si>
  <si>
    <t>04.23.01.01.</t>
  </si>
  <si>
    <t>Priemonė. Įgyvendinti projektą „Viešosios turizmo infrastruktūros sukūrimas Šakių rajono savivaldybėje, pritaikant Sūduvos istorinius piliakalnius lankymui“ (R)</t>
  </si>
  <si>
    <t>04.23.01.01.01.</t>
  </si>
  <si>
    <t>04.23.01.02.</t>
  </si>
  <si>
    <t>Priemonė. Įgyvendinti projektą „Dviračių takas Šakiai – Gelgaudiškis“ (R)</t>
  </si>
  <si>
    <t>04.23.01.02.01.</t>
  </si>
  <si>
    <t>04.23.01.03.</t>
  </si>
  <si>
    <t>Priemonė. Įgyvendinti projektą „Šakių miesto istorinis žiedas“ (R)</t>
  </si>
  <si>
    <t>04.23.01.03.01.</t>
  </si>
  <si>
    <t>04.23.01.04.</t>
  </si>
  <si>
    <t>Priemonė. Įgyvendinti projektą „Zyplių dvaro sodybos pritaikymas lankymui“ (R)</t>
  </si>
  <si>
    <t>04.23.01.04.01.</t>
  </si>
  <si>
    <t>04.24.</t>
  </si>
  <si>
    <t>Tikslas. Užtikrinti gerą aplinkos kokybę ir gamtos išteklių naudojimo darną, saugoti biologinę įvairovę, švelninti Lietuvos poveikį klimato kaitai ir didinti atsparumą jos poveikiui</t>
  </si>
  <si>
    <t>Išmetamo į aplinką teršalų kiekio pokyčio mažėjimas procentais</t>
  </si>
  <si>
    <t>04.24.01.</t>
  </si>
  <si>
    <t>Uždavinys. Gerinti vandens telkinių būklę bei didinti vandens tiekimo ir nuotekų tvarkymo paslaugų prieinamumą ir efektyvumą</t>
  </si>
  <si>
    <t>Gyventojų, aprūpinamų centralizuotai teikiamomis nuotekų tvarkymo paslaugomis, dalis, palyginti su visais gyventojais, procentais</t>
  </si>
  <si>
    <t>95,00</t>
  </si>
  <si>
    <t>04.24.01.01.</t>
  </si>
  <si>
    <t>Priemonė. Įgyvendinti projektą "Šakių rajono vandentvarkos sistemos plėtra" (R)</t>
  </si>
  <si>
    <t>04.24.01.01.01.</t>
  </si>
  <si>
    <t>04.24.01.01.02.</t>
  </si>
  <si>
    <t>04.24.02.</t>
  </si>
  <si>
    <t>Uždavinys. Stiprinti regionų ekonominį augimą, atsižvelgiant į jų potencialą</t>
  </si>
  <si>
    <t>Gyventojų užimtumo lygis (15–64 metų) procentais</t>
  </si>
  <si>
    <t>35,00</t>
  </si>
  <si>
    <t>04.24.02.01.</t>
  </si>
  <si>
    <t>Priemonė. Įgyvendinti projektą „Viešosios turizmo infrastruktūros sukūrimas Šakių rajono savivaldybėje, pritaikant Nemuno pakrantę lankymui" (R)</t>
  </si>
  <si>
    <t>04.24.02.01.01.</t>
  </si>
  <si>
    <t>04.25.</t>
  </si>
  <si>
    <t>Tikslas. Pereiti prie mokslo žiniomis, pažangiosiomis technologijomis, inovacijomis grįsto darnaus ekonomikos vystymosi ir didinti šalies tarptautinį konkurencingumą</t>
  </si>
  <si>
    <t>Bendrųjų reikalų skyrius</t>
  </si>
  <si>
    <t>Rita Vaičiūnienė</t>
  </si>
  <si>
    <t>Lietuvos vieta pagal Pasaulinį inovacijų indeksą „Global Innovation Index“</t>
  </si>
  <si>
    <t>04.25.01.</t>
  </si>
  <si>
    <t>Uždavinys. Skatinti pažangiųjų technologijų ir inovacijų kūrimą, diegimą ir sklaidą</t>
  </si>
  <si>
    <t>Inovacinę veiklą vykdančių įmonių dalis nuo visų įmonių</t>
  </si>
  <si>
    <t>45,00</t>
  </si>
  <si>
    <t>04.25.01.01.</t>
  </si>
  <si>
    <t>Priemonė. Įgyvendinti projektą „Prašymų priėmimo ir pasirašymo skaitmeniniu būdu platformos įdiegimas"</t>
  </si>
  <si>
    <t>Pateiktų projektinių paraiškų skaičius</t>
  </si>
  <si>
    <t>04.25.01.01.01.</t>
  </si>
  <si>
    <t>Veikla: Parengti projektinę paraišką</t>
  </si>
  <si>
    <t>06.</t>
  </si>
  <si>
    <t>Kultūros ir turizmo plėtros programa</t>
  </si>
  <si>
    <t>Asta  Kėvelaitytė; Eglė Plančiūnienė</t>
  </si>
  <si>
    <t>06.01.</t>
  </si>
  <si>
    <t>Tikslas: Sąlygų sudarymas visiems gyventojams dalyvauti etninės kultūros sklaidos procese</t>
  </si>
  <si>
    <t>Eglė Plančiūnienė</t>
  </si>
  <si>
    <t>Etnokultūros veiklos proc. bendrame kultūrinės veiklos kontekste</t>
  </si>
  <si>
    <t>25,00</t>
  </si>
  <si>
    <t>06.01.01.</t>
  </si>
  <si>
    <t>Uždavinys: Skleisti zanavykų krašto kultūrą, bendradarbiauti su kitų regionų ir šalių institucijomis</t>
  </si>
  <si>
    <t>Surengtų ir dalyvautų festivalių, stovyklų, parodų ir kt. renginių skaičius</t>
  </si>
  <si>
    <t>06.01.01.01.</t>
  </si>
  <si>
    <t>Priemonė: Organizuoti ir dalyvauti tarptautiniuose, respublikiniuose, regionų seminaruose, festivaliuose, konkursuose, šventėse (šokių, armonikierių, kapelų, vaikų ir moksleivių – liaudies kūrybos atlikėjų, tautodailininkų; reginiai Lenkijoje, Latvijoje ir kt. šalyse)</t>
  </si>
  <si>
    <t>Organizuotų ir sudalyvautų renginių skaičius</t>
  </si>
  <si>
    <t>06.01.01.01.01.</t>
  </si>
  <si>
    <t>Veikla: Organizuoti ir dalyvauti renginiuose</t>
  </si>
  <si>
    <t>06.01.02.</t>
  </si>
  <si>
    <t>Uždavinys: Įgyvendinti tautinio kostiumo ir liaudies instrumentų atnaujinimo programą</t>
  </si>
  <si>
    <t>Įsigytų tautinių rūbų komplektų ir instrumentų skaičius</t>
  </si>
  <si>
    <t>06.01.02.01.</t>
  </si>
  <si>
    <t>Priemonė: Įsigyti tautinių kostiumų ir liaudies instrumentų</t>
  </si>
  <si>
    <t>Įsigytų liaudies instrumentų skaičius</t>
  </si>
  <si>
    <t>06.01.02.01.02.</t>
  </si>
  <si>
    <t>Veikla: Įsigyti liaudies instrumentų</t>
  </si>
  <si>
    <t>06.02.</t>
  </si>
  <si>
    <t>Tikslas:  Kultūros paveldo saugojimas, aktualizavimas ir pritaikymas viešiesiems poreikiams</t>
  </si>
  <si>
    <t>Inga Navlickienė</t>
  </si>
  <si>
    <t>Restauruotų ir pritaikytų kultūros paveldo objektų dalis nuo visų kultūros paveldo objektų (per 370 objektų) procentais</t>
  </si>
  <si>
    <t>4,80</t>
  </si>
  <si>
    <t>06.02.01.</t>
  </si>
  <si>
    <t>Uždavinys: Atgaivinti visuomenei reikšmingą kultūros ir tautinį paveldą ir didinti jo naudojimą visuomenės poreikiams</t>
  </si>
  <si>
    <t>Įveiklintų kultūros paveldo objektų dalis proc.</t>
  </si>
  <si>
    <t>06.02.01.05.</t>
  </si>
  <si>
    <t>Priemonė. Zyplių dvaro sodybos svirno stogo ir fasado restauravimas</t>
  </si>
  <si>
    <t>Restauruotų pastatų skaičius</t>
  </si>
  <si>
    <t>Parengtų projektinių dokumentacijų skaičius</t>
  </si>
  <si>
    <t>06.02.01.05.02</t>
  </si>
  <si>
    <t>Veikla: Atlikti restauravimo darbus</t>
  </si>
  <si>
    <t>06.02.01.05.03.</t>
  </si>
  <si>
    <t>Veikla: Parengti projektinius dokumentus Zyplių dvaro sodybos svirno pritaikymui kultūrinei veiklai</t>
  </si>
  <si>
    <t>06.02.01.07.</t>
  </si>
  <si>
    <t>Priemonės: Zyplių dvaro sodybos parko restauravimas</t>
  </si>
  <si>
    <t>Restauruotų ir sutvarkytų dvaro parkų skaičius</t>
  </si>
  <si>
    <t>06.02.01.07.04</t>
  </si>
  <si>
    <t>Veikla: Parengti Zyplių parko projektinę/techninę dokumentaciją</t>
  </si>
  <si>
    <t>06.02.01.08.</t>
  </si>
  <si>
    <t>Priemonė: Kultūros paveldo objektų priežiūros ir tvarkybos darbai</t>
  </si>
  <si>
    <t>Sutvarkytų kultūros paveldo objektų skaičius</t>
  </si>
  <si>
    <t>06.02.01.08.01</t>
  </si>
  <si>
    <t>Veikla: Organizuoti ir vykdyti kultūros paveldo objektų priežiūrą ir tvarkybą</t>
  </si>
  <si>
    <t>06.02.02.</t>
  </si>
  <si>
    <t>Uždavinys: Rūpintis krašto įžymių žmonių atminimo, įvykių, vietų išsaugojimu</t>
  </si>
  <si>
    <t>Įamžinimo priemonių skaičius</t>
  </si>
  <si>
    <t>06.02.02.01.</t>
  </si>
  <si>
    <t>Priemonė: Krašto įžymių žmonių atminimo, įvykių, vietų išsaugojimas ir įamžinimas</t>
  </si>
  <si>
    <t>Suorganizuotų renginių skaičius</t>
  </si>
  <si>
    <t>Išsaugotų įžymių vietų skaičius</t>
  </si>
  <si>
    <t>06.02.02.01.09.</t>
  </si>
  <si>
    <t>Veikla: Sutvarkyti ir restauruoti žymių žmonių atminimo vietas</t>
  </si>
  <si>
    <t>06.03.</t>
  </si>
  <si>
    <t>Tikslas: Palankių sąlygų sudarymas kultūros ir turizmo paslaugų plėtrai ir paslaugų kokybės gerinimui</t>
  </si>
  <si>
    <t>Asta  Kėvelaitytė</t>
  </si>
  <si>
    <t>Vartotojų skaičiaus augimas nuo 2017 m. procentais</t>
  </si>
  <si>
    <t>06.03.01</t>
  </si>
  <si>
    <t>Uždavinys: Skleisti profesionaliąją kūrybą,  skatinti mėgėjų meno veiklą, dainų švenčių tradiciją</t>
  </si>
  <si>
    <t>Parengtų profesionalaus meno programų / projektų skaičius</t>
  </si>
  <si>
    <t>Veikiančių kolektyvų skaičius</t>
  </si>
  <si>
    <t>06.03.01.01.</t>
  </si>
  <si>
    <t>Priemonė: Organizuoti žanrinius  tradicinius renginius ir šventes</t>
  </si>
  <si>
    <t>06.03.01.01.01</t>
  </si>
  <si>
    <t>Veikla: Organizuoti žanrinius tradicinius renginius ir šventes</t>
  </si>
  <si>
    <t>06.03.01.01.02.</t>
  </si>
  <si>
    <t>Veikla: Koordinuoti ir organizuoti rajono mėgėjų meno kolektyvų dalyvavimą 100-mečio dainų šventėje "Kad giria žaliuotų"</t>
  </si>
  <si>
    <t>06.03.01.02.</t>
  </si>
  <si>
    <t>Priemonė: Kasmetinė kultūros premija</t>
  </si>
  <si>
    <t>Skirtų kasmetinių kultūros darbuotojų premijų skaičius</t>
  </si>
  <si>
    <t>06.03.01.02.01</t>
  </si>
  <si>
    <t>Veikla: Skirti kasmetinę kultūros premiją</t>
  </si>
  <si>
    <t>06.03.01.03.</t>
  </si>
  <si>
    <t>Priemonė: Koofinansavimo lėšos kultūros įstaigų projektams</t>
  </si>
  <si>
    <t>Koofinansuotų  projektų skaičius</t>
  </si>
  <si>
    <t>06.03.01.03.01</t>
  </si>
  <si>
    <t>Veikla: Koofinansuoti kultūros įstaigų projektus</t>
  </si>
  <si>
    <t>06.03.02.</t>
  </si>
  <si>
    <t>Uždavinys: Remti krašto autorių kūrybą ir kraštą reprezentuojančius leidinius</t>
  </si>
  <si>
    <t>Paremtų autorių skaičius</t>
  </si>
  <si>
    <t>06.03.02.01.</t>
  </si>
  <si>
    <t>Priemonė: Dalinai paremti leidiniai</t>
  </si>
  <si>
    <t>Dalinai paremtų leidinių skaičius</t>
  </si>
  <si>
    <t>06.03.02.01.01</t>
  </si>
  <si>
    <t>Veikla: Dalinai finansuoti leidiniai</t>
  </si>
  <si>
    <t>07</t>
  </si>
  <si>
    <t>Valdymo programa</t>
  </si>
  <si>
    <t>Apskaitos skyrius</t>
  </si>
  <si>
    <t>Vitalija Tumienė</t>
  </si>
  <si>
    <t>07.01.</t>
  </si>
  <si>
    <t>Tikslas: Efektyvaus viešojo valdymo sistemos sukūrimas</t>
  </si>
  <si>
    <t>Finansinių įsipareigojimų vykdymas pagal pasirašytas sutartis arba patvirtintas išlaidų sąmatas (proc.)</t>
  </si>
  <si>
    <t>07.01.01.</t>
  </si>
  <si>
    <t>Uždavinys: užtikrinti efektyvų savivaldybės funkcijų vykdymą</t>
  </si>
  <si>
    <t>Politikų, valstybės tarnautojų, dirbančių pagal darbo sutartis kvalifikacijos kėlimas (žmonių skaičius)</t>
  </si>
  <si>
    <t>172,00</t>
  </si>
  <si>
    <t>07.01.01.01.</t>
  </si>
  <si>
    <t>Priemonė: užtikrinti savivaldybės tarybos darbo funkcionalumą</t>
  </si>
  <si>
    <t>Posėdžių skaičius</t>
  </si>
  <si>
    <t>144,00</t>
  </si>
  <si>
    <t>07.01.01.01.01</t>
  </si>
  <si>
    <t>Veikla: Savivaldybės tarybos narių kokybiško darbo užtikrinimas (Darbo užmokestis, išmokos, kvalifikacijos kėlimas, komandiruotės)</t>
  </si>
  <si>
    <t>07.01.01.01</t>
  </si>
  <si>
    <t>Priemonė: užtikrinti savivaldybės vykdomosios institucijos darbo funkcionalumą</t>
  </si>
  <si>
    <t>Seminarų/mokymų skaičius</t>
  </si>
  <si>
    <t>07.01.01.01.02.</t>
  </si>
  <si>
    <t>Veikla: Savivaldybės vykdomosios institucijos darbuotojų kokybiško darbo užtikrinimas (Darbo užmokestis, išmokos, kvalifikacijos kėlimas, komandiruotės)</t>
  </si>
  <si>
    <t>07.01.01.02.</t>
  </si>
  <si>
    <t>Priemonė: užtikrinti kontrolės ir audito tarnybos darbo funkcionalumą</t>
  </si>
  <si>
    <t>Kontrolės ir audito tarnyba</t>
  </si>
  <si>
    <t>Kontrolės ir audito tarnybos darbuotojų, kėlusių kvalifikaciją skaičius</t>
  </si>
  <si>
    <t>07.01.01.02.01</t>
  </si>
  <si>
    <t>Veikla: Savivaldybės kontrolės ir audito tarnybos darbuotojų kokybiško darbo užtikrinimas (Darbo užmokestis, darbo priemonės, kvalifikacijos kėlimas, komandiruotės)</t>
  </si>
  <si>
    <t>07.01.01.03.</t>
  </si>
  <si>
    <t>Priemonė: Užtikrinti savivaldybės administracijos darbo funkcionalumą.</t>
  </si>
  <si>
    <t>Jūratė Šneideraitienė; Vitalija Tumienė</t>
  </si>
  <si>
    <t>Administracijos darbuotojų, kėlusių kvalifikaciją skaičius</t>
  </si>
  <si>
    <t>140,00</t>
  </si>
  <si>
    <t>07.01.01.03.01</t>
  </si>
  <si>
    <t>Veikla: Savivaldybės administracijos darbuotojų darbo funkcijų vykdymo užtikrinimas</t>
  </si>
  <si>
    <t>07.01.01.03</t>
  </si>
  <si>
    <t>Priemonė: Užtikrinti savivaldybės administracijos darbo funkcionalumą. Nario mokestis.</t>
  </si>
  <si>
    <t>TD, TP</t>
  </si>
  <si>
    <t>Įvykdytų įsipareigojimų pagal sudarytas sutartis, procentais</t>
  </si>
  <si>
    <t>07.01.01.03.01.</t>
  </si>
  <si>
    <t>Veikla: Surinkti pagal pasirašytas sutartis nario mokestį</t>
  </si>
  <si>
    <t>07.01.01.04.</t>
  </si>
  <si>
    <t>Priemonė: Užtikrinti savivaldybės administracijos darbo funkcionalumą. Seniūnijų ryšių išlaidos.</t>
  </si>
  <si>
    <t>07.01.01.04.01.</t>
  </si>
  <si>
    <t>Veikla: Apmokėti telefono ryšių paslaugas pagal pasirašytas sutartis</t>
  </si>
  <si>
    <t>07.01.01.04</t>
  </si>
  <si>
    <t>Priemonė: Užtikrinti savivaldybės administracijos darbo funkcionalumą. Teisinės paslaugos ir kitos funkcijos.</t>
  </si>
  <si>
    <t>Teisės, personalo ir civilinės metrikacijos skyrius</t>
  </si>
  <si>
    <t>Jūratė Šneideraitienė</t>
  </si>
  <si>
    <t>Įvykdytų viešųjų pirkimų teisinių konsultacijų skaičius</t>
  </si>
  <si>
    <t>Parengtų viešųjų pirkimų teisės aktų paketų skaičius</t>
  </si>
  <si>
    <t>Suteiktų teisinių konsultacijų skaičius</t>
  </si>
  <si>
    <t>07.01.01.04.03</t>
  </si>
  <si>
    <t>Veikla: Vykdyti viešųjų pirkimų konsultacijas</t>
  </si>
  <si>
    <t>07.01.01.05.</t>
  </si>
  <si>
    <t>Priemonė: užtikrinti savivaldybės administracijos Barzdų seniūnijos darbo funkcionalumą.</t>
  </si>
  <si>
    <t>Barzdų seniūnija</t>
  </si>
  <si>
    <t>Jurgita Didžiulienė</t>
  </si>
  <si>
    <t>Seniūnijos darbuotojų, kėlusių kvalifikaciją skaičius</t>
  </si>
  <si>
    <t>07.01.01.05.01.</t>
  </si>
  <si>
    <t>Veikla: Savivaldybės administracijos Barzdų seniūnijos darbuotojų darbo funkcijų vykdymo užtikrinimas</t>
  </si>
  <si>
    <t>07.01.01.05.02.</t>
  </si>
  <si>
    <t>Veikla: Savivaldybės administracijos Bardų seniūnijos pajamų uždirbimui vykdomų priemonių užtikrinimas (patalpų nuoma, turto pardavimas ir kt.)</t>
  </si>
  <si>
    <t>07.01.01.06.</t>
  </si>
  <si>
    <t>Priemonė: užtikrinti savivaldybės administracijos Gelgaudiškio seniūnijos darbo funkcionalumą.</t>
  </si>
  <si>
    <t>Gelgaudiškio seniūnija</t>
  </si>
  <si>
    <t>Valdas Dumčius</t>
  </si>
  <si>
    <t>07.01.01.06.01.</t>
  </si>
  <si>
    <t>Veikla: Savivaldybės administracijos Gelgaudiškio seniūnijos darbuotojų darbo funkcijų vykdymo užtikrinimas</t>
  </si>
  <si>
    <t>07.01.01.07.</t>
  </si>
  <si>
    <t>Priemonė: užtikrinti savivaldybės administracijos Griškabūdžio seniūnijos darbo funkcionalumą</t>
  </si>
  <si>
    <t>Saulius Naumavičius</t>
  </si>
  <si>
    <t>07.01.01.07.01.</t>
  </si>
  <si>
    <t>Veikla: Savivaldybės administracijos Griškabūdžio seniūnijos darbuotojų darbo funkcijų vykdymo užtikrinimas</t>
  </si>
  <si>
    <t>07.01.01.08.</t>
  </si>
  <si>
    <t>Priemonė: užtikrinti savivaldybės administracijos Kidulių seniūnijos darbo funkcionalumą.</t>
  </si>
  <si>
    <t>Kidulių seniūnija</t>
  </si>
  <si>
    <t>Renata Švelnytė-Mykolaitienė</t>
  </si>
  <si>
    <t>07.01.01.08.01.</t>
  </si>
  <si>
    <t>Veikla: Savivaldybės administracijos Kidulių seniūnijos darbuotojų darbo funkcijų vykdymo užtikrinimas</t>
  </si>
  <si>
    <t>07.01.01.09.</t>
  </si>
  <si>
    <t>Priemonė: užtikrinti savivaldybės administracijos Kriūkų seniūnijos darbo funkcionalumą.</t>
  </si>
  <si>
    <t>Anatolijus Kazlauskas</t>
  </si>
  <si>
    <t>07.01.01.09.01.</t>
  </si>
  <si>
    <t>Veikla: Savivaldybės administracijos Kriūkų seniūnijos darbuotojų darbo funkcijų vykdymo užtikrinimas</t>
  </si>
  <si>
    <t>07.01.01.10.</t>
  </si>
  <si>
    <t>Priemonė: užtikrinti savivaldybės administracijos Kudirkos Naumiesčio seniūnijos darbo funkcionalumą.</t>
  </si>
  <si>
    <t>Edvardas Belevičius</t>
  </si>
  <si>
    <t>07.01.01.10.01.</t>
  </si>
  <si>
    <t>Veikla: Savivaldybės administracijos Kudirkos Naumiesčio seniūnijos darbuotojų darbo funkcijų vykdymo užtikrinimas</t>
  </si>
  <si>
    <t>07.01.01.11.</t>
  </si>
  <si>
    <t>Priemonė: užtikrinti savivaldybės administracijos Lekėčių seniūnijos darbo funkcionalumą.</t>
  </si>
  <si>
    <t>Ričardas Krikštolaitis</t>
  </si>
  <si>
    <t>07.01.01.11.01.</t>
  </si>
  <si>
    <t>Veikla: Savivaldybės administracijos Lekėčių seniūnijos darbuotojų darbo funkcijų vykdymo užtikrinimas</t>
  </si>
  <si>
    <t>07.01.01.12.</t>
  </si>
  <si>
    <t>Priemonė: užtikrinti savivaldybės administracijos Lukšių seniūnijos darbo funkcionalumą.</t>
  </si>
  <si>
    <t>Lukšių seniūnija</t>
  </si>
  <si>
    <t>Vytautas Andziulevičius</t>
  </si>
  <si>
    <t>07.01.01.12.01.</t>
  </si>
  <si>
    <t>Veikla: Savivaldybės administracijos Lukšių seniūnijos darbuotojų darbo funkcijų vykdymo užtikrinimas</t>
  </si>
  <si>
    <t>07.01.01.13.</t>
  </si>
  <si>
    <t>Priemonė: užtikrinti savivaldybės administracijos Plokščių seniūnijos darbo funkcionalumą.</t>
  </si>
  <si>
    <t>Plokščių seniūnija</t>
  </si>
  <si>
    <t>Danas Bendoraitis</t>
  </si>
  <si>
    <t>07.01.01.13.01.</t>
  </si>
  <si>
    <t>Veikla: Savivaldybės administracijos Plokščių seniūnijos darbuotojų darbo funkcijų vykdymo užtikrinimas</t>
  </si>
  <si>
    <t>07.01.01.14.</t>
  </si>
  <si>
    <t>Priemonė: užtikrinti savivaldybės administracijos Sintautų seniūnijos darbo funkcionalumą.</t>
  </si>
  <si>
    <t>Sintautų seniūnija</t>
  </si>
  <si>
    <t>Kęstutis  Birbilas</t>
  </si>
  <si>
    <t>07.01.01.14.01.</t>
  </si>
  <si>
    <t>Veikla: Savivaldybės administracijos Sintautų seniūnijos darbuotojų darbo funkcijų vykdymo užtikrinimas</t>
  </si>
  <si>
    <t>07.01.01.14.02.</t>
  </si>
  <si>
    <t>Veikla: Savivaldybės administracijos Sintautų seniūnijos pajamų uždirbimui vykdomų priemonių užtikrinimas (patalpų nuoma, turto pardavimas ir kt.)</t>
  </si>
  <si>
    <t>07.01.01.15.</t>
  </si>
  <si>
    <t>Priemonė: užtikrinti savivaldybės administracijos Slavikų seniūnijos darbo funkcionalumą.</t>
  </si>
  <si>
    <t>Slavikų seniūnija</t>
  </si>
  <si>
    <t>Redas Juškaitis</t>
  </si>
  <si>
    <t>07.01.01.15.01.</t>
  </si>
  <si>
    <t>Veikla: Savivaldybės administracijos Slavikų seniūnijos darbuotojų darbo funkcijų vykdymo užtikrinimas</t>
  </si>
  <si>
    <t>07.01.01.16.</t>
  </si>
  <si>
    <t>Priemonė: užtikrinti savivaldybės administracijos Sudargo seniūnijos darbo funkcionalumą.</t>
  </si>
  <si>
    <t>Sudargo seniūnija</t>
  </si>
  <si>
    <t>Rita  Grigaitienė</t>
  </si>
  <si>
    <t>07.01.01.16.01.</t>
  </si>
  <si>
    <t>Veikla: Savivaldybės administracijos Sudargo seniūnijos darbuotojų darbo funkcijų vykdymo užtikrinimas</t>
  </si>
  <si>
    <t>07.01.01.17.</t>
  </si>
  <si>
    <t>Priemonė: užtikrinti savivaldybės administracijos Šakių seniūnijos darbo funkcionalumą.</t>
  </si>
  <si>
    <t>Šakių seniūnija</t>
  </si>
  <si>
    <t>Dalius Jasevičius</t>
  </si>
  <si>
    <t>07.01.01.17.01.</t>
  </si>
  <si>
    <t>Veikla: Savivaldybės administracijos Šakių seniūnijos darbuotojų darbo funkcijų vykdymo užtikrinimas</t>
  </si>
  <si>
    <t>07.01.01.18.</t>
  </si>
  <si>
    <t>Priemonė: užtikrinti savivaldybės administracijos Žvirgždaičių seniūnijos darbo funkcionalumą.</t>
  </si>
  <si>
    <t>Žvirgždaičių seniūnija</t>
  </si>
  <si>
    <t>Giedrė Snudaitienė</t>
  </si>
  <si>
    <t>07.01.01.18.01.</t>
  </si>
  <si>
    <t>Veikla: Savivaldybės administracijos Žvirgždaičių seniūnijos darbuotojų darbo funkcijų vykdymo užtikrinimas</t>
  </si>
  <si>
    <t>07.01.02.</t>
  </si>
  <si>
    <t>Uždavinys: Užtikrinti efektyvų priskirtųjų (ribotai savarankiškų) savivaldybių funkcijų vykdymą)</t>
  </si>
  <si>
    <t>Nuostolių dėl keleivių vežimo vietinio (priemiestinio) reguliaraus susisiekimo autobusų maršrutais procentas nuo išlaidų, patirtų vežant keleivius (priemiestinio) reguliaraus susisiekimo autobusais</t>
  </si>
  <si>
    <t>49,70</t>
  </si>
  <si>
    <t>07.01.02.01.</t>
  </si>
  <si>
    <t>Priemonė: Organizuoti keleivių vežimą vietiniais maršrutais</t>
  </si>
  <si>
    <t>07.01.02.01.01</t>
  </si>
  <si>
    <t>Veikla: Keleivių vežimo vietiniais marštutais organizavimas</t>
  </si>
  <si>
    <t>07.01.03.</t>
  </si>
  <si>
    <t>Uždavinys: Formuoti savivaldybės veiklos įvaizdį</t>
  </si>
  <si>
    <t>Reprezentacinių renginių skaičius</t>
  </si>
  <si>
    <t>150,00</t>
  </si>
  <si>
    <t>07.01.03.01.</t>
  </si>
  <si>
    <t>Priemonė: Organizuoti reprezentacijas ir dalyvauti švenčių ir renginių organizavime</t>
  </si>
  <si>
    <t>163,00</t>
  </si>
  <si>
    <t>07.01.03.01.01</t>
  </si>
  <si>
    <t>Veikla: Reprezentacijų, švenčių ir renginių organizavimo bei atsovavimo užtikrinimas</t>
  </si>
  <si>
    <t>07.01.03.02.</t>
  </si>
  <si>
    <t>Priemonė: Reprezentacinis pavėžėjimas</t>
  </si>
  <si>
    <t>Reprezentacinių pavėžėjimų skaičius</t>
  </si>
  <si>
    <t>65,00</t>
  </si>
  <si>
    <t>07.01.03.02.01</t>
  </si>
  <si>
    <t>Veikla: Organizuoti reprezentacinį pavėžėjimą</t>
  </si>
  <si>
    <t>07.01.03.03.</t>
  </si>
  <si>
    <t>Priemonė: Organizuoti mero fondo reprezentacijas ir atstovauti Šakių rajono savivaldybę Lietuvoje ir užsienyje</t>
  </si>
  <si>
    <t>Vaida Skaizgirienė</t>
  </si>
  <si>
    <t>130,00</t>
  </si>
  <si>
    <t>07.01.03.03.01</t>
  </si>
  <si>
    <t>Veikla: Organizuoti reprezentacijas ir atstovauti Šakių rajono savivaldybę Lietuvoje ir užsienyje</t>
  </si>
  <si>
    <t>07.01.04.</t>
  </si>
  <si>
    <t>Uždavinys: Nenumatytų reikmių finansavimas</t>
  </si>
  <si>
    <t>Biudžeto, turto ir strateginio planavimo skyrius</t>
  </si>
  <si>
    <t>Vilija Tamošaitienė</t>
  </si>
  <si>
    <t>Prašymų skaičius</t>
  </si>
  <si>
    <t>07.01.04.01.</t>
  </si>
  <si>
    <t>Priemonė: Ekstremalių situacijų padarinių likvidavimas</t>
  </si>
  <si>
    <t>07.01.04.01.01</t>
  </si>
  <si>
    <t>Veikla: Likviduoti ekstremalių situacijų padarinius</t>
  </si>
  <si>
    <t>07.01.05.</t>
  </si>
  <si>
    <t>Uždavinys: Dengti su savivaldybės turto disponavimu ir įteisinimu susijusias išlaidas</t>
  </si>
  <si>
    <t>Irmunda Čepulionienė; Sonata  Gruzdaitienė</t>
  </si>
  <si>
    <t>Įteisinta nekilnojamojo turto, atlikta kadastrinių matavimų, parengta detaliųjų planų, atlikta teisinių registracijų pagal pasirašytas sutartis (proc.)</t>
  </si>
  <si>
    <t>07.01.05.01</t>
  </si>
  <si>
    <t>Priemonė. Organizuoti savivaldybės turto vertinimą.</t>
  </si>
  <si>
    <t>Irmunda Čepulionienė</t>
  </si>
  <si>
    <t>Užsakymų skaičius</t>
  </si>
  <si>
    <t>07.01.05.01.01.</t>
  </si>
  <si>
    <t>Veikla: Pateikti prašymus išduoti pastatų energetinio naudingumo sertifikatus</t>
  </si>
  <si>
    <t>07.01.05.01.02.</t>
  </si>
  <si>
    <t>Veikla: Pateikti užsakymus nustatyti NT vertes</t>
  </si>
  <si>
    <t>07.01.05.02.</t>
  </si>
  <si>
    <t>Priemonė. Organizuoti savivaldybės turto kadastrinius matavimus.</t>
  </si>
  <si>
    <t>Sonata  Gruzdaitienė</t>
  </si>
  <si>
    <t>07.01.05.02.01.</t>
  </si>
  <si>
    <t>Veikla: Pateikti užsakymus atlikti pastatų ir statinių kadastrinius matavimus</t>
  </si>
  <si>
    <t>07.01.05.03.</t>
  </si>
  <si>
    <t>Priemonė. Organizuoti savivaldybės turto teisinę registraciją</t>
  </si>
  <si>
    <t>07.01.05.03.01.</t>
  </si>
  <si>
    <t>Veikla: Pateikti užsakymus užregistruoti NT objektus ir juridinius faktus</t>
  </si>
  <si>
    <t>07.01.05.04.</t>
  </si>
  <si>
    <t>Priemonė. Administruoti valstybinės žemės sklypų realizavimo pajamas</t>
  </si>
  <si>
    <t>Biudžeto, turto ir strateginio planavimo skyrius; Architektūros ir urbanistikos skyrius</t>
  </si>
  <si>
    <t>Irmunda Čepulionienė; Loreta Macijauskienė</t>
  </si>
  <si>
    <t>07.01.05.04.01.</t>
  </si>
  <si>
    <t>Veikla: Pateikti prašymus suformuoti žemės sklypus</t>
  </si>
  <si>
    <t>07.01.05.04.02.</t>
  </si>
  <si>
    <t>Veikla: Pateikti prašymus atlikti žemės sklypų kadastrinius matavimus</t>
  </si>
  <si>
    <t>07.01.06.</t>
  </si>
  <si>
    <t>Uždavinys: Užtikrinti finansinių įsipareigojimų vykdymą</t>
  </si>
  <si>
    <t>Renata Maciukevičienė</t>
  </si>
  <si>
    <t>Grąžintos paskolos pagal pasirašytas sutartis (proc.)</t>
  </si>
  <si>
    <t>07.01.06.01.</t>
  </si>
  <si>
    <t>Priemonė: Grąžinti paskolas</t>
  </si>
  <si>
    <t>Finansinių įsipareigojimų vykdymas (paskolų grąžinimas pagal grafiką)</t>
  </si>
  <si>
    <t>07.01.06.01.01</t>
  </si>
  <si>
    <t>Veikla: Vykdyti finansinius įsipareigojimus (paskolų grąžinimą pagal grafiką)</t>
  </si>
  <si>
    <t>07.01.06.02.</t>
  </si>
  <si>
    <t>Priemonė: Mokėti palūkanas</t>
  </si>
  <si>
    <t>Finansinių įsipareigojimų vykdymas (palūkanų grąžinimas pagal grafiką)</t>
  </si>
  <si>
    <t>07.01.06.02.01</t>
  </si>
  <si>
    <t>Veikla: Vykdyti finansinius įsipareigojimus (mokėti palūkanas)</t>
  </si>
  <si>
    <t>07.01.07.</t>
  </si>
  <si>
    <t>Uždavinys: Vykdyti administracinės naštos mažinimą</t>
  </si>
  <si>
    <t>Parengtų administracinės naštos priemonių planų skaičius</t>
  </si>
  <si>
    <t>07.01.07.03.</t>
  </si>
  <si>
    <t>Priemonė: Mažinant administracinę naštą, teikti ataskaitas elektroniniu būdu švietimo, kultūros, sporto srityje</t>
  </si>
  <si>
    <t>Švietimo, kultūros ir sporto skyrius; Bendrųjų reikalų skyrius</t>
  </si>
  <si>
    <t>Mažinant administracinę naštą, pateiktų  elektroniniu būdu švietimo, kultūros, sporto srityje ataskaitų skaičius</t>
  </si>
  <si>
    <t>07.01.07.03.01.</t>
  </si>
  <si>
    <t>Veikla: Suformuotų ataskaitų skaičius, mažinant administracinę naštą, pateikiamų elektroniniu būdu švietimo, kultūros ir sporto srityje</t>
  </si>
  <si>
    <t>07.01.07.05</t>
  </si>
  <si>
    <t>Priemonė. Mažinant administracinę naštą, diegti naujas ir tobulinti veikiančias informacines sistemas.</t>
  </si>
  <si>
    <t>Įdiegtų naujų ir patobulintų veikiančių informacinių sistemų skaičius</t>
  </si>
  <si>
    <t>6,00</t>
  </si>
  <si>
    <t>07.01.07.05.01.</t>
  </si>
  <si>
    <t>Veikla: Įdiegti informacines sistemas</t>
  </si>
  <si>
    <t>07.01.07.05.02.</t>
  </si>
  <si>
    <t>Veikla: Tobulinti veikiančias, Bendrųjų reikalų skyriaus prižiūrimas informacines sistemas</t>
  </si>
  <si>
    <t>07.01.07.07</t>
  </si>
  <si>
    <t>Priemonė.Mažinant administracinę naštą, licencijas, leidimus ir pažymas išduoti per trumpesnį laiką, nelaukiant, kol sueis teisės aktuose nustatytas terminas</t>
  </si>
  <si>
    <t>Apskaitos skyrius; Socialinės paramos skyrius; Švietimo, kultūros ir sporto skyrius; Ūkio ir investicijų skyrius; Žemės ūkio ir kaimo reikalų skyrius; Bendrųjų reikalų skyrius; Teisės, personalo ir civilinės metrikacijos skyrius; Architektūros ir urbanistikos skyrius</t>
  </si>
  <si>
    <t>Greičiau, nei nustatyta teisės aktuose, išduotų DVS priemonėmis licencijų, leidimų ir pažymų dalis nuo viso išduotų minėtų dokumentų skaičiaus DVS, proc.</t>
  </si>
  <si>
    <t>70,00</t>
  </si>
  <si>
    <t>07.01.07.07.01.</t>
  </si>
  <si>
    <t>Veikla: Išduoti per trumpesnį laiką nei nustatyta teisės aktuose licencijas, leidimus, pažymas</t>
  </si>
  <si>
    <t>07.01.07.08</t>
  </si>
  <si>
    <t>Priemonė. Užtikrinti teisės aktų sukeliamos administracinės naštos stebėseną, įvertinti teisės aktų sukeliamą administracinę naštą.</t>
  </si>
  <si>
    <t>Įvertintų teisės aktų skaičius</t>
  </si>
  <si>
    <t>07.01.07.08.01.</t>
  </si>
  <si>
    <t>Veikla: Įvertinti teisės aktus</t>
  </si>
  <si>
    <t>07.02.</t>
  </si>
  <si>
    <t>Tikslas: Stiprinti Lietuvos įtaką pasaulyje ir ryšius su diaspora</t>
  </si>
  <si>
    <t>07.02.01.</t>
  </si>
  <si>
    <t>Uždavinys: Stiprinti atstovavimą Lietuvos interesams tarptautinėje erdvėje ir diasporos politiką</t>
  </si>
  <si>
    <t>Oficialios paramos vystymuisi  kriterijus atitinkančių vystomojo bendradarbiavimo veiklų finansavimo apimtis, dalis nuo bendrojo nacionalinio produkto, proc.</t>
  </si>
  <si>
    <t>0,18</t>
  </si>
  <si>
    <t>07.02.01.01.</t>
  </si>
  <si>
    <t>Priemonė: Teikti humanitarinę pagalbą ir įgyvendinti vystomąjį bendradarbiavimą</t>
  </si>
  <si>
    <t>Humanitarinės pagalbos priemonių skaičius</t>
  </si>
  <si>
    <t>07.02.01.02.01.</t>
  </si>
  <si>
    <t>Veikla: Teikti humanitarinę pagalbą</t>
  </si>
  <si>
    <t>07.02.01.02.</t>
  </si>
  <si>
    <t>Priemonė. Teisinių konsultacijų teikimas diasporai.</t>
  </si>
  <si>
    <t>Suteiktų teisinių konsultacijų diasporai skaičius</t>
  </si>
  <si>
    <t>07.02.01.02.02.</t>
  </si>
  <si>
    <t>Veikla: Teikti teisines konsultacijas diasporai</t>
  </si>
  <si>
    <t>12</t>
  </si>
  <si>
    <t>Ūkio plėtros programa</t>
  </si>
  <si>
    <t>Martynas Remeikis; Rasita Staugaitienė</t>
  </si>
  <si>
    <t>12.01</t>
  </si>
  <si>
    <t>Tikslas.  Darnaus išteklių naudojimo skatinimas.</t>
  </si>
  <si>
    <t>Renovuotų daugiabučių namų dalis, procentais</t>
  </si>
  <si>
    <t>12.01.01</t>
  </si>
  <si>
    <t>Uždavinys. Vykdyti visuomenės aplinkosauginį švietimą bei aplinkos stebėseną</t>
  </si>
  <si>
    <t>Įgyvendintų aplinkosauginių priemonių skaičius</t>
  </si>
  <si>
    <t>12.01.01.01.</t>
  </si>
  <si>
    <t>Priemonė. Medžiojamųjų gyvūnų daromos žalos miškui prevencijos priemonių kompensavimas</t>
  </si>
  <si>
    <t>Įvertintų VĮ VMU Šakių regioninio padalinio pateiktų paraiškų kompensacijai gauti skaičius</t>
  </si>
  <si>
    <t>12.01.01.01.05.</t>
  </si>
  <si>
    <t>Veikla: Kompensuoti medžiojamų gyvūnų daromos žalos miškui prevencijos priemones</t>
  </si>
  <si>
    <t>12.01.01.02.</t>
  </si>
  <si>
    <t>Priemonė. Vilkų ūkiniams gyvūnams daromos žalos prevencijos priemonių kompensavimas</t>
  </si>
  <si>
    <t>Įvertintų paraiškų kompensacijai gauti skaičius</t>
  </si>
  <si>
    <t>12.01.01.02.01.</t>
  </si>
  <si>
    <t>Veikla: Įvertinti fizinių asmenų paraiškas kompensacijai gauti dėl vilkų ūkiniams gyvūnams daromos žalos</t>
  </si>
  <si>
    <t>12.01.01.03.</t>
  </si>
  <si>
    <t>Priemonė. Įgyvendinti savivaldybės visuomenės sveikatos rėmimo specialiąją programą</t>
  </si>
  <si>
    <t>Savivaldybės adm.vyriausioji specialistė (gydytoja)</t>
  </si>
  <si>
    <t>Edita Zubrickienė</t>
  </si>
  <si>
    <t>Įgyvendintų sveikatos programos projektų skaičius</t>
  </si>
  <si>
    <t>12.01.01.03.01.</t>
  </si>
  <si>
    <t>Veikla: Įgyvendinti sveikatos programos projektus</t>
  </si>
  <si>
    <t>12.01.01.04.</t>
  </si>
  <si>
    <t>Priemonė. Gyventojams priklausančių gaminių, turinčių neigiamą poveikį aplinkai  darančių medžiagų (asbesto), atliekų tvarkymas</t>
  </si>
  <si>
    <t>Sutvarkyta asbesto turinčių atliekų</t>
  </si>
  <si>
    <t>t</t>
  </si>
  <si>
    <t>12.01.01.04.01.</t>
  </si>
  <si>
    <t>Veikla: Pagal seniūnijų poreikį sutvarkyti asbesto turinčias atliekas</t>
  </si>
  <si>
    <t>12.01.01.05.</t>
  </si>
  <si>
    <t>Priemonė. Vandentvarkos objektų projektavimas, statyba ir remontas</t>
  </si>
  <si>
    <t>Sutvarkyta vandentvarkos objektų</t>
  </si>
  <si>
    <t>12.01.01.05.01.</t>
  </si>
  <si>
    <t>Veikla: Pagal poreikį sutvarkyti vandentvarkos objektus</t>
  </si>
  <si>
    <t>12.01.01.06.</t>
  </si>
  <si>
    <t>Priemonė. Savivaldybei priklausančių statinių tamponavimo darbai</t>
  </si>
  <si>
    <t>Užtamponuota nenaudojamų vandens gręžinių</t>
  </si>
  <si>
    <t>12.01.01.06.01.</t>
  </si>
  <si>
    <t>Veikla: Užtamponuoti nenaudojamus vandens gręžinius</t>
  </si>
  <si>
    <t>12.01.01.07.</t>
  </si>
  <si>
    <t>Priemonė. Teršalų, išmetamų į gilesnius žemės sluoksnius savivaldybės teritorijoje, mažinimas</t>
  </si>
  <si>
    <t>Kompensuotų paraiškų skaičius už individualių nuotekų valymo įrenginių įrengimą</t>
  </si>
  <si>
    <t>22,00</t>
  </si>
  <si>
    <t>12.01.01.07.01.</t>
  </si>
  <si>
    <t>Veikla: Pagal fizinių asmenų pateiktus prašymus kompensuoti individualių nuotekų valymo įrenginių įrengimą</t>
  </si>
  <si>
    <t>12.01.01.08.</t>
  </si>
  <si>
    <t>Priemonė. Invazinių Lietuvoje rūšių sąraše esančių rūšių gausos reguliavimas ir naikinimas</t>
  </si>
  <si>
    <t>Seniūnijų, kuriuose buvo reguliuojams invazinių šliužų gausos reguliavimas, skaičius</t>
  </si>
  <si>
    <t>12.01.01.08.01.</t>
  </si>
  <si>
    <t>Veikla: Pagal seniūnijų pateiktus prašymus įsigyti cheminių priemonių invazinių šliužų gausos reguliavimui</t>
  </si>
  <si>
    <t>12.01.01.10.</t>
  </si>
  <si>
    <t>Priemonė. Bešeimininkių ar pavojingų atliekų surinkimas, nelegalių sąvartynų likvidavimas</t>
  </si>
  <si>
    <t>Sutvarkytų teritorijų skaičius</t>
  </si>
  <si>
    <t>12.01.01.10.01.</t>
  </si>
  <si>
    <t>Veikla:  Pagal poreikį surinkti ir sutvarkyti bešeimininkes ar pavojingas atliekas</t>
  </si>
  <si>
    <t>12.01.01.11</t>
  </si>
  <si>
    <t>Priemonė. Savivaldybės aplinkos monitoringo programos įgyvendinimas</t>
  </si>
  <si>
    <t>Įgyvendintų aplinkos monitoringo programos priemonių skaičius</t>
  </si>
  <si>
    <t>12.01.01.11.01</t>
  </si>
  <si>
    <t>Veikla: Įgyvendinti savivaldybės aplinkos monitoringo programoje numatytas priemones</t>
  </si>
  <si>
    <t>12.01.01.12.</t>
  </si>
  <si>
    <t>Priemonė. Seminarams, komandiruotėms, fotografijos prekėms, knygoms, bukletams pirkti, laikraščiams ar kt. leidiniams užsakyti, ekologiškiems suvenyrams įsigyti</t>
  </si>
  <si>
    <t>12.01.01.12.01.</t>
  </si>
  <si>
    <t>Veikla: Vykdyti aplinkosaugos viešinimo veiklą</t>
  </si>
  <si>
    <t>12.01.01.13.</t>
  </si>
  <si>
    <t>Priemonė. Želdinių įsigijimas</t>
  </si>
  <si>
    <t>Apželdintų visuomeninių teritorijų skaičius</t>
  </si>
  <si>
    <t>14,00</t>
  </si>
  <si>
    <t>12.01.01.13.01.</t>
  </si>
  <si>
    <t>Veikla: Pagal seniūnijų poreikį įsigyti želdinius visuomeninių teritorijų apželdinimui</t>
  </si>
  <si>
    <t>12.01.01.14.</t>
  </si>
  <si>
    <t>Priemonė. Pavojų keliančių ir sergančių medžių genėjimas bei šalinimas</t>
  </si>
  <si>
    <t>Sutvarkytų seniūnijų teritorijų skaičius</t>
  </si>
  <si>
    <t>12.01.01.14.01.</t>
  </si>
  <si>
    <t>Veikla: Įsigyti arboristų paslaugą pavojų keliančių ir sergančių medžių genėjimui bei šalinimui</t>
  </si>
  <si>
    <t>12.01.01.15.</t>
  </si>
  <si>
    <t>Priemonė. Šakių rajono želdynų ir želdinių inventorizavimas ir apskaita</t>
  </si>
  <si>
    <t>Nupirktų paslaugų kiekis</t>
  </si>
  <si>
    <t>12.01.01.15.01.</t>
  </si>
  <si>
    <t>Veikla: Nupirkti želdynų ir želdinių inventorizavimo paslaugą</t>
  </si>
  <si>
    <t>12.01.01.16.</t>
  </si>
  <si>
    <t>Priemonė. Viešųjų želdynų ir želdinių priežiūrai reikalingų ekspertų konsultacinių paslaugų pirkimas</t>
  </si>
  <si>
    <t>Nupirktų paslaugų skaičius</t>
  </si>
  <si>
    <t>12.01.01.16.01.</t>
  </si>
  <si>
    <t>Veikla: Esant poreikiui nupirkti želdynų ir želdinių priežiūrai reikalingų ekspertų konsultacines paslaugas</t>
  </si>
  <si>
    <t>12.01.02.</t>
  </si>
  <si>
    <t>Uždavinys. Kompleksiškai plėtoti ir puoselėti  rekreacines teritorijas, želdynus, tvenkinius bei kitas viešąsias erdves, pritaikant jas gyventojų bei verslo poreikiams</t>
  </si>
  <si>
    <t>12.01.02.02.</t>
  </si>
  <si>
    <t>Priemonė: Bešeimininkių gyvūnų gaudymo, karantinavimo, globos ir eutanazijos paslaugos</t>
  </si>
  <si>
    <t>Bešeimininkių šunų ir kačių, kuriais pasirūpinta, skaičius</t>
  </si>
  <si>
    <t>12.01.02.02.01</t>
  </si>
  <si>
    <t>Veikla: Pagal gautą informaciją iš seniūnijų ir suinteresuotų institucijų organizuoti bešeimininkių gyvūnų gaudymo, karantinavimo, globos ir eutanazijos paslaugas</t>
  </si>
  <si>
    <t>12.01.02.03.</t>
  </si>
  <si>
    <t>Priemonė: Bešeimininkių kačių kastravimo programa "Pagauk-sterilizuok-paleisk" (PSP)</t>
  </si>
  <si>
    <t>12.01.02.03.01.</t>
  </si>
  <si>
    <t>Veikla: Įgyvendinti bešeimininkių kačių kastravimo programą "Pagauk - sterilizuok-paleisk" (PSP)</t>
  </si>
  <si>
    <t>12.01.02.04.</t>
  </si>
  <si>
    <t>Priemonė. Aplinkotvarkos darbai Barzdų seniūnijoje</t>
  </si>
  <si>
    <t>Prižiūrėta viešojo naudojimo teritorija</t>
  </si>
  <si>
    <t>ha</t>
  </si>
  <si>
    <t>12.01.02.04.01.</t>
  </si>
  <si>
    <t>Veikla: Prižiūrėti Barzdų seniūnijoje viešojo naudojimo teritorijas</t>
  </si>
  <si>
    <t>12.01.02.05</t>
  </si>
  <si>
    <t>Priemonė. Aplinkotvarkos darbai Gelgaudiškio seniūnijoje</t>
  </si>
  <si>
    <t>12.01.02.05.01.</t>
  </si>
  <si>
    <t>Veikla: Prižiūrėti Gelgaudiškio seniūnijoje viešojo naudojimo teritorijas</t>
  </si>
  <si>
    <t>12.01.02.06</t>
  </si>
  <si>
    <t>Priemonė. Aplinkotvarkos darbai Griškabūdžio seniūnijoje</t>
  </si>
  <si>
    <t>12.01.02.06.01.</t>
  </si>
  <si>
    <t>Veikla: Prižiūrėti Griškabūdžio seniūnijoje viešojo naudojimo teritorijas</t>
  </si>
  <si>
    <t>12.01.02.07</t>
  </si>
  <si>
    <t>Priemonė. Aplinkotvarkos darbai Kidulių seniūnijoje</t>
  </si>
  <si>
    <t>32,00</t>
  </si>
  <si>
    <t>12.01.02.07.01.</t>
  </si>
  <si>
    <t>Veikla: Prižiūrėti Kidulių seniūnijoje viešojo naudojimo teritorijas</t>
  </si>
  <si>
    <t>12.01.02.08</t>
  </si>
  <si>
    <t>Priemonė. Aplinkotvarkos darbai Kriūkų seniūnijoje</t>
  </si>
  <si>
    <t>38,00</t>
  </si>
  <si>
    <t>12.01.02.08.01.</t>
  </si>
  <si>
    <t>Veikla: Prižiūrėti Kriūkų seniūnijoje viešojo naudojimo teritorijas</t>
  </si>
  <si>
    <t>12.01.02.09</t>
  </si>
  <si>
    <t>Priemonė. Aplinkotvarkos darbai Kudirkos Naumiesčio seniūnijoje</t>
  </si>
  <si>
    <t>60,00</t>
  </si>
  <si>
    <t>12.01.02.09.01.</t>
  </si>
  <si>
    <t>Veikla: Prižiūrėti Kudirkos Naumiesčio seniūnijoje viešojo naudojimo teritorijas</t>
  </si>
  <si>
    <t>12.01.02.10</t>
  </si>
  <si>
    <t>Priemonė. Aplinkotvarkos darbai Lekėčių seniūnijoje</t>
  </si>
  <si>
    <t>13,50</t>
  </si>
  <si>
    <t>12.01.02.10.01.</t>
  </si>
  <si>
    <t>Veikla: Prižiūrėti Lekėčių seniūnijoje viešojo naudojimo teritorijas</t>
  </si>
  <si>
    <t>12.01.02.11</t>
  </si>
  <si>
    <t>Priemonė. Aplinkotvarkos darbai Lukšių seniūnijoje</t>
  </si>
  <si>
    <t>75,00</t>
  </si>
  <si>
    <t>12.01.02.11.01.</t>
  </si>
  <si>
    <t>Veikla: Prižiūrėti Lukšių seniūnijoje viešojo naudojimo teritorijas</t>
  </si>
  <si>
    <t>12.01.02.12</t>
  </si>
  <si>
    <t>Priemonė. Aplinkotvarkos darbai Plokščių seniūnijoje</t>
  </si>
  <si>
    <t>39,80</t>
  </si>
  <si>
    <t>12.01.02.12.01.</t>
  </si>
  <si>
    <t>Veikla: Prižiūrėti Plokščių seniūnijoje viešojo naudojimo teritorijas</t>
  </si>
  <si>
    <t>12.01.02.13</t>
  </si>
  <si>
    <t>Priemonė. Aplinkotvarkos darbai Sintautų seniūnijoje</t>
  </si>
  <si>
    <t>12.01.02.13.01.</t>
  </si>
  <si>
    <t>Veikla: Prižiūrėti Sintautų seniūnijoje viešojo naudojimo teritorijas</t>
  </si>
  <si>
    <t>12.01.02.14</t>
  </si>
  <si>
    <t>Priemonė. Aplinkotvarkos darbai Slavikų  seniūnijoje</t>
  </si>
  <si>
    <t>14,40</t>
  </si>
  <si>
    <t>12.01.02.14.01.</t>
  </si>
  <si>
    <t>Veikla: Prižiūrėti Slavikų seniūnijoje viešojo naudojimo teritorijas</t>
  </si>
  <si>
    <t>12.01.02.15</t>
  </si>
  <si>
    <t>Priemonė. Aplinkotvarkos darbai Sudargo seniūnijoje</t>
  </si>
  <si>
    <t>43,00</t>
  </si>
  <si>
    <t>12.01.02.15.01.</t>
  </si>
  <si>
    <t>Veikla: Prižiūrėti Sudargo seniūnijoje viešojo naudojimo teritorijas</t>
  </si>
  <si>
    <t>12.01.02.16</t>
  </si>
  <si>
    <t>Priemonė. Aplinkotvarkos darbai Šakių seniūnijoje</t>
  </si>
  <si>
    <t>39,00</t>
  </si>
  <si>
    <t>12.01.02.16.01.</t>
  </si>
  <si>
    <t>Veikla: Prižiūrėti Šakių seniūnijoje viešojo naudojimo teritorijas</t>
  </si>
  <si>
    <t>12.01.02.17</t>
  </si>
  <si>
    <t>Priemonė. Aplinkotvarkos darbai Žvirgždaičių seniūnijoje</t>
  </si>
  <si>
    <t>12.01.02.17.01.</t>
  </si>
  <si>
    <t>Veikla: Prižiūrėti Žvirgždaičių seniūnijoje viešojo naudojimo teritorijas</t>
  </si>
  <si>
    <t>12.01.02.18</t>
  </si>
  <si>
    <t>Priemonė: Šakių rajono savivaldybei priklausančių valstybinių miškų priežiūra</t>
  </si>
  <si>
    <t>Martynas Remeikis; Rasita Staugaitienė; Valdas Dumčius</t>
  </si>
  <si>
    <t>Tvarkomų miškų kiekis</t>
  </si>
  <si>
    <t>12.01.02.18.01.</t>
  </si>
  <si>
    <t>Veikla: vykdyti Gelgaudiškio miško atsodinimo ir tolimesnius (kleimavimo) darbus</t>
  </si>
  <si>
    <t>12.01.03.</t>
  </si>
  <si>
    <t>Uždavinys. Plėtoti ir tobulinti komunalinių atliekų surinkimo, tvarkymo ir pirminio rūšiavimo infrastruktūrą</t>
  </si>
  <si>
    <t>Sąvartynuose šalinamų komunalinių atliekų dalis procentais</t>
  </si>
  <si>
    <t>%</t>
  </si>
  <si>
    <t>12.01.03.02.</t>
  </si>
  <si>
    <t>Priemonė: Šakių seniūnijos pajamos</t>
  </si>
  <si>
    <t>Seniūnijų, kurios teikia mokamas viešąsias paslaugas skaičius</t>
  </si>
  <si>
    <t>12.01.03.02.01.</t>
  </si>
  <si>
    <t>Veikla: Surinkti lėšas už teikiamas paslaugas Šakių seniūnijoje</t>
  </si>
  <si>
    <t>12.01.03.03</t>
  </si>
  <si>
    <t>Priemonė: Gyventojams priklausančių gaminių, kurių sudėtyje yra neigiamą poveikį aplinkai turinčių medžiagų, atliekų tvarkymas</t>
  </si>
  <si>
    <t>Numatomas sutvarkyti asbesto kiekis, tonomis</t>
  </si>
  <si>
    <t>12.01.03.03.01</t>
  </si>
  <si>
    <t>Veikla: Pagal pateiktą sąrašą surinkti sukauptą asbestą ir jį pristatyti saugiam šalinimui</t>
  </si>
  <si>
    <t>12.01.03.06.</t>
  </si>
  <si>
    <t>Priemonė: Įgyvendinti projektą  „Bešeimininkių padangų atliekų sutvarkymas Šakių rajono savivaldybėje" 2023 m.</t>
  </si>
  <si>
    <t>Įgyvendinamų projektų skaičius</t>
  </si>
  <si>
    <t>12.01.03.06.01.</t>
  </si>
  <si>
    <t>Veikla: Organizuoti bešeimininkių padangų atliekų sutvarkymą Šakių rajono savivaldybėje</t>
  </si>
  <si>
    <t>12.01.05.</t>
  </si>
  <si>
    <t>Uždavinys. Renovuoti  šilumos gamybos  ir tiekimo sistemas</t>
  </si>
  <si>
    <t>Renovuotų šilumos gamybos ir tiekimo sistemų skaičius</t>
  </si>
  <si>
    <t>12.01.05.03.</t>
  </si>
  <si>
    <t>Priemonė: Renovuoti šilumos gamybos ir tiekimo sistemas</t>
  </si>
  <si>
    <t>Nupirktų ir pakeistų Kriūkų DC šildymo katilų skaičius</t>
  </si>
  <si>
    <t>12.01.05.03.01</t>
  </si>
  <si>
    <t>Veikla: nupirkti ir pakeisti Kriūkų DC šildymo katilą</t>
  </si>
  <si>
    <t>12.01.06.</t>
  </si>
  <si>
    <t>Uždavinys. Modernizuoti ir renovuoti viešuosius pastatus</t>
  </si>
  <si>
    <t>Renovuotų visuomeninių pastatų skaičius</t>
  </si>
  <si>
    <t>12.01.06.04.</t>
  </si>
  <si>
    <t>Priemonė. Visuomeninių pastatų modernizavimas</t>
  </si>
  <si>
    <t>Modernizuotų pastatų skaičius</t>
  </si>
  <si>
    <t>12.01.06.04.01.</t>
  </si>
  <si>
    <t>Veikla: Modernizuoti Šakių miesto lopšelio-darželio pastatus</t>
  </si>
  <si>
    <t>12.01.07.</t>
  </si>
  <si>
    <t>Uždavinys. Vykdyti daugiabučių gyvenamųjų namų administravimą bei daugiabučių gyvenamųjų namų valdytojų priežiūrą ir kontrolę</t>
  </si>
  <si>
    <t>Administruojamų namų skaičius</t>
  </si>
  <si>
    <t>105,00</t>
  </si>
  <si>
    <t>Daugiabučių namų skaičius</t>
  </si>
  <si>
    <t>338,00</t>
  </si>
  <si>
    <t>12.01.07.01</t>
  </si>
  <si>
    <t>Priemonė: Dalyvauti daugiabučių gyvenamųjų namų modernizavimo programoje (investicinių planų bei energinio naudingumo sertifikatų rengimas)</t>
  </si>
  <si>
    <t>Parengtų investicijų planų skaičius</t>
  </si>
  <si>
    <t>12.01.07.01.01</t>
  </si>
  <si>
    <t>Veikla: Pagal gyventojų prašymus parengti daugiabučių namų investicinių planus bei energinio naudingumo sertifikatus</t>
  </si>
  <si>
    <t>12.02.</t>
  </si>
  <si>
    <t>Tikslas. Inžinerinės infrastruktūros modernizavimas</t>
  </si>
  <si>
    <t>Verslo įmonių, kurioms pagerinta viešoji infrastruktūra dalis, (nuo visų įmonių), procentais</t>
  </si>
  <si>
    <t>Centralizuotai tiekiamo geriamojo vandens prieinamumas</t>
  </si>
  <si>
    <t>80,00</t>
  </si>
  <si>
    <t>12.02.01</t>
  </si>
  <si>
    <t xml:space="preserve">Uždavinys. Plėtoti ir renovuoti  viešąsias geriamojo vandens tiekimo ir nuotekų šalinimo sistemas </t>
  </si>
  <si>
    <t>Įgyvendintų vandentvarkos projektų skaičius</t>
  </si>
  <si>
    <t>12.02.01.01</t>
  </si>
  <si>
    <t>Priemonė: Įrengti naujus artezinius gręžinius su vandens gerinimo įranga</t>
  </si>
  <si>
    <t>Naujai įrengtų artezinių gręžinių skaičius</t>
  </si>
  <si>
    <t>12.02.01.01.01.</t>
  </si>
  <si>
    <t>Veikla: Įrengti naujus artezinius gręžinius su vandens gerinimo įranga</t>
  </si>
  <si>
    <t>12.02.01.02.</t>
  </si>
  <si>
    <t>Priemonė: Vandens gerinimo įrenginių statyba</t>
  </si>
  <si>
    <t>Pastatytų vandens  gerinimo įrenginių skaičius</t>
  </si>
  <si>
    <t>12.02.01.02.01.</t>
  </si>
  <si>
    <t>Veikla: Pastatyti vandens gerinimo įrenginius (Paluobių, Patašinės, Plynių, Lepšių, Tarpučių, Janukiškių, Turčinų, Braškių, Papartynų kaimuos)</t>
  </si>
  <si>
    <t>12.02.01.06</t>
  </si>
  <si>
    <t>Priemonė: Vandentvarkos objektų remonto ir statybos darbai</t>
  </si>
  <si>
    <t>Sutvarkytų vandentvarkos objektų skaičius</t>
  </si>
  <si>
    <t>12.02.01.06.01</t>
  </si>
  <si>
    <t>Veikla: Sutvarkyti vandentvarkos objektus</t>
  </si>
  <si>
    <t>12.02.02.</t>
  </si>
  <si>
    <t>Uždavinys. Modernizuoti ir plėtoti paviršinių nuotekų sistemas</t>
  </si>
  <si>
    <t>Modernizuota ir įrengta paviršinio vandens nuvedimo sistemų kilometrais</t>
  </si>
  <si>
    <t>12.02.02.01.</t>
  </si>
  <si>
    <t>Priemonė: Paviršinių nuotekų tvarkymo  paslauga (biudžetinės įstaigos, bendro naudojimo teritorijos)</t>
  </si>
  <si>
    <t>Juridinių asmenų, kuriems teikiama paslauga skaičius</t>
  </si>
  <si>
    <t>12.02.02.01.01</t>
  </si>
  <si>
    <t>Veikla: Teikti paviršinių nuotekų surinkimo ir tvarkymo paslaugą</t>
  </si>
  <si>
    <t>12.02.03.</t>
  </si>
  <si>
    <t>Uždavinys. Inventorizuoti geriamojo vandens tiekimo ir nuotekų šalinimo sistemas</t>
  </si>
  <si>
    <t>Inventorizuotų vietovių skaičius</t>
  </si>
  <si>
    <t>12.02.03.01</t>
  </si>
  <si>
    <t>Priemonė: Inventorizuota vandentiekio ir nuotekų tinklų</t>
  </si>
  <si>
    <t>Inventorizuotų vandentiekio ir nuotekų tinklų ilgis, kilometrais</t>
  </si>
  <si>
    <t>12.02.03.01.01.</t>
  </si>
  <si>
    <t>Veikla: Inventorizuoti vandentiekio ir nuotekų tinklus</t>
  </si>
  <si>
    <t>12.03.</t>
  </si>
  <si>
    <t>Tikslas. Šiuolaikiškos susisiekimo sistemos plėtra</t>
  </si>
  <si>
    <t>Vietinės reikšmės kelių su asfalto danga dalis, procentais</t>
  </si>
  <si>
    <t>12.03.01</t>
  </si>
  <si>
    <t>Uždavinys. Modernizuoti ir plėtoti savivaldybės vietinės reikšmės kelius, gatves ir kitas susisiekimo komunikacijas</t>
  </si>
  <si>
    <t>Modernizuotų ir įrengtų vietinės reikšmės kelių ir gatvių ilgis kilometrais</t>
  </si>
  <si>
    <t>12.03.01.01.</t>
  </si>
  <si>
    <t>Priemonė: Kelių, gatvių, automobilių stovėjimo aikštelių, pėsčiųjų takų ir kitų infrastruktūros elementų remonto ir statybos darbai</t>
  </si>
  <si>
    <t>Rekonstruotų, naujai įrengtų gatvių ir kelių ilgis</t>
  </si>
  <si>
    <t>3,30</t>
  </si>
  <si>
    <t>Atnaujintų automobilių stovėjimo aikštelių skaičius</t>
  </si>
  <si>
    <t>12.03.01.01.01.</t>
  </si>
  <si>
    <t>Veikla: Atlikti rajono savivaldybės Kelių priežiūros ir plėtros programos lėšų naudojimo vietinės reikšmės keliams ir gatvėms tiesti, rekonstruoti, taisyti, prižiūrėti ir saugaus eismo sąlygoms užtikrinti einamaisiais metais objektų sąraše patvirtintų objektų statybos ir remonto darbus.</t>
  </si>
  <si>
    <t>12.03.01.02</t>
  </si>
  <si>
    <t>Priemonė. Vietinės reikšmės kelių priežiūra, žiemos tarnyba Barzdų seniūnijoje</t>
  </si>
  <si>
    <t>Prižiūrėtų kelių ir gatvių ilgis</t>
  </si>
  <si>
    <t>64,73</t>
  </si>
  <si>
    <t>12.03.01.02.01</t>
  </si>
  <si>
    <t>Veikla: Prižiūrėti vietinės reikšmės kelius seniūnijoje.</t>
  </si>
  <si>
    <t>12.03.01.03</t>
  </si>
  <si>
    <t>Priemonė. Vietinės reikšmės kelių priežiūra, žiemos tarnyba Gelgaudiškio seniūnijoje</t>
  </si>
  <si>
    <t>63,21</t>
  </si>
  <si>
    <t>12.03.01.03.01</t>
  </si>
  <si>
    <t>12.03.01.04</t>
  </si>
  <si>
    <t>Priemonė. Vietinės reikšmės kelių priežiūra, žiemos tarnyba Griškabūdžio  seniūnijoje</t>
  </si>
  <si>
    <t>100,55</t>
  </si>
  <si>
    <t>12.03.01.04.01</t>
  </si>
  <si>
    <t>12.03.01.05</t>
  </si>
  <si>
    <t>Priemonė. Vietinės reikšmės kelių priežiūra, žiemos tarnyba Kidulių seniūnijoje</t>
  </si>
  <si>
    <t>94,69</t>
  </si>
  <si>
    <t>12.03.01.05.01.</t>
  </si>
  <si>
    <t>12.03.01.06</t>
  </si>
  <si>
    <t>Priemonė. Vietinės reikšmės kelių priežiūra, žiemos tarnyba Kriūkų seniūnijoje</t>
  </si>
  <si>
    <t>90,55</t>
  </si>
  <si>
    <t>12.03.01.06.01.</t>
  </si>
  <si>
    <t>12.03.01.07</t>
  </si>
  <si>
    <t>Priemonė. Vietinės reikšmės kelių priežiūra, žiemos tarnyba Kudirkos Naumiesčio seniūnijoje</t>
  </si>
  <si>
    <t>64,98</t>
  </si>
  <si>
    <t>12.03.01.07.01.</t>
  </si>
  <si>
    <t>12.03.01.08</t>
  </si>
  <si>
    <t>Priemonė. Vietinės reikšmės kelių priežiūra, žiemos tarnyba Lekėčių seniūnijoje</t>
  </si>
  <si>
    <t>47,95</t>
  </si>
  <si>
    <t>12.03.01.08.01.</t>
  </si>
  <si>
    <t>12.03.01.09</t>
  </si>
  <si>
    <t>Priemonė. Vietinės reikšmės kelių priežiūra, žiemos tarnyba Lukšių seniūnijoje</t>
  </si>
  <si>
    <t>109,15</t>
  </si>
  <si>
    <t>12.03.01.09.01.</t>
  </si>
  <si>
    <t>12.03.01.10</t>
  </si>
  <si>
    <t>Priemonė. Vietinės reikšmės kelių priežiūra, žiemos tarnyba Plokščių seniūnijoje</t>
  </si>
  <si>
    <t>78,86</t>
  </si>
  <si>
    <t>12.03.01.10.01.</t>
  </si>
  <si>
    <t>12.03.01.11</t>
  </si>
  <si>
    <t>Priemonė. Vietinės reikšmės kelių priežiūra, žiemos tarnyba Sintautų seniūnijoje</t>
  </si>
  <si>
    <t>69,19</t>
  </si>
  <si>
    <t>12.03.01.11.01.</t>
  </si>
  <si>
    <t>12.03.01.12</t>
  </si>
  <si>
    <t>Priemonė. Vietinės reikšmės kelių priežiūra, žiemos tarnyba Slavikų seniūnijoje</t>
  </si>
  <si>
    <t>36,28</t>
  </si>
  <si>
    <t>12.03.01.12.01.</t>
  </si>
  <si>
    <t>12.03.01.13</t>
  </si>
  <si>
    <t>Priemonė. Vietinės reikšmės kelių priežiūra, žiemos tarnyba Sudargo seniūnijoje</t>
  </si>
  <si>
    <t>52,11</t>
  </si>
  <si>
    <t>12.03.01.13.01.</t>
  </si>
  <si>
    <t>12.03.01.14</t>
  </si>
  <si>
    <t>Priemonė. Vietinės reikšmės kelių priežiūra, žiemos tarnyba Šakių seniūnijoje</t>
  </si>
  <si>
    <t>154,45</t>
  </si>
  <si>
    <t>12.03.01.14.01.</t>
  </si>
  <si>
    <t>12.03.01.15</t>
  </si>
  <si>
    <t>Priemonė. Vietinės reikšmės kelių priežiūra, žiemos tarnyba Žvirgždaičių seniūnijoje</t>
  </si>
  <si>
    <t>38,14</t>
  </si>
  <si>
    <t>12.03.01.15.01.</t>
  </si>
  <si>
    <t>12.03.01.16.</t>
  </si>
  <si>
    <t>Priemonė: Susisiekimo komunikacijų statybos, rekonstravimo ir remonto darbai, dalyvaujant juridiniams asmenims ir ūkininkams</t>
  </si>
  <si>
    <t>Įgyvendintų projektų skaičius</t>
  </si>
  <si>
    <t>12.03.01.16.01.</t>
  </si>
  <si>
    <t>Veikla: atlikti kelių remonto darbus</t>
  </si>
  <si>
    <t>12.03.02.</t>
  </si>
  <si>
    <t>Uždavinys. Modernizuoti esamus, įrengti naujus pėsčiųjų ir dviračių takus</t>
  </si>
  <si>
    <t>Modernizuotų ir įrengtų takų ilgis kilometrais</t>
  </si>
  <si>
    <t>12.03.02.01</t>
  </si>
  <si>
    <t>Priemonė: Pėsčiųjų ir dviračių takų rekonstravimo ir įrengimo darbai Šakių m.</t>
  </si>
  <si>
    <t>Modernizuotų pėsčiųjų ir dviračių takų ilgis, kilometrais</t>
  </si>
  <si>
    <t>12.03.02.01.01</t>
  </si>
  <si>
    <t>Veikla: Atlikti numatytus pėsčiųjų ir dviračių takų  rekonstravimo ir įrengimo darbus</t>
  </si>
  <si>
    <t>12.03.03.</t>
  </si>
  <si>
    <t>Uždavinys. Renovuoti ir plėtoti savivaldybės vietinės reikšmės kelių ir gatvių, pėsčiųjų ir dviračių takų, gyvenamųjų kvartalų  apšvietimo tinklus, diegti energiją taupančias sistemas</t>
  </si>
  <si>
    <t>Renovuotų ir įrengtų apšvietimo tinklų ilgis kilometrais</t>
  </si>
  <si>
    <t>12.03.03.01</t>
  </si>
  <si>
    <t>Priemonė: Įrengti, remontuoti gatvių apšvietimo tinklus miestuose ir miesteliuose.</t>
  </si>
  <si>
    <t>Naujų suremontuotų apšvietimo tinklų ilgis kilometrais</t>
  </si>
  <si>
    <t>12.03.03.01.01</t>
  </si>
  <si>
    <t>Veikla: Renovuoti gatvių apšvietimo tinklus miestuose ir miesteliuose gatvėse, kur keičiamos orinės elektros energijos tiekimo linijos</t>
  </si>
  <si>
    <t>12.03.04.</t>
  </si>
  <si>
    <t>Uždavinys. Rekonstruoti ir įrengti naujas automobilių stovėjimo, vaikų žaidimo, poilsio aikšteles savivaldybės bendro naudojimo teritorijose</t>
  </si>
  <si>
    <t>Įrengtų automobilių stovėjimo aikštelių skaičius</t>
  </si>
  <si>
    <t>12.03.04.01</t>
  </si>
  <si>
    <t>Priemonė: Renovuotų daugiabučių namų  teritorijų sutvarkymas</t>
  </si>
  <si>
    <t>Sutvarkytų renovuotų daugiabučių namų teritorijų skaičius</t>
  </si>
  <si>
    <t>12.03.04.01.01</t>
  </si>
  <si>
    <t>Veikla: Sutvarkyti renovuotų daugiabučių namų teritorijas</t>
  </si>
  <si>
    <t>12.03.04.02.</t>
  </si>
  <si>
    <t>Priemonė. Statinių ir kitų infrastruktūros objektų viešose erdvėse remonto ir įrengimo darbai.</t>
  </si>
  <si>
    <t>Sutvarkytų objektų skaičius</t>
  </si>
  <si>
    <t>12.03.04.02.01.</t>
  </si>
  <si>
    <t>Veikla: Renovuoti/įrengti infrastruktūros objektus viešose erdvėse</t>
  </si>
  <si>
    <t>12.03.05.</t>
  </si>
  <si>
    <t>Uždavinys.  Diegti ir plėtoti modernias eismo saugumo, informavimo, aplinkosaugos ir reguliavimo priemones</t>
  </si>
  <si>
    <t>Įdiegtų eismo saugumo priemonių skaičius</t>
  </si>
  <si>
    <t>12.03.05.01.</t>
  </si>
  <si>
    <t>Priemonė: Gatvių pavadinimų, adresų objektų numerių, informacinių rodyklių pirkimas ir pastatymas</t>
  </si>
  <si>
    <t>Seniūnijų, kurioms skiriamos lėšos skaičius</t>
  </si>
  <si>
    <t>12.03.05.01.01</t>
  </si>
  <si>
    <t>Veikla: Pagal seniūnų pateiktas paraiškas nupirkti gatvių pavadinimus, adresų objektų numerius, informacines rodykles</t>
  </si>
  <si>
    <t>12.03.05.02.</t>
  </si>
  <si>
    <t>Priemonė: Investicinių projektų ir konsultacijų pirkimas</t>
  </si>
  <si>
    <t>12.03.05.02.01.</t>
  </si>
  <si>
    <t>12.03.06.</t>
  </si>
  <si>
    <t>Uždavinys. Sukurti ir plėtoti elektromobilių pakrovimo stotelių tinklą</t>
  </si>
  <si>
    <t>12.05.</t>
  </si>
  <si>
    <t>12.05.01.</t>
  </si>
  <si>
    <t>Uždavinys. Atlikti melioracijos statinių remonto rekonstrukcijos ir priežiūros darbus</t>
  </si>
  <si>
    <t>Irena  Žemaitienė</t>
  </si>
  <si>
    <t>Pagerintos žemės plotas hektarais</t>
  </si>
  <si>
    <t>2 400,00</t>
  </si>
  <si>
    <t>12.05.01.01</t>
  </si>
  <si>
    <t>Priemonė: Melioracijos statinių remonto priežiūros darbai</t>
  </si>
  <si>
    <t>Suremontuotų griovių ilgis kilometrais</t>
  </si>
  <si>
    <t>12.05.01.01.06.</t>
  </si>
  <si>
    <t>Veikla: Atlikti melioracijos griovių bei juose esančių hidrotechninių statinių remonto ir priežiūros darbus</t>
  </si>
  <si>
    <t>12.05.01.02.</t>
  </si>
  <si>
    <t>Priemonė: Apsemtų teritorijų melioracijos remonto darbai</t>
  </si>
  <si>
    <t>Sutvarkytų gyvenviečių skaičius</t>
  </si>
  <si>
    <t>Sutvarkytų apsemtų teritorijų skaičius</t>
  </si>
  <si>
    <t>12.05.01.02.06.</t>
  </si>
  <si>
    <t>Veikla: Atlikti Šakių rajone esančių Barzdų, Voverių, Plynių ir Veršių gyvenviečių drenažo remonto darbus (pagal gyventojų prašymus)</t>
  </si>
  <si>
    <t>12.06.</t>
  </si>
  <si>
    <t>Tikslas: Inovatyvi, pažangi žemės ūkio veikla, tausojanti aplinką bei sveikatą</t>
  </si>
  <si>
    <t>Irena  Žemaitienė; Lina Štrimaitytė</t>
  </si>
  <si>
    <t>Ūkių, taikančių tiksliojo ūkininkavimo sistemas, dalis nuo visų užsiimančių aktyvia žemės ūkio veikla procentais</t>
  </si>
  <si>
    <t>23,00</t>
  </si>
  <si>
    <t>12.06.02.</t>
  </si>
  <si>
    <t>Uždavinys: Teikti paslaugas, konsultuoti žemės ūkio subjektus ES ir nacionalinės paramos investicijų bei kitais žemės ūkio veiklos klausimais</t>
  </si>
  <si>
    <t>Suteiktų paslaugų  skaičius</t>
  </si>
  <si>
    <t>4 900,00</t>
  </si>
  <si>
    <t>12.06.02.01.</t>
  </si>
  <si>
    <t>Priemonė: Žemės ūkio technikos  įregistravimas, išregistravimas, duomenų keitimas, techninių  apžiūrų rengimas</t>
  </si>
  <si>
    <t>Suteiktų paslaugų žemės ūkio technikos įregistravimo, išregistravimo, duomenų keitimo, techninių apžiūrų skaičius</t>
  </si>
  <si>
    <t>5 800,00</t>
  </si>
  <si>
    <t>12.06.02.01.01</t>
  </si>
  <si>
    <t>Veikla: Suteikti paslaugas žemės ūkio technikos įregistravimui, išregistravimui, duomenų keitimui, techninių apžiūrų  vykdymui</t>
  </si>
  <si>
    <t>13.</t>
  </si>
  <si>
    <t>Socialinės ir sveikatos apsaugos programa</t>
  </si>
  <si>
    <t>Socialinės paramos skyrius</t>
  </si>
  <si>
    <t>Aistė Būdvytienė; Daiva  Pilypaitytė</t>
  </si>
  <si>
    <t>13.01.</t>
  </si>
  <si>
    <t>Tikslas: Socialinių paslaugų prieinamumo  ir pasirinkimo užtikrinimas.</t>
  </si>
  <si>
    <t>Daiva  Pilypaitytė</t>
  </si>
  <si>
    <t>Patenkintų prašymų dalis, procentais</t>
  </si>
  <si>
    <t>13.01.01.</t>
  </si>
  <si>
    <t>Uždavinys.Teikti socialinės globos paslaugas</t>
  </si>
  <si>
    <t>Asmenų, gavusių socialinės globos  paslaugas skaičius</t>
  </si>
  <si>
    <t>468,00</t>
  </si>
  <si>
    <t>13.01.01.02.</t>
  </si>
  <si>
    <t>Priemonė:Teikti dienos socialinės globos  paslaugas institucijoje. D. C.</t>
  </si>
  <si>
    <t>Edita Macevičiūtė-Orentienė</t>
  </si>
  <si>
    <t>Asmenų, gavusių darbinio užimtumo iš VšĮ Šakių Diakonijos dienos užimtumo centro, skaičius</t>
  </si>
  <si>
    <t>Asmenų, gavusių darbinio užimtumo paslaugas  iš  Gelgaudiškio "Šaltinio ugdymo centro" dienos centro, skaičius</t>
  </si>
  <si>
    <t>13.01.01.02.01</t>
  </si>
  <si>
    <t>Veikla: Teikti socialinės globos paslaugas. Paslaugų teikėjas-Šakių socialinių paslaugų centras (neįgaliųjų dienos centras)</t>
  </si>
  <si>
    <t>13.01.01.02.02</t>
  </si>
  <si>
    <t>Veikla: Teikti socialinės globos paslaugas. Paslaugų teikėjas - VšĮ Šakių diakonija (užimtumo centras)</t>
  </si>
  <si>
    <t>13.01.01.02.03</t>
  </si>
  <si>
    <t>Veikla: Teikti socialinės globos paslaugas. Paslaugų teikėjas - Gelgaudiškio "Šaltinio ugdymo centras" (socialinių paslaugų skyrius)</t>
  </si>
  <si>
    <t>13.01.01.04.</t>
  </si>
  <si>
    <t>Priemonė.Teikti trumpalaikės globos paslaugas vaikams, likusiems be tėvų globos.</t>
  </si>
  <si>
    <t>Milda Savukaitienė</t>
  </si>
  <si>
    <t>Vaikų, likusių be tėvų globos, gavusių trumpalaikės globos paslaugas, skaičius</t>
  </si>
  <si>
    <t>13.01.01.04.01</t>
  </si>
  <si>
    <t>Veikla: Trumpalaikės globos paslaugų teikimas vaikams, likusiems be tėvų globos.</t>
  </si>
  <si>
    <t>13.01.01.05.</t>
  </si>
  <si>
    <t xml:space="preserve">Priemonė. Teikti ilgalaikės ir trumpalaikės globos paslaugas socialinės rizikos šeimų  vaikams </t>
  </si>
  <si>
    <t>Milda Savukaitienė; Ugnė Mikštienė</t>
  </si>
  <si>
    <t>Socialinės rizikos vaikų, likusių be tėvų globos, gavusių trumpalaikės ir ilgalaikės globos paslaugas, skaičius</t>
  </si>
  <si>
    <t>13.01.01.05.01</t>
  </si>
  <si>
    <t>Veikla: Ilgalaikės ir trumpalaikės globos paslaugų teikimas socialinės rizikos šeimų  vaikams - Paslaugų teikėjas - VšĮ Šakių diakonija</t>
  </si>
  <si>
    <t>13.01.01.06.</t>
  </si>
  <si>
    <t>Priemonė. Teikti ilgalaikės ir trumpalaikės globos paslaugas socialinės rizikos šeimų vaikams šeimynose</t>
  </si>
  <si>
    <t>Vaikų, gavusių ilgalaikės ir trumpalaikės socialinės globos paslaugas  šeimynose, skaičius</t>
  </si>
  <si>
    <t>13.01.01.06.01</t>
  </si>
  <si>
    <t>Veikla: Finansuoti šeimynos dalyvių išlaikymą</t>
  </si>
  <si>
    <t>13.01.01.06.02</t>
  </si>
  <si>
    <t>Veikla: Finansuoti ilgalaikės ir trumpalaikės globos paslaugas socialinės rizikos šeimų vaikams</t>
  </si>
  <si>
    <t>13.01.01.06.03</t>
  </si>
  <si>
    <t>Veikla: Skirti pagalbos pinigus šeimoms ir šeimynoms,globojantiems vaikus</t>
  </si>
  <si>
    <t>13.01.01.07</t>
  </si>
  <si>
    <t>Priemonė: Finansuoti socialinės globos paslaugas globos įstaigose, socialinės priežiūros paslaugas teikiančiose socialinę priežiūrą įstaigose, savivaldybės biudžeto lėšomis</t>
  </si>
  <si>
    <t>Socialinės globos ir socialinės priežiūros paslaugas savivaldybės biudžeto lėšomis gavusių asmenų skaičius</t>
  </si>
  <si>
    <t>110,00</t>
  </si>
  <si>
    <t>13.01.01.07.01</t>
  </si>
  <si>
    <t>Veikla: Ilgalaikės globos bei socialinės priežiūros paslaugų finansavimas rajono gyventojams, gyvenantiems valstybinėse ir kitose socialinų paslaugų įstaigose.</t>
  </si>
  <si>
    <t>13.01.01.10.</t>
  </si>
  <si>
    <t>Priemonė: Finansuoti socialinės globos paslaugas  globos įstaigose valstybės biudžeto lėšomis</t>
  </si>
  <si>
    <t>Socialinės globos paslaugas globos įstaigose, valstybės biudžeto lėšomis, gavusių asmenų skaičius</t>
  </si>
  <si>
    <t>13.01.01.10.01.</t>
  </si>
  <si>
    <t>Veikla:  Socialinės globos paslaugų finansavimas  globos įstaigose valstybės biudžeto lėšomis</t>
  </si>
  <si>
    <t>13.01.02.</t>
  </si>
  <si>
    <t>Uždavinys.Teikti socialinės priežiūros paslaugas</t>
  </si>
  <si>
    <t>Asmenų, gavusių socialinės priežiūros  paslaugas skaičius</t>
  </si>
  <si>
    <t>1 067,00</t>
  </si>
  <si>
    <t>13.01.02.02</t>
  </si>
  <si>
    <t>Priemonė: Administruoti  vaikų dienos centrų tinklo veiklą</t>
  </si>
  <si>
    <t>Vaikų dienos centrų tinklo veiklą administruojančių asmenų skaičius</t>
  </si>
  <si>
    <t>13.01.02.02.01.</t>
  </si>
  <si>
    <t>Veikla: Vaikų dienos centrų veiklos administravimas.</t>
  </si>
  <si>
    <t>13.01.02.03.</t>
  </si>
  <si>
    <t>Priemonė: Plėtoti vaikų dienos centrų tinklo veiklą</t>
  </si>
  <si>
    <t>Vaikų, gavusių  paslaugas dienos centruose, skaičius</t>
  </si>
  <si>
    <t>266,00</t>
  </si>
  <si>
    <t>13.01.02.03.01.</t>
  </si>
  <si>
    <t>Veikla: Teikti socialines priežiūros paslaugas vaikų dienos centruose</t>
  </si>
  <si>
    <t>13.01.02.04</t>
  </si>
  <si>
    <t>Priemonė. Organizuoti socialinę rebilitaciją neįgaliesiems bendruomenėje.</t>
  </si>
  <si>
    <t>Sonata Černauskienė</t>
  </si>
  <si>
    <t>Asmenų, gavusių paslaugą, skaičius</t>
  </si>
  <si>
    <t>301,00</t>
  </si>
  <si>
    <t>13.01.02.04.01</t>
  </si>
  <si>
    <t>Veikla: Teikti socialinę reabilitaciją neįgaliesiems bendruomenėje</t>
  </si>
  <si>
    <t>13.01.02.05</t>
  </si>
  <si>
    <t>Priemonė. Administruoti socialinės reabilitacijos neįgaliesiems bendruomenėje teikimą.</t>
  </si>
  <si>
    <t>Paslaugą administruojančių asmenų skaičius</t>
  </si>
  <si>
    <t>13.01.02.05.01.</t>
  </si>
  <si>
    <t>Veikla: Socialinės reabilitacijos neįgaliesiems bendruomenėje teikimo administravimas</t>
  </si>
  <si>
    <t>13.01.03.</t>
  </si>
  <si>
    <t>Uždavinys. Vykdyti  neįgaliųjų integracijos programą.</t>
  </si>
  <si>
    <t>13.01.03.01.</t>
  </si>
  <si>
    <t>Priemonė. Teikti specialaus transporto paslaugas neįgaliesiems</t>
  </si>
  <si>
    <t>Specialaus transporto paslaugas gavusių neįgaliųjų skaičius</t>
  </si>
  <si>
    <t>1 500,00</t>
  </si>
  <si>
    <t>13.01.03.01.01</t>
  </si>
  <si>
    <t>Veikla: Teikti spec. transporto paslaugas neįgaliems asmenims. Paslaugų teikėjas - Šakių r. neįgaliųjų draugija</t>
  </si>
  <si>
    <t>13.01.03.01.02</t>
  </si>
  <si>
    <t>Veikla: Teikti spec. transporto paslaugas neįgaliems asmenims. Paslaugų teikėjas - Šakių r. žmonių su negalia sąjunga</t>
  </si>
  <si>
    <t>13.01.03.02.</t>
  </si>
  <si>
    <t>Priemonė. Pritaikyti  būsto aplinką neįgaliesiems.</t>
  </si>
  <si>
    <t>Audronė Matusienė</t>
  </si>
  <si>
    <t>Pritaikytų  būstų   neįgaliesiems skaičius</t>
  </si>
  <si>
    <t>13.01.03.02.01</t>
  </si>
  <si>
    <t>Veikla: Pritaikyti  būsto aplinką neįgaliesiems jų namuose.</t>
  </si>
  <si>
    <t>13.01.03.02</t>
  </si>
  <si>
    <t>Priemonė: Administruoti būsto aplinkos pritaikymą neįgaliesiems</t>
  </si>
  <si>
    <t>Būsto aplinkos pritaikymą neįgaliesiems administruojančių asmenų skaičius</t>
  </si>
  <si>
    <t>13.01.03.02.01.</t>
  </si>
  <si>
    <t>Veikla: Administruoti priemonę "Būsto aplinkos pritaikymas neįgaliesiems"</t>
  </si>
  <si>
    <t>13.01.03.03.</t>
  </si>
  <si>
    <t>Priemonė.Remti tikslines socialinių paslaugų  teikimo žmonėms su negalia programas</t>
  </si>
  <si>
    <t>Tikslinių socialinių paslaugų  teikimo žmonėms su negalia programų skaičius</t>
  </si>
  <si>
    <t>13.01.03.03.01</t>
  </si>
  <si>
    <t>Veikla: Remti NVO organizacijų programas</t>
  </si>
  <si>
    <t>13.01.03.05.</t>
  </si>
  <si>
    <t>Priemonė. Organizuoti asmeninės pagalbos teikimą.</t>
  </si>
  <si>
    <t>Asmeninę pagalbą gavusių asmenų skaičius</t>
  </si>
  <si>
    <t>13.01.03.05.01.</t>
  </si>
  <si>
    <t>Veikla: Teikti asmeninę pagalbą. Paslaugų teikėjas - VšĮ Šakių šeimos centras vaikų dienos centras.</t>
  </si>
  <si>
    <t>13.01.03.05.01</t>
  </si>
  <si>
    <t>Veikla: Organizuoti asmeninės pagalbos teikimą pasirašant sutartis (tarp paslaugų teikėjų ir gavėjų).</t>
  </si>
  <si>
    <t>13.01.03.05.02.</t>
  </si>
  <si>
    <t>Veikla: Teikti asmeninę pagalbą. Paslaugų teikėjas - VšĮ "Namai visiems".</t>
  </si>
  <si>
    <t>13.01.03.05</t>
  </si>
  <si>
    <t>Priemonė: Administruoti asmeninės pagalbos teikimą.</t>
  </si>
  <si>
    <t>Asmeninę pagalbą administruojančių asmenų skaičius</t>
  </si>
  <si>
    <t>13.01.03.05.02</t>
  </si>
  <si>
    <t>Veikla: Administruoti priemonę "Organizuoti asmeninės pagalbos teikimą"</t>
  </si>
  <si>
    <t>13.01.03.06.</t>
  </si>
  <si>
    <t>Priemonė: Vykdyti neveiksnių asmenų būklės peržiūrėjimą</t>
  </si>
  <si>
    <t>Suorganizuotų neveiksnių asmenų būklės peržiūrėjimo komisijos posėdžių skaičius</t>
  </si>
  <si>
    <t>13.01.03.06.01.</t>
  </si>
  <si>
    <t>Veikla: Organizuoti neveiksnių asmenų būklės peržiūrėjimo komisijos posėdžius.</t>
  </si>
  <si>
    <t>13.01.04.</t>
  </si>
  <si>
    <t>Uždavinys. Teikti bendrąsias paslaugas</t>
  </si>
  <si>
    <t>Asmenų, gavusių bendrąsias  paslaugas skaičius</t>
  </si>
  <si>
    <t>71,00</t>
  </si>
  <si>
    <t>13.01.04.02.</t>
  </si>
  <si>
    <t>Priemonė: Žmogaus palaikų patologinės anatomijos tyrimams ar teismo ekspertizei vežimo, saugojimo ir laidojimo paslaugos teikimas</t>
  </si>
  <si>
    <t>Jolita Žemaitienė</t>
  </si>
  <si>
    <t>Gavusių paslaugas asmenų skaičius</t>
  </si>
  <si>
    <t>13.01.04.02.01.</t>
  </si>
  <si>
    <t>Veikla: Pervežti ekspertizei atlikti žuvusius ar mirusius asmenis</t>
  </si>
  <si>
    <t>13.02.</t>
  </si>
  <si>
    <t>Tikslas: Socialinių paslaugų aprėpties didinimas.</t>
  </si>
  <si>
    <t>Naujai gavusių socialines paslaugas asmenų skaičius</t>
  </si>
  <si>
    <t>13.02.02.</t>
  </si>
  <si>
    <t>Uždavinys. Socialinės globos ir priežiūros paslaugų plėtra</t>
  </si>
  <si>
    <t>Ūkio ir investicijų skyrius; Socialinės paramos skyrius</t>
  </si>
  <si>
    <t>Miglė Kriaučiūnienė; Milda Savukaitienė</t>
  </si>
  <si>
    <t>Įsteigtų ir veikiančių grupinio gyvenimo namų asmenims su daline protine negalia skaičius</t>
  </si>
  <si>
    <t>Įsteigtų ir veikiančių bendruomeninių vaikų globos namų (BVGN) skaičius</t>
  </si>
  <si>
    <t>13.02.02.02.</t>
  </si>
  <si>
    <t>Priemonė. Įgyvendinti projektą „Bendruomeninių vaikų globos namų ir vaikų dienos centrų tinklo plėtra Šakių rajone“</t>
  </si>
  <si>
    <t>Naujai pastatytų objektų, bendruomeninių vaikų globos namų Šakiuose, skaičius</t>
  </si>
  <si>
    <t>13.02.02.02.06</t>
  </si>
  <si>
    <t>Veikla: Įveiklinti bendruomeninius vaikų globos namus</t>
  </si>
  <si>
    <t>13.02.02.03.</t>
  </si>
  <si>
    <t>Priemonė. Įgyvendinti projektą „Bendruomeninių apgyvendinimo bei užimtumo paslaugų asmenims su proto (arba) psichikos negalia plėtra Šakių rajone“ (V-427)</t>
  </si>
  <si>
    <t>13.02.02.03.04</t>
  </si>
  <si>
    <t>Veikla: Įveiklinti grupinio gyvenimo namus</t>
  </si>
  <si>
    <t>13.02.04.</t>
  </si>
  <si>
    <t>Uždavinys. Socialinių paslaugų poreikio nustatymo ir teikimo metodikos tobulinimas ir kokybės gerinimo priemonių diegimas.</t>
  </si>
  <si>
    <t>Socialinių paslaugų įstaigų, įdiegusių kokybės gerinimo priemones, skaičius</t>
  </si>
  <si>
    <t>13.02.04.01.</t>
  </si>
  <si>
    <t>Priemonė.Tobulinti socialinių paslaugų poreikio nustatymą.</t>
  </si>
  <si>
    <t>Parengtų priemonių skaičius</t>
  </si>
  <si>
    <t>13.02.04.01.01</t>
  </si>
  <si>
    <t>Veikla: Parengti priemones socialinių paslaugų poreikio nustatymui</t>
  </si>
  <si>
    <t>13.02.05.</t>
  </si>
  <si>
    <t>Uždavinys. Socialinio darbo seniūnijose tobulinimas, socialinio darbuotojo statuso visuomenėje gerinimas.</t>
  </si>
  <si>
    <t>13.02.05.01.</t>
  </si>
  <si>
    <t xml:space="preserve">Priemonė.Socialinių darbuotojų išlaikymas ir kvalifikacijos kėlimas. </t>
  </si>
  <si>
    <t>Daiva  Pilypaitytė; Edita Macevičiūtė-Orentienė</t>
  </si>
  <si>
    <t>Parengtų programų skaičius</t>
  </si>
  <si>
    <t>13.02.05.01.01</t>
  </si>
  <si>
    <t>Veikla: Išlaikyti socialinius darbuotojus</t>
  </si>
  <si>
    <t>13.02.06.</t>
  </si>
  <si>
    <t>Uždavinys. Finansinės pagalbos  rajono  gyventojams teikimas ir didinimas.</t>
  </si>
  <si>
    <t>13.02.06.01.</t>
  </si>
  <si>
    <t>Priemonė: Mokėti socialines pašalpas rajono gyventojams.</t>
  </si>
  <si>
    <t>Aistė Būdvytienė; Jolita Žemaitienė; Justė Grumulaitienė; Ugnė Mikštienė</t>
  </si>
  <si>
    <t>Rajono gyventojų, gavusių socialinę pašalpą, skaičius</t>
  </si>
  <si>
    <t>1 814,00</t>
  </si>
  <si>
    <t>13.02.06.01.01</t>
  </si>
  <si>
    <t>Veikla: Mokėti socialines pašalpas rajono gyventojams.</t>
  </si>
  <si>
    <t>13.02.06.02.</t>
  </si>
  <si>
    <t>Priemonė: Mokėti vienkartines pašalpas rajono gyventojams (susidarius sunkiai mat. padėčiai, ligos atveju, nukentėjus nuo gaisro ir kt.)</t>
  </si>
  <si>
    <t>Justė Grumulaitienė</t>
  </si>
  <si>
    <t>Rajono gyventojų, gavusių vienkartines tikslines išmokas, skaičius</t>
  </si>
  <si>
    <t>263,00</t>
  </si>
  <si>
    <t>13.02.06.02.01</t>
  </si>
  <si>
    <t>Veikla: Mokėti vienkartines pašalpas rajono gyventojams, stichinių nelaimių, gaisro ir kt. atvejais.</t>
  </si>
  <si>
    <t>13.02.06.02</t>
  </si>
  <si>
    <t>Priemonė: Mokėti vienkartines  pašalpas rajono gyventojams (vienkartinė pašalpa vaikui gimus).</t>
  </si>
  <si>
    <t>Rajono gyventojų, gavusių vienkartinę pašalpą gimus vaikui, skaičius</t>
  </si>
  <si>
    <t>96,00</t>
  </si>
  <si>
    <t>13.02.06.02.01.</t>
  </si>
  <si>
    <t>Veikla: Mokėti vienkartinies pašalpas rajono gyventojams, šeimoje gimus vaikui</t>
  </si>
  <si>
    <t>13.02.06.03.</t>
  </si>
  <si>
    <t>Priemonė: Mokėti vienkartines  pašalpas rajono gyventojams (vienkartinės pašalpos grįžus iš įkalinimo vietų).</t>
  </si>
  <si>
    <t>Rajono gyventojų, gavusių vienkartinę pašalpą grįžus iš įkalinimo įstaigos, skaičius</t>
  </si>
  <si>
    <t>13.02.06.03.01.</t>
  </si>
  <si>
    <t>Veikla: Mokėti vienkartines pašalpas rajono gyventojams, kurie grįžo iš įkalinimo įstaigos</t>
  </si>
  <si>
    <t>13.02.06.04.</t>
  </si>
  <si>
    <t>Priemonė: Teikti transporto išlaidų 50 proc. kompensacijas.</t>
  </si>
  <si>
    <t>Kompensacijų skaičius (50 proc.)</t>
  </si>
  <si>
    <t>25 506,00</t>
  </si>
  <si>
    <t>13.02.06.04.01</t>
  </si>
  <si>
    <t>Veikla: Teikti transporto išlaidų dalies kompensavimą 50 proc. neįgaliems asmenims</t>
  </si>
  <si>
    <t>13.02.06.04</t>
  </si>
  <si>
    <t>Priemonė: Teikti transporto išlaidų 80 proc. kompensacijas.</t>
  </si>
  <si>
    <t>Kompensacijų skaičius (80 proc.)</t>
  </si>
  <si>
    <t>10 097,00</t>
  </si>
  <si>
    <t>13.02.06.04.01.</t>
  </si>
  <si>
    <t>Veikla: Teikti transporto išlaidų dalies kompensavimą 80 proc. neįgaliems asmenims</t>
  </si>
  <si>
    <t>13.02.06.05.</t>
  </si>
  <si>
    <t>Priemonė: Socialinės paramos programa mokiniams (Administracija).</t>
  </si>
  <si>
    <t>Sintautų pagrindinė mokykla; Gelgaudiškio pagrindinė mokykla; Griškabūdžio gimnazija; Kidulių pagrindinė mokykla; Lukšių Vinco Grybo gimnazija; Gelgaudiškio ,,Šaltinio” ugdymo centras; Šakių „Žiburio” gimnazija; Kudirkos Naumiesčio Vinco Kudirkos gimnazija; Panemunių mokykla-daugiafunkcis centras; Šakių ikimokyklinio ugdymo mokykla "Maži žingsneliai"</t>
  </si>
  <si>
    <t>Rima Valaitienė</t>
  </si>
  <si>
    <t>Nemokamą maitinimą gavusių mokinių skaičius (Administracija)</t>
  </si>
  <si>
    <t>1 155,00</t>
  </si>
  <si>
    <t>Nemokamų mokymo reikmenų gavusių mokinių skaičius (Administracija)</t>
  </si>
  <si>
    <t>770,00</t>
  </si>
  <si>
    <t>13.02.06.05.01.</t>
  </si>
  <si>
    <t>Veikla: Suteikti nemokamą mokymo reikmenų ir nemokamą maitinimą vaikams vykdant Socialinę paramos programą mokiniams (Administracija).</t>
  </si>
  <si>
    <t>13.02.06.05</t>
  </si>
  <si>
    <t>Priemonė: Socialinės paramos programa mokiniams (Marijampolės PRC).</t>
  </si>
  <si>
    <t>Nemokamą maitinimą gavusių mokinių skaičius (Marijampolės PRC)</t>
  </si>
  <si>
    <t>Nemokamų mokymo reikmenų gavusių mokinių skaičius (Marijampolės PRC)</t>
  </si>
  <si>
    <t>13.02.06.05.01</t>
  </si>
  <si>
    <t>Veikla: Suteikti nemokamą mokymo reikmenų ir nemokamą maitinimą mokiniams vykdant Socialinę paramos programą mokiniams (Marijampolės PRC).</t>
  </si>
  <si>
    <t>13.02.06.06.</t>
  </si>
  <si>
    <t>Priemonė: Skirti paramą mirties atveju (laidojimo pašalpų mokėjimas)</t>
  </si>
  <si>
    <t>Išmokėtų laidojimo pašalpų skaičius</t>
  </si>
  <si>
    <t>420,00</t>
  </si>
  <si>
    <t>13.02.06.06.01.</t>
  </si>
  <si>
    <t>Veikla: Išmokėti laidojimo pašalpas (paramą mirties atveju)</t>
  </si>
  <si>
    <t>13.02.06.09.</t>
  </si>
  <si>
    <t>Priemonė: Mokėti būsto išlaidų  kompensacijas  rajono gyventojams  už šildymą (UAB).</t>
  </si>
  <si>
    <t>Rajono gyventojų, gavusių kompensacijas už šildymą, skaičius</t>
  </si>
  <si>
    <t>1 225,00</t>
  </si>
  <si>
    <t>13.02.06.09.01.</t>
  </si>
  <si>
    <t>Veikla: Mokėti būsto išlaidų kompensacijas rajono gyventojams už šildymą</t>
  </si>
  <si>
    <t>13.02.06.10.</t>
  </si>
  <si>
    <t>Priemonė: Mokėti būsto išlaidų  kompensacijas  rajono gyventojams už geriamąjį vandenį.</t>
  </si>
  <si>
    <t>Rajono gyventojų, gavusių kompensacijas už geriamąjį vandenį, skaičius</t>
  </si>
  <si>
    <t>1 538,00</t>
  </si>
  <si>
    <t>13.02.06.10.01.</t>
  </si>
  <si>
    <t>Veikla:  Mokėti būsto išlaidų kompensacijas rajono gyventojams už geriamąjį vandenį</t>
  </si>
  <si>
    <t>13.02.06.11.</t>
  </si>
  <si>
    <t>Priemonė: Mokėti būsto išlaidų kompensacijas rajono gyventojams už karštą vandenį.</t>
  </si>
  <si>
    <t>Rajono gyventojų, gavusių kompensacijas už karštą vandenį, skaičius</t>
  </si>
  <si>
    <t>848,00</t>
  </si>
  <si>
    <t>13.02.06.11.01.</t>
  </si>
  <si>
    <t>Veikla: Mokėti išlaidų kompensacijas rajono gyventojams už karštą vandenį</t>
  </si>
  <si>
    <t>13.02.06.12.</t>
  </si>
  <si>
    <t>Priemonė: Mokėti būsto išlaidų kompensacijas rajono gyventojams už kreditus ir palūkanas asmenims, turintiems teisę į būsto išlaidų kompensaciją.</t>
  </si>
  <si>
    <t>Aistė Būdvytienė; Ugnė Mikštienė</t>
  </si>
  <si>
    <t>Rajono gyventojų, gavusių kompensacijas už kreditus ir palūkanas asmenims, turintiems teisę į būsto šildymo išlaidų kompensaciją, skaičius</t>
  </si>
  <si>
    <t>361,00</t>
  </si>
  <si>
    <t>13.02.06.12.01.</t>
  </si>
  <si>
    <t>Veikla: Mokėti būsto išlaidų kompensacijas rajono gyventojams už kreditus ir palūkanas asmenims, turintiems teisę į būsto išlaidų kompensaciją.</t>
  </si>
  <si>
    <t>13.02.06.13.</t>
  </si>
  <si>
    <t>Priemonė: Mokėti būsto išlaidų kompensacijas rajono gyventojams už šildymą kitu kuru.</t>
  </si>
  <si>
    <t>Rajono gyventojų, gavusių kompensacijas už šildymą kitu kuru, skaičius</t>
  </si>
  <si>
    <t>5 672,00</t>
  </si>
  <si>
    <t>13.02.06.13.01.</t>
  </si>
  <si>
    <t>Veikla: Mokėti šildymo kompensacijas (kitu kuru) rajono gyventojams.</t>
  </si>
  <si>
    <t>13.02.06.14.</t>
  </si>
  <si>
    <t>Priemonė: Mokėti vienkartines išmokas vaikui</t>
  </si>
  <si>
    <t>Rajono gyventojų, gavusių vienkartines išmokas vaikui, skaičius</t>
  </si>
  <si>
    <t>13.02.06.14.01.</t>
  </si>
  <si>
    <t>Veikla: Išmokėti rajono gyventojams skirtas vienkartines išmokas vaikams</t>
  </si>
  <si>
    <t>13.02.06.15.</t>
  </si>
  <si>
    <t>Priemonė: Skirti ir mokėti išmokas vaikui</t>
  </si>
  <si>
    <t>Rajono gyventojų, gavusių išmokas vaikui, skaičius</t>
  </si>
  <si>
    <t>4 553,00</t>
  </si>
  <si>
    <t>13.02.06.15.01.</t>
  </si>
  <si>
    <t>Veikla: Išmokėti rajono gyventojams skirtas išmokas vaikams</t>
  </si>
  <si>
    <t>13.02.06.16.</t>
  </si>
  <si>
    <t>Priemonė: Mokėti išmokas gimus vienu metu daugiau kaip vienam vaikui</t>
  </si>
  <si>
    <t>Rajono gyventojų, gavusių išmokas gimus vienu metu daugiau kaip vienam vaikui, skaičius</t>
  </si>
  <si>
    <t>13.02.06.16.01.</t>
  </si>
  <si>
    <t>Veikla: Išmokėti rajono gyventojams skirtas išmokas gimus vienu metu daugiau kaip vienam vaikui</t>
  </si>
  <si>
    <t>13.02.06.17.</t>
  </si>
  <si>
    <t>Priemonė: Mokėti išmokas privalomosios pradinės karo tarnybos kario vaikui</t>
  </si>
  <si>
    <t>Rajono gyventojų, gavusių išmokas privalomosios pradinės karo tarnybos kario vaikui, skaičius</t>
  </si>
  <si>
    <t>13.02.06.17.01.</t>
  </si>
  <si>
    <t>Veikla: Išmokėti rajono gyventojams skirtas išmokas privalomosios pradinės karo tarnybos karo vaikui</t>
  </si>
  <si>
    <t>13.02.06.18.</t>
  </si>
  <si>
    <t>Priemonė: Mokėti išmokas besimokančio ar studijuojančio asmens vaiko priežiūrai</t>
  </si>
  <si>
    <t>Rajono gyventojų, gavusių išmokas besimokančio ar studijuojančio asmens vaiko priežiūrai, skaičius</t>
  </si>
  <si>
    <t>26,00</t>
  </si>
  <si>
    <t>13.02.06.18.01.</t>
  </si>
  <si>
    <t>Veikla: Išmokėti rajono gyventojams skirtas išmokas besimokančio ar studijuojančio asmens vaiko priežiūrai</t>
  </si>
  <si>
    <t>13.02.06.19.</t>
  </si>
  <si>
    <t>Priemonė: Mokėti vienkartines išmokas nėščiai moteriai</t>
  </si>
  <si>
    <t>Rajono gyventojų, gavusių vienkartines išmokas nėščiai moteriai, skaičius</t>
  </si>
  <si>
    <t>36,00</t>
  </si>
  <si>
    <t>13.02.06.19.01.</t>
  </si>
  <si>
    <t>Veikla: Išmokėti rajono gyventojoms skirtas vienkartines išmokas nėščiai moteriai</t>
  </si>
  <si>
    <t>13.02.06.20.</t>
  </si>
  <si>
    <t>Priemonė: Mokėti globos (rūpybos) išmokas</t>
  </si>
  <si>
    <t>Rajono gyventojų, gavusių globos (rūpybos) išmokas, skaičius</t>
  </si>
  <si>
    <t>99,00</t>
  </si>
  <si>
    <t>13.02.06.20.01.</t>
  </si>
  <si>
    <t>Veikla: Išmokėti rajono gyventojams skirtas globos (rūpybos) išmokas</t>
  </si>
  <si>
    <t>13.02.06.21.</t>
  </si>
  <si>
    <t>Priemonė: Mokėti globos  (rūpybos) išmokos tikslinius priedus</t>
  </si>
  <si>
    <t>Rajono gyventojų, gavusių globos (rūpybos) išmokos tikslinius priedus, skaičius</t>
  </si>
  <si>
    <t>88,00</t>
  </si>
  <si>
    <t>13.02.06.21.01.</t>
  </si>
  <si>
    <t>Veikla: Išmokėti rajono gyventojams skirtus globos (rūpybos) tikslinius priedus</t>
  </si>
  <si>
    <t>13.02.06.22.</t>
  </si>
  <si>
    <t>Priemonė: Mokėti vaiko laikinosios priežiūros  išmokas</t>
  </si>
  <si>
    <t>Rajono gyventojų, gavusių vaiko laikinosios priežiūros išmokas, skaičius</t>
  </si>
  <si>
    <t>13.02.06.22.01.</t>
  </si>
  <si>
    <t>Veikla: Išmokėti rajono gyventojams skirtas vaiko laikinosios  priežiūros išmokas</t>
  </si>
  <si>
    <t>13.02.06.23.</t>
  </si>
  <si>
    <t>Priemonė: Mokėti vienkartines išmokas įsikurti</t>
  </si>
  <si>
    <t>Rajono gyventojų, gavusių vienkartines išmokas įsikurti, skaičius</t>
  </si>
  <si>
    <t>13.02.06.23.01.</t>
  </si>
  <si>
    <t>Veikla: Išmokėti rajono gyventojams skirtas vienkartines išmokas įsikurti</t>
  </si>
  <si>
    <t>13.02.06.24.</t>
  </si>
  <si>
    <t>Priemonė: Mokėti išmokas įvaikinus vaiką</t>
  </si>
  <si>
    <t>Rajono gyventojų, gavusių išmokas įvaikinus vaiką, skaičius</t>
  </si>
  <si>
    <t>13.02.06.24.01.</t>
  </si>
  <si>
    <t>Veikla: Išmokėti rajono gyventojams skirtas išmokas įvaikinus vaiką</t>
  </si>
  <si>
    <t>13.02.06.25.</t>
  </si>
  <si>
    <t>Priemonė: Skirti ir mokėti slaugos išlaidų tikslinę kompensaciją</t>
  </si>
  <si>
    <t>Rajono gyventojų, gavusių slaugos išlaidų tikslinę kompensaciją, skaičius</t>
  </si>
  <si>
    <t>494,00</t>
  </si>
  <si>
    <t>13.02.06.25.01.</t>
  </si>
  <si>
    <t>Veikla: Išmokėti rajono gyventojams tikslines kompensacijas (slaugos)</t>
  </si>
  <si>
    <t>13.02.06.26.</t>
  </si>
  <si>
    <t>Priemonė: Skirti ir mokėti  priežiūros (pagalbos) išlaidų tikslines kompensaciją</t>
  </si>
  <si>
    <t>Rajono gyventojų, gavusių priežiūros (pagalbos) išlaidų tikslinę kompensaciją, skaičius</t>
  </si>
  <si>
    <t>746,00</t>
  </si>
  <si>
    <t>13.02.06.26.01.</t>
  </si>
  <si>
    <t>Veikla: Išmokėti rajono gyventojams tikslines kompensacijas (pagalbos)</t>
  </si>
  <si>
    <t>13.02.06.27.</t>
  </si>
  <si>
    <t>Priemonė: Administruoti tikslines kompensacijas</t>
  </si>
  <si>
    <t>Išmokas administruojančių asmenų skaičius</t>
  </si>
  <si>
    <t>13.02.06.27.01.</t>
  </si>
  <si>
    <t>Veikla: Administruoti tikslines kompensacijas</t>
  </si>
  <si>
    <t>13.02.06.28.</t>
  </si>
  <si>
    <t>Priemonė: Administruoti išmokas vaikams</t>
  </si>
  <si>
    <t>Aistė Būdvytienė; Jolita Žemaitienė; Ugnė Mikštienė</t>
  </si>
  <si>
    <t>13.02.06.28.01.</t>
  </si>
  <si>
    <t>Veikla: Administruoti išmokas vaikams</t>
  </si>
  <si>
    <t>13.02.06.31.</t>
  </si>
  <si>
    <t>Priemonė: Užtikrinti finansinės pagalbos teikimą Barzdų seniūnijos gyventojams (išmokos mokėjimams ir kt.)</t>
  </si>
  <si>
    <t>Išmokėtų pašalpų seniūnijos seniūno skyrimu skaičius</t>
  </si>
  <si>
    <t>13.02.06.31.01.</t>
  </si>
  <si>
    <t>Veikla: Vienkartinių pašalpų mokėjimas seniūnijos gyventojams</t>
  </si>
  <si>
    <t>13.02.06.32.</t>
  </si>
  <si>
    <t>Priemonė: Užtikrinti finansinės pagalbos teikimą Gelgaudiškio seniūnijos gyventojams (išmokos mokėjimams ir kt.)</t>
  </si>
  <si>
    <t>13.02.06.32.01.</t>
  </si>
  <si>
    <t>13.02.06.33.</t>
  </si>
  <si>
    <t>Priemonė: Užtikrinti finansinės pagalbos teikimą Griškabūdžio seniūnijos gyventojams (išmokos mokėjimams ir kt.)</t>
  </si>
  <si>
    <t>13.02.06.33.01.</t>
  </si>
  <si>
    <t>13.02.06.34.</t>
  </si>
  <si>
    <t>Priemonė: Užtikrinti finansinės pagalbos teikimą Kidulių seniūnijos gyventojams (išmokos mokėjimams ir kt.)</t>
  </si>
  <si>
    <t>13.02.06.34.01.</t>
  </si>
  <si>
    <t>13.02.06.35.</t>
  </si>
  <si>
    <t>Priemonė: Užtikrinti finansinės pagalbos teikimą Kriūkų seniūnijos gyventojams (išmokos mokėjimams ir kt.)</t>
  </si>
  <si>
    <t>13.02.06.35.01.</t>
  </si>
  <si>
    <t>13.02.06.36.</t>
  </si>
  <si>
    <t>Priemonė: Užtikrinti finansinės pagalbos teikimą  Kudirkos Naumiesčio seniūnijos gyventojams (išmokos mokėjimams ir kt.)</t>
  </si>
  <si>
    <t>13.02.06.36.01.</t>
  </si>
  <si>
    <t>13.02.06.37.</t>
  </si>
  <si>
    <t>Priemonė: Užtikrinti finansinės pagalbos teikimą Lekėčių seniūnijos gyventojams (išmokos mokėjimams ir kt.)</t>
  </si>
  <si>
    <t>13.02.06.37.01.</t>
  </si>
  <si>
    <t>13.02.06.38.</t>
  </si>
  <si>
    <t>Priemonė: Užtikrinti finansinės pagalbos teikimą Lukšių seniūnijos gyventojams (išmokos mokėjimams ir kt.)</t>
  </si>
  <si>
    <t>13.02.06.38.01.</t>
  </si>
  <si>
    <t>13.02.06.39.</t>
  </si>
  <si>
    <t>Priemonė: Užtikrinti finansinės pagalbos teikimą Plokščių seniūnijos gyventojams (išmokos mokėjimams ir kt.)</t>
  </si>
  <si>
    <t>13.02.06.39.01.</t>
  </si>
  <si>
    <t>13.02.06.40.</t>
  </si>
  <si>
    <t>Priemonė: Užtikrinti finansinės pagalbos teikimą Sintautų seniūnijos gyventojams (išmokos mokėjimams ir kt.)</t>
  </si>
  <si>
    <t>13.02.06.40.01.</t>
  </si>
  <si>
    <t>13.02.06.41.</t>
  </si>
  <si>
    <t>Priemonė: Užtikrinti finansinės pagalbos teikimą Slavikų seniūnijos gyventojams (išmokos mokėjimams ir kt.)</t>
  </si>
  <si>
    <t>13.02.06.41.01.</t>
  </si>
  <si>
    <t>13.02.06.42.</t>
  </si>
  <si>
    <t>Priemonė:  Užtikrinti finansinės pagalbos teikimą Sudargo seniūnijos gyventojams (išmokos mokėjimams ir kt.)</t>
  </si>
  <si>
    <t>13.02.06.42.01.</t>
  </si>
  <si>
    <t>13.02.06.43.</t>
  </si>
  <si>
    <t>Priemonė: Užtikrinti finansinės pagalbos teikimą Šakių seniūnijos gyventojams (išmokos mokėjimams ir kt.)</t>
  </si>
  <si>
    <t>42,00</t>
  </si>
  <si>
    <t>13.02.06.43.01.</t>
  </si>
  <si>
    <t>13.02.06.44.</t>
  </si>
  <si>
    <t>Priemonė: Užtikrinti finansinės pagalbos teikimą Žvirgždaičių seniūnijos gyventojams (išmokos mokėjimams ir kt.)</t>
  </si>
  <si>
    <t>13.02.06.44.01.</t>
  </si>
  <si>
    <t>13.02.08.</t>
  </si>
  <si>
    <t>Uždavinys. Universalaus dizaino aplinkos pritaikymas</t>
  </si>
  <si>
    <t>Pritaikytų objektų skaičius</t>
  </si>
  <si>
    <t>13.02.08.01.</t>
  </si>
  <si>
    <t>Priemonė: Viešosios aplinkos pritaikymas neįgaliųjų poreikiams</t>
  </si>
  <si>
    <t>Pritaikytų visuomeninės paskirties objektų skaičius</t>
  </si>
  <si>
    <t>13.02.08.01.01</t>
  </si>
  <si>
    <t>Veikla: Sudaryti sąlygas neįgaliesiems patekti į viešąsias įstaigas.</t>
  </si>
  <si>
    <t>13.02.09.</t>
  </si>
  <si>
    <t>Uždavinys. Šakių rajono socialinio būsto fondo plėtra</t>
  </si>
  <si>
    <t>Rinkoje, išsinuomotų būstų, iš fizinių ir juridinių asmenų, skaičius</t>
  </si>
  <si>
    <t>13.02.09.01.</t>
  </si>
  <si>
    <t>Priemonė.Suteikti socialinio būsto paslaugas rajono gyventojams.</t>
  </si>
  <si>
    <t>Asmenų, gavusių socialinį būstą, skaičius</t>
  </si>
  <si>
    <t>13.02.09.01.01</t>
  </si>
  <si>
    <t>Veikla: Teikti rajono gyventojams socialinio būsto paslaugas</t>
  </si>
  <si>
    <t>13.02.09.03.</t>
  </si>
  <si>
    <t>Priemonė: Socialinio būsto remontas Šakių seniūnijoje</t>
  </si>
  <si>
    <t>Suremontuotų socialinių būstų, skaičius</t>
  </si>
  <si>
    <t>13.02.09.03.01.</t>
  </si>
  <si>
    <t>Veikla: Iš dalies suremontuoti socialinius ir savivaldybei priklausančius būstus</t>
  </si>
  <si>
    <t>13.02.09.04.</t>
  </si>
  <si>
    <t>Priemonė: Socialinio būsto remontas Gelgaudiškio seniūnijoje</t>
  </si>
  <si>
    <t>13.02.09.04.01.</t>
  </si>
  <si>
    <t>13.02.09.05.</t>
  </si>
  <si>
    <t>Priemonė: Socialinės paskirties patalpų remontas Griškabūdžio seniūnijoje</t>
  </si>
  <si>
    <t>Suremontuotų socialinės paskirties patalpų, skaičius</t>
  </si>
  <si>
    <t>13.02.09.05.01.</t>
  </si>
  <si>
    <t>13.02.09.06.</t>
  </si>
  <si>
    <t>Priemonė: Socialinio būsto remontas Kidulių seniūnijoje</t>
  </si>
  <si>
    <t>13.02.09.06.01.</t>
  </si>
  <si>
    <t>13.02.09.07.</t>
  </si>
  <si>
    <t>Priemonė: Socialinio būsto remontas Kriūkų seniūnijoje</t>
  </si>
  <si>
    <t>13.02.09.07.01.</t>
  </si>
  <si>
    <t>13.02.09.08.</t>
  </si>
  <si>
    <t>Priemonė: Socialinio būsto remontas Kudirkos Naumiesčio seniūnijoje</t>
  </si>
  <si>
    <t>13.02.09.08.01.</t>
  </si>
  <si>
    <t>13.02.09.09.</t>
  </si>
  <si>
    <t>Priemonė: Socialinio būsto remontas Lekėčių seniūnijoje</t>
  </si>
  <si>
    <t>13.02.09.09.01.</t>
  </si>
  <si>
    <t>13.02.09.10.</t>
  </si>
  <si>
    <t>Priemonė: Socialinio būsto remontas Lukšių seniūnijoje</t>
  </si>
  <si>
    <t>13.02.09.10.01.</t>
  </si>
  <si>
    <t>13.02.09.11.</t>
  </si>
  <si>
    <t>Priemonė: Socialinio būsto remontas Plokščių seniūnijoje</t>
  </si>
  <si>
    <t>13.02.09.11.01.</t>
  </si>
  <si>
    <t>13.02.09.12.</t>
  </si>
  <si>
    <t>Priemonė: Socialinio būsto remontas Sintautų seniūnijoje</t>
  </si>
  <si>
    <t>13.02.09.12.01.</t>
  </si>
  <si>
    <t>13.02.09.13</t>
  </si>
  <si>
    <t>Priemonė. Būstų nuoma iš fizinių ir juridinių asmenų.</t>
  </si>
  <si>
    <t>Rinkoje išsinuomotų būstų iš fizinių ir juridinių asmenų, skaičius</t>
  </si>
  <si>
    <t>13.02.09.13.01.</t>
  </si>
  <si>
    <t>Veikla: Išsinuomoti būstus, esančius rinkoje, iš fizinių ir juridinių asmenų</t>
  </si>
  <si>
    <t>13.03.</t>
  </si>
  <si>
    <t>Tikslas: Saugumą užtikrinančių priemonių diegimas</t>
  </si>
  <si>
    <t>Šakių rajono savivaldybės priešgaisrinė tarnyba</t>
  </si>
  <si>
    <t>Daiva  Pilypaitytė; Gintautas Vedegys</t>
  </si>
  <si>
    <t>Įdiegtų saugumo priemonių užtikrinimas, procentais</t>
  </si>
  <si>
    <t>13.03.04.</t>
  </si>
  <si>
    <t>Uždavinys. Įgyvendinti prevencines programas</t>
  </si>
  <si>
    <t>Įgyvendinti prevencinių programų skaičius</t>
  </si>
  <si>
    <t>13.03.04.02.</t>
  </si>
  <si>
    <t>Priemonė. Vykdyti kovos su prekyba žmonėmis programą</t>
  </si>
  <si>
    <t>Įgyvendinamų kovos su prekyba žmonėmis programų skaičius</t>
  </si>
  <si>
    <t>13.03.04.02.01</t>
  </si>
  <si>
    <t>Veikla: Įgyvendinti kovos su prekyba žmonėmis programą</t>
  </si>
  <si>
    <t>13.03.04.05.</t>
  </si>
  <si>
    <t>Priemonė: „Smurto artimoje aplinkoje prevencija“</t>
  </si>
  <si>
    <t>Įgyvendinamų kovos su smurtu programų skaičius</t>
  </si>
  <si>
    <t>13.03.04.05.01.</t>
  </si>
  <si>
    <t>Veikla: Vykdyti kovos su prekyba žmonėmis programą</t>
  </si>
  <si>
    <t>13.03.04.06.</t>
  </si>
  <si>
    <t>Priemonė. Finansuoti policijos rėmėjų priemonių įsigijimą vykdant prevencines programas</t>
  </si>
  <si>
    <t>Įsigytų aprangos kompektų policijos rėmėjams skaičius</t>
  </si>
  <si>
    <t>13.03.04.06.01</t>
  </si>
  <si>
    <t>Veikla: Įsigyti aprangos kompektus policijos rėmėjams</t>
  </si>
  <si>
    <t>13.06.</t>
  </si>
  <si>
    <t>Tikslas: Gyventojų užimtumo didinimas.</t>
  </si>
  <si>
    <t>Užimtumo programoje įdarbintų asmenų skaičius</t>
  </si>
  <si>
    <t>29,00</t>
  </si>
  <si>
    <t>13.06.01.</t>
  </si>
  <si>
    <t>Uždavinys. Organizuoti užimtumo didinimo programą</t>
  </si>
  <si>
    <t>Įdarbintų asmenų skaičius</t>
  </si>
  <si>
    <t>13.06.01.03.</t>
  </si>
  <si>
    <t>Priemonė:  Įgyvendinti užimtumo didinimo programą Barzdų seniūnijoje</t>
  </si>
  <si>
    <t>13.06.01.03.01.</t>
  </si>
  <si>
    <t>Veikla: Įdarbinti seniūnijos gyventojus per užimtumo didinimo programą</t>
  </si>
  <si>
    <t>13.06.01.04.</t>
  </si>
  <si>
    <t>Priemonė: Įgyvendinti užimtumo didinimo programą Gelgaudiškio seniūnijoje</t>
  </si>
  <si>
    <t>13.06.01.04.01.</t>
  </si>
  <si>
    <t>13.06.01.05.</t>
  </si>
  <si>
    <t>Priemonė: Įgyvendinti užimtumo didinimo programą Griškabūdžio seniūnijoje</t>
  </si>
  <si>
    <t>13.06.01.05.01.</t>
  </si>
  <si>
    <t>13.06.01.06.</t>
  </si>
  <si>
    <t>Priemonė: Įgyvendinti užimtumo didinimo programą Kidulių seniūnijoje</t>
  </si>
  <si>
    <t>13.06.01.06.01.</t>
  </si>
  <si>
    <t>13.06.01.07.</t>
  </si>
  <si>
    <t>Priemonė: Įgyvendinti užimtumo didinimo programą Kriūkų seniūnijoje</t>
  </si>
  <si>
    <t>13.06.01.07.01.</t>
  </si>
  <si>
    <t>13.06.01.08.</t>
  </si>
  <si>
    <t>Priemonė: Įgyvendinti užimtumo didinimo programą Kudirkos Naumiesčio seniūnijoje</t>
  </si>
  <si>
    <t>13.06.01.08.01.</t>
  </si>
  <si>
    <t>13.06.01.09.</t>
  </si>
  <si>
    <t>Priemonė: Įgyvendinti užimtumo didinimo programą Lekėčių seniūnijoje</t>
  </si>
  <si>
    <t>13.06.01.09.01.</t>
  </si>
  <si>
    <t>13.06.01.10.</t>
  </si>
  <si>
    <t>Priemonė: Įgyvendinti užimtumo didinimo programą Lukšių seniūnijoje</t>
  </si>
  <si>
    <t>13.06.01.10.01.</t>
  </si>
  <si>
    <t>13.06.01.11.</t>
  </si>
  <si>
    <t>Priemonė: Įgyvendinti užimtumo didinimo programą Plokščių seniūnijoje</t>
  </si>
  <si>
    <t>13.06.01.11.01.</t>
  </si>
  <si>
    <t>13.06.01.12.</t>
  </si>
  <si>
    <t>Priemonė: Įgyvendinti užimtumo didinimo programą Sintautų seniūnijoje</t>
  </si>
  <si>
    <t>13.06.01.12.01.</t>
  </si>
  <si>
    <t>13.06.01.13.</t>
  </si>
  <si>
    <t>Priemonė: Įgyvendinti užimtumo didinimo programą Slavikų seniūnijoje</t>
  </si>
  <si>
    <t>13.06.01.13.01.</t>
  </si>
  <si>
    <t>13.06.01.14.</t>
  </si>
  <si>
    <t>Priemonė: Įgyvendinti užimtumo didinimo programą Sudargo seniūnijoje</t>
  </si>
  <si>
    <t>13.06.01.14.01.</t>
  </si>
  <si>
    <t>13.06.01.15.</t>
  </si>
  <si>
    <t>Priemonė: Įgyvendinti užimtumo didinimo programą Šakių seniūnijoje</t>
  </si>
  <si>
    <t>13.06.01.15.01.</t>
  </si>
  <si>
    <t>13.06.01.16.</t>
  </si>
  <si>
    <t>Priemonė: Įgyvendinti užimtumo didinimo programą Žvirgždaičių seniūnijoje</t>
  </si>
  <si>
    <t>13.06.01.16.01.</t>
  </si>
  <si>
    <t>13.07.</t>
  </si>
  <si>
    <t>Tikslas. Didinti gyventojų socialinę gerovę ir įtrauktį, stiprinti sveikatą ir gerinti Lietuvos demografinę padėtį.</t>
  </si>
  <si>
    <t>24,30</t>
  </si>
  <si>
    <t>13.07.02.</t>
  </si>
  <si>
    <t>Socialines paslaugas gaunančių tikslinės grupės asmenų dalis nuo bendro su skurdo rizika ar socialine atskirtimi susiduriančių gyventojų skaičiaus, procentais</t>
  </si>
  <si>
    <t>16,40</t>
  </si>
  <si>
    <t>13.07.02.01.</t>
  </si>
  <si>
    <t>Priemonė. Užtikrinti kompensacijų fiziniams ir juridiniams asmenims, perdavusiems savo būstą ar patalpas neatlygintinai naudotis panaudos pagrindais dėl karinių veiksmų iš Ukrainos pasitraukusiems gyventojams, mokėjimą.</t>
  </si>
  <si>
    <t>Išmokėtų kompensacijų skaičius (pagal panaudos sutartis)</t>
  </si>
  <si>
    <t>13.07.02.01.01.</t>
  </si>
  <si>
    <t>Veikla: Išmokėti kompensacijas pagal panaudos sutartis</t>
  </si>
  <si>
    <t>13.07.02.03.</t>
  </si>
  <si>
    <t>Priemonė. Įgyvendinti projektą "Perėjimas nuo institucinės globos prie bendruomeninių paslaugų sostinės regione, vidurio ir vakarų Lietuvos regione"</t>
  </si>
  <si>
    <t>Gelgaudiškio ,,Šaltinio” ugdymo centras; VšĮ Šakių diakonija</t>
  </si>
  <si>
    <t>Asmenų gavusių paslaugą VšĮ Šakių Diakonijos socialinėse dirbtuvėse skaičius</t>
  </si>
  <si>
    <t>Asmenų gavusių paslaugą Gelgaudiškio "Šaltinio" ugdymo centro socialinėse dirbtuvėse skaičius</t>
  </si>
  <si>
    <t>Įsteigtų ir palaikomų etatų skaičius</t>
  </si>
  <si>
    <t>13.07.02.03.01.</t>
  </si>
  <si>
    <t>Veikla: Teikti socialinių įgūdžių ugdymo, palaikymo ir (ar) atkūrimo paslaugą (socialinių dirbtuvių veikla) proto ir (ar) psichikos negalią, turintiems suaugusiems asmenims.</t>
  </si>
  <si>
    <t>13.07.02.04.</t>
  </si>
  <si>
    <t>Priemonė. Laikino atokvėpio paslauga</t>
  </si>
  <si>
    <t>Asmenų, gavusių laikino atokvėpio paslaugą, skaičius</t>
  </si>
  <si>
    <t>13.07.02.04.01.</t>
  </si>
  <si>
    <t>Veikla: Teikti laikino atokvėpio paslaugas.</t>
  </si>
  <si>
    <t>13.07.02.05.</t>
  </si>
  <si>
    <t>Priemonė. Administruoti laikino atokvėpio paslaugą</t>
  </si>
  <si>
    <t>Laikino atokvėpio paslaugą administruojančių asmenų skaičius</t>
  </si>
  <si>
    <t>13.07.02.05.01.</t>
  </si>
  <si>
    <t>Veikla: Administruoti laikino atokvėpio paslaugas.</t>
  </si>
  <si>
    <t>13.08.</t>
  </si>
  <si>
    <t>Tikslas. Stiprinti ryšius su diaspora.</t>
  </si>
  <si>
    <t>13.08.01.</t>
  </si>
  <si>
    <t>13.08.01.01.</t>
  </si>
  <si>
    <t>Priemonė. Sąlygų sudarymas diasporai būstų nuomai.</t>
  </si>
  <si>
    <t>Išnuomotų būstų, iš užsienio grįžusių diasporos atstovams, skaičius</t>
  </si>
  <si>
    <t>13.08.01.01.01</t>
  </si>
  <si>
    <t>Veikla: Išnuomoti būstus iš užsienio grįžusiems diasporos atstovams.</t>
  </si>
  <si>
    <t>13.08.01.02.</t>
  </si>
  <si>
    <t>Priemonė. Diasporos dalies, dalyvaujančios labdaros, paramos ir savanorystės veiklose (labdaros valgykla).</t>
  </si>
  <si>
    <t>Nemokamą maitinimą gaunančių asmenų skaičius</t>
  </si>
  <si>
    <t>400,00</t>
  </si>
  <si>
    <t>13.08.01.02.01.</t>
  </si>
  <si>
    <t>Veikla: Integruoti diasporos savanorius labdaros, paramos ir savanorystės veiklose</t>
  </si>
  <si>
    <t>1. savivaldybės biudžetas</t>
  </si>
  <si>
    <t>1.1. SB</t>
  </si>
  <si>
    <t>savivaldybės biudžeto lėšos</t>
  </si>
  <si>
    <t>1.10. VB ir kt.</t>
  </si>
  <si>
    <t>VB ir kitos tarptautinės finansinės paramos bei bendrojo finansavimo lėšos (į rajono savivaldybės biudžetą įeinančios ir apskaitomos atskirose sąskaitose)</t>
  </si>
  <si>
    <t>1.2. SB (PĮ; KTP)</t>
  </si>
  <si>
    <t>biudžetinių įstaigų pajamos/įmokos</t>
  </si>
  <si>
    <t>1.3. SB (VB D)</t>
  </si>
  <si>
    <t>valstybės tikslinė dotacija</t>
  </si>
  <si>
    <t>1.4.  SB (KPP)</t>
  </si>
  <si>
    <t>Kelių priežiūros lėšos</t>
  </si>
  <si>
    <t>1.6. SB (AA)</t>
  </si>
  <si>
    <t>Savivaldybės biudžeto (Gamtos lėšos)</t>
  </si>
  <si>
    <t>1.7. SB (ES)</t>
  </si>
  <si>
    <t>į rajono savivaldybės biudžetą įeinančios ES paramos lėšos.</t>
  </si>
  <si>
    <t>1.8. SB (VB)</t>
  </si>
  <si>
    <t>į rajono savivaldybės biudžetą įeinančios nacionalinio biudžeto (bendrojo finansavimo, valstybės investicijų programos (VIP) ir  kt.) lėšos.</t>
  </si>
  <si>
    <t>1.9. ES ir kt.</t>
  </si>
  <si>
    <t>ES ir kitos tarptautinės finansinės paramos bei bendrojo finansavimo lėšos (į rajono savivaldybės biudžetą įeinančios ir apskaitomos atskirose sąskaitose)</t>
  </si>
  <si>
    <t>2. ES ir kitos tarptautinės finansinės paramos lėšos</t>
  </si>
  <si>
    <t>3*. Nacionalinio biudžeto (bendrojo finansavimo, valstybės investicijų programos (VIP) ir  kt.) lėšos;</t>
  </si>
  <si>
    <t>IŠ VISO programai finansuoti pagal finansavimo šaltinius:</t>
  </si>
  <si>
    <t xml:space="preserve"> </t>
  </si>
  <si>
    <t>vieta</t>
  </si>
  <si>
    <t>PATVIRTINTA           
Šakių rajono savivaldybės administracijos direktoriaus
2024 m. kovo 18 d. įsakymu Nr. AT-217
(Šakių rajono savivaldybės administracijos direktoriaus
2024 m. rugsėjo   d. įsakymo Nr. AT-    redakcija)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</si>
</sst>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10427]#,##0.00;\-#,##0.00;&quot;&quot;"/>
  </numFmts>
  <fonts count="3" x14ac:knownFonts="1">
    <font>
      <sz val="11"/>
      <color rgb="FF000000"/>
      <name val="Calibri"/>
      <family val="2"/>
    </font>
    <font>
      <b/>
      <sz val="18"/>
      <color rgb="FF000000"/>
      <name val="Times New Roman"/>
      <family val="1"/>
    </font>
    <font>
      <sz val="18"/>
      <color rgb="FF000000"/>
      <name val="Times New Roman"/>
      <family val="1"/>
    </font>
  </fonts>
  <fills count="7">
    <fill>
      <patternFill patternType="none"/>
    </fill>
    <fill>
      <patternFill patternType="gray125"/>
    </fill>
    <fill>
      <patternFill patternType="none">
        <fgColor rgb="FF000000"/>
        <bgColor rgb="FF000000"/>
      </patternFill>
    </fill>
    <fill>
      <patternFill patternType="solid">
        <fgColor rgb="FFEBEBEB"/>
        <bgColor rgb="FFEBEBEB"/>
      </patternFill>
    </fill>
    <fill>
      <patternFill patternType="solid">
        <fgColor rgb="FFD2F3C3"/>
        <bgColor rgb="FFD2F3C3"/>
      </patternFill>
    </fill>
    <fill>
      <patternFill patternType="solid">
        <fgColor rgb="FFF9F6C1"/>
        <bgColor rgb="FFF9F6C1"/>
      </patternFill>
    </fill>
    <fill>
      <patternFill patternType="solid">
        <fgColor rgb="FFFEDFDF"/>
        <bgColor rgb="FFFEDFDF"/>
      </patternFill>
    </fill>
  </fills>
  <borders count="14">
    <border>
      <left/>
      <right/>
      <top/>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s>
  <cellStyleXfs count="1">
    <xf numFmtId="0" fontId="0" fillId="0" borderId="0" applyBorder="0"/>
  </cellStyleXfs>
  <cellXfs count="73">
    <xf numFmtId="0" fontId="0" fillId="0" borderId="0" xfId="0"/>
    <xf numFmtId="0" fontId="1" fillId="2" borderId="0" xfId="0" applyFont="1" applyFill="1" applyAlignment="1">
      <alignment horizontal="center" vertical="center" wrapText="1"/>
    </xf>
    <xf numFmtId="0" fontId="2" fillId="2" borderId="0" xfId="0" applyFont="1" applyFill="1" applyAlignment="1">
      <alignment horizontal="center" vertical="center" wrapText="1"/>
    </xf>
    <xf numFmtId="0" fontId="2" fillId="0" borderId="0" xfId="0" applyFont="1" applyAlignment="1">
      <alignment vertical="center" wrapText="1"/>
    </xf>
    <xf numFmtId="0" fontId="1" fillId="0" borderId="5" xfId="0" applyFont="1" applyBorder="1" applyAlignment="1">
      <alignment horizontal="center" vertical="center" wrapText="1" readingOrder="1"/>
    </xf>
    <xf numFmtId="0" fontId="1" fillId="0" borderId="6" xfId="0" applyFont="1" applyBorder="1" applyAlignment="1">
      <alignment horizontal="center" vertical="center" wrapText="1" readingOrder="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readingOrder="1"/>
    </xf>
    <xf numFmtId="0" fontId="1" fillId="0" borderId="1" xfId="0" applyFont="1" applyBorder="1" applyAlignment="1">
      <alignment horizontal="center" vertical="center" wrapText="1" readingOrder="1"/>
    </xf>
    <xf numFmtId="0" fontId="1" fillId="0" borderId="9" xfId="0" applyFont="1" applyBorder="1" applyAlignment="1">
      <alignment horizontal="center" vertical="center" wrapText="1" readingOrder="1"/>
    </xf>
    <xf numFmtId="0" fontId="1" fillId="0" borderId="10" xfId="0" applyFont="1" applyBorder="1" applyAlignment="1">
      <alignment horizontal="center" vertical="center" wrapText="1" readingOrder="1"/>
    </xf>
    <xf numFmtId="0" fontId="1" fillId="0" borderId="11" xfId="0" applyFont="1" applyBorder="1" applyAlignment="1">
      <alignment horizontal="center" vertical="center" wrapText="1" readingOrder="1"/>
    </xf>
    <xf numFmtId="0" fontId="1" fillId="0" borderId="12" xfId="0" applyFont="1" applyBorder="1" applyAlignment="1">
      <alignment horizontal="center" vertical="center" wrapText="1" readingOrder="1"/>
    </xf>
    <xf numFmtId="0" fontId="1" fillId="6" borderId="5" xfId="0" applyFont="1" applyFill="1" applyBorder="1" applyAlignment="1" applyProtection="1">
      <alignment vertical="center" wrapText="1" readingOrder="1"/>
      <protection locked="0"/>
    </xf>
    <xf numFmtId="0" fontId="1" fillId="6" borderId="6" xfId="0" applyFont="1" applyFill="1" applyBorder="1" applyAlignment="1" applyProtection="1">
      <alignment vertical="center" wrapText="1" readingOrder="1"/>
      <protection locked="0"/>
    </xf>
    <xf numFmtId="0" fontId="1" fillId="6" borderId="6" xfId="0" applyFont="1" applyFill="1" applyBorder="1" applyAlignment="1" applyProtection="1">
      <alignment horizontal="left" vertical="center" wrapText="1" readingOrder="1"/>
      <protection locked="0"/>
    </xf>
    <xf numFmtId="164" fontId="1" fillId="6" borderId="6" xfId="0" applyNumberFormat="1" applyFont="1" applyFill="1" applyBorder="1" applyAlignment="1">
      <alignment horizontal="right" vertical="center" wrapText="1" readingOrder="1"/>
    </xf>
    <xf numFmtId="0" fontId="1" fillId="6" borderId="6" xfId="0" applyFont="1" applyFill="1" applyBorder="1" applyAlignment="1" applyProtection="1">
      <alignment horizontal="center" vertical="center" wrapText="1" readingOrder="1"/>
      <protection locked="0"/>
    </xf>
    <xf numFmtId="0" fontId="1" fillId="6" borderId="7" xfId="0" applyFont="1" applyFill="1" applyBorder="1" applyAlignment="1" applyProtection="1">
      <alignment horizontal="right" vertical="center" wrapText="1" readingOrder="1"/>
      <protection locked="0"/>
    </xf>
    <xf numFmtId="0" fontId="1" fillId="5" borderId="5" xfId="0" applyFont="1" applyFill="1" applyBorder="1" applyAlignment="1" applyProtection="1">
      <alignment vertical="center" wrapText="1" readingOrder="1"/>
      <protection locked="0"/>
    </xf>
    <xf numFmtId="0" fontId="1" fillId="5" borderId="6" xfId="0" applyFont="1" applyFill="1" applyBorder="1" applyAlignment="1" applyProtection="1">
      <alignment vertical="center" wrapText="1" readingOrder="1"/>
      <protection locked="0"/>
    </xf>
    <xf numFmtId="0" fontId="1" fillId="5" borderId="6" xfId="0" applyFont="1" applyFill="1" applyBorder="1" applyAlignment="1" applyProtection="1">
      <alignment horizontal="left" vertical="center" wrapText="1" readingOrder="1"/>
      <protection locked="0"/>
    </xf>
    <xf numFmtId="164" fontId="1" fillId="5" borderId="6" xfId="0" applyNumberFormat="1" applyFont="1" applyFill="1" applyBorder="1" applyAlignment="1">
      <alignment horizontal="right" vertical="center" wrapText="1" readingOrder="1"/>
    </xf>
    <xf numFmtId="0" fontId="1" fillId="5" borderId="6" xfId="0" applyFont="1" applyFill="1" applyBorder="1" applyAlignment="1" applyProtection="1">
      <alignment horizontal="center" vertical="center" wrapText="1" readingOrder="1"/>
      <protection locked="0"/>
    </xf>
    <xf numFmtId="0" fontId="1" fillId="5" borderId="7" xfId="0" applyFont="1" applyFill="1" applyBorder="1" applyAlignment="1" applyProtection="1">
      <alignment horizontal="right" vertical="center" wrapText="1" readingOrder="1"/>
      <protection locked="0"/>
    </xf>
    <xf numFmtId="0" fontId="1" fillId="4" borderId="5" xfId="0" applyFont="1" applyFill="1" applyBorder="1" applyAlignment="1" applyProtection="1">
      <alignment vertical="center" wrapText="1" readingOrder="1"/>
      <protection locked="0"/>
    </xf>
    <xf numFmtId="0" fontId="1" fillId="4" borderId="6" xfId="0" applyFont="1" applyFill="1" applyBorder="1" applyAlignment="1" applyProtection="1">
      <alignment vertical="center" wrapText="1" readingOrder="1"/>
      <protection locked="0"/>
    </xf>
    <xf numFmtId="0" fontId="1" fillId="4" borderId="6" xfId="0" applyFont="1" applyFill="1" applyBorder="1" applyAlignment="1" applyProtection="1">
      <alignment horizontal="left" vertical="center" wrapText="1" readingOrder="1"/>
      <protection locked="0"/>
    </xf>
    <xf numFmtId="164" fontId="1" fillId="4" borderId="6" xfId="0" applyNumberFormat="1" applyFont="1" applyFill="1" applyBorder="1" applyAlignment="1">
      <alignment horizontal="right" vertical="center" wrapText="1" readingOrder="1"/>
    </xf>
    <xf numFmtId="0" fontId="1" fillId="4" borderId="6" xfId="0" applyFont="1" applyFill="1" applyBorder="1" applyAlignment="1" applyProtection="1">
      <alignment horizontal="center" vertical="center" wrapText="1" readingOrder="1"/>
      <protection locked="0"/>
    </xf>
    <xf numFmtId="0" fontId="1" fillId="4" borderId="7" xfId="0" applyFont="1" applyFill="1" applyBorder="1" applyAlignment="1" applyProtection="1">
      <alignment horizontal="right" vertical="center" wrapText="1" readingOrder="1"/>
      <protection locked="0"/>
    </xf>
    <xf numFmtId="0" fontId="2" fillId="0" borderId="5" xfId="0" applyFont="1" applyBorder="1" applyAlignment="1" applyProtection="1">
      <alignment vertical="center" wrapText="1" readingOrder="1"/>
      <protection locked="0"/>
    </xf>
    <xf numFmtId="0" fontId="2" fillId="0" borderId="6" xfId="0" applyFont="1" applyBorder="1" applyAlignment="1" applyProtection="1">
      <alignment vertical="center" wrapText="1" readingOrder="1"/>
      <protection locked="0"/>
    </xf>
    <xf numFmtId="0" fontId="2" fillId="0" borderId="6" xfId="0" applyFont="1" applyBorder="1" applyAlignment="1" applyProtection="1">
      <alignment horizontal="left" vertical="center" wrapText="1" readingOrder="1"/>
      <protection locked="0"/>
    </xf>
    <xf numFmtId="164" fontId="2" fillId="0" borderId="6" xfId="0" applyNumberFormat="1" applyFont="1" applyBorder="1" applyAlignment="1">
      <alignment horizontal="right" vertical="center" wrapText="1" readingOrder="1"/>
    </xf>
    <xf numFmtId="0" fontId="2" fillId="0" borderId="6" xfId="0" applyFont="1" applyBorder="1" applyAlignment="1" applyProtection="1">
      <alignment horizontal="center" vertical="center" wrapText="1" readingOrder="1"/>
      <protection locked="0"/>
    </xf>
    <xf numFmtId="0" fontId="2" fillId="0" borderId="7" xfId="0" applyFont="1" applyBorder="1" applyAlignment="1" applyProtection="1">
      <alignment horizontal="right" vertical="center" wrapText="1" readingOrder="1"/>
      <protection locked="0"/>
    </xf>
    <xf numFmtId="164" fontId="2" fillId="0" borderId="6" xfId="0" applyNumberFormat="1" applyFont="1" applyBorder="1" applyAlignment="1" applyProtection="1">
      <alignment horizontal="right" vertical="center" wrapText="1" readingOrder="1"/>
      <protection locked="0"/>
    </xf>
    <xf numFmtId="0" fontId="2" fillId="0" borderId="8" xfId="0" applyFont="1" applyBorder="1" applyAlignment="1" applyProtection="1">
      <alignment vertical="center" wrapText="1" readingOrder="1"/>
      <protection locked="0"/>
    </xf>
    <xf numFmtId="0" fontId="2" fillId="0" borderId="1" xfId="0" applyFont="1" applyBorder="1" applyAlignment="1" applyProtection="1">
      <alignment vertical="center" wrapText="1" readingOrder="1"/>
      <protection locked="0"/>
    </xf>
    <xf numFmtId="0" fontId="2" fillId="0" borderId="1" xfId="0" applyFont="1" applyBorder="1" applyAlignment="1" applyProtection="1">
      <alignment horizontal="left" vertical="center" wrapText="1" readingOrder="1"/>
      <protection locked="0"/>
    </xf>
    <xf numFmtId="164" fontId="2" fillId="0" borderId="1" xfId="0" applyNumberFormat="1" applyFont="1" applyBorder="1" applyAlignment="1" applyProtection="1">
      <alignment horizontal="right" vertical="center" wrapText="1" readingOrder="1"/>
      <protection locked="0"/>
    </xf>
    <xf numFmtId="0" fontId="2" fillId="0" borderId="1" xfId="0" applyFont="1" applyBorder="1" applyAlignment="1" applyProtection="1">
      <alignment horizontal="center" vertical="center" wrapText="1" readingOrder="1"/>
      <protection locked="0"/>
    </xf>
    <xf numFmtId="0" fontId="2" fillId="0" borderId="9" xfId="0" applyFont="1" applyBorder="1" applyAlignment="1" applyProtection="1">
      <alignment horizontal="right" vertical="center" wrapText="1" readingOrder="1"/>
      <protection locked="0"/>
    </xf>
    <xf numFmtId="164" fontId="1" fillId="4" borderId="6" xfId="0" applyNumberFormat="1" applyFont="1" applyFill="1" applyBorder="1" applyAlignment="1" applyProtection="1">
      <alignment horizontal="right" vertical="center" wrapText="1" readingOrder="1"/>
      <protection locked="0"/>
    </xf>
    <xf numFmtId="0" fontId="2" fillId="0" borderId="2" xfId="0" applyFont="1" applyBorder="1" applyAlignment="1" applyProtection="1">
      <alignment vertical="center" wrapText="1" readingOrder="1"/>
      <protection locked="0"/>
    </xf>
    <xf numFmtId="0" fontId="2" fillId="0" borderId="3" xfId="0" applyFont="1" applyBorder="1" applyAlignment="1" applyProtection="1">
      <alignment vertical="center" wrapText="1" readingOrder="1"/>
      <protection locked="0"/>
    </xf>
    <xf numFmtId="0" fontId="2" fillId="0" borderId="3" xfId="0" applyFont="1" applyBorder="1" applyAlignment="1" applyProtection="1">
      <alignment horizontal="left" vertical="center" wrapText="1" readingOrder="1"/>
      <protection locked="0"/>
    </xf>
    <xf numFmtId="164" fontId="2" fillId="0" borderId="3" xfId="0" applyNumberFormat="1" applyFont="1" applyBorder="1" applyAlignment="1" applyProtection="1">
      <alignment horizontal="right" vertical="center" wrapText="1" readingOrder="1"/>
      <protection locked="0"/>
    </xf>
    <xf numFmtId="0" fontId="2" fillId="0" borderId="3" xfId="0" applyFont="1" applyBorder="1" applyAlignment="1" applyProtection="1">
      <alignment horizontal="center" vertical="center" wrapText="1" readingOrder="1"/>
      <protection locked="0"/>
    </xf>
    <xf numFmtId="0" fontId="2" fillId="0" borderId="4" xfId="0" applyFont="1" applyBorder="1" applyAlignment="1" applyProtection="1">
      <alignment horizontal="right" vertical="center" wrapText="1" readingOrder="1"/>
      <protection locked="0"/>
    </xf>
    <xf numFmtId="0" fontId="2" fillId="2" borderId="0" xfId="0" applyFont="1" applyFill="1" applyAlignment="1" applyProtection="1">
      <alignment vertical="center" wrapText="1" readingOrder="1"/>
      <protection locked="0"/>
    </xf>
    <xf numFmtId="0" fontId="2" fillId="2" borderId="0" xfId="0" applyFont="1" applyFill="1" applyAlignment="1" applyProtection="1">
      <alignment horizontal="left" vertical="center" wrapText="1" readingOrder="1"/>
      <protection locked="0"/>
    </xf>
    <xf numFmtId="164" fontId="2" fillId="2" borderId="0" xfId="0" applyNumberFormat="1" applyFont="1" applyFill="1" applyAlignment="1" applyProtection="1">
      <alignment horizontal="right" vertical="center" wrapText="1" readingOrder="1"/>
      <protection locked="0"/>
    </xf>
    <xf numFmtId="0" fontId="2" fillId="2" borderId="0" xfId="0" applyFont="1" applyFill="1" applyAlignment="1" applyProtection="1">
      <alignment horizontal="center" vertical="center" wrapText="1" readingOrder="1"/>
      <protection locked="0"/>
    </xf>
    <xf numFmtId="0" fontId="2" fillId="2" borderId="0" xfId="0" applyFont="1" applyFill="1" applyAlignment="1" applyProtection="1">
      <alignment horizontal="right" vertical="center" wrapText="1" readingOrder="1"/>
      <protection locked="0"/>
    </xf>
    <xf numFmtId="0" fontId="2" fillId="2" borderId="0" xfId="0" applyFont="1" applyFill="1" applyAlignment="1">
      <alignment vertical="center" wrapText="1"/>
    </xf>
    <xf numFmtId="0" fontId="1" fillId="0" borderId="1" xfId="0" applyFont="1" applyBorder="1" applyAlignment="1">
      <alignment horizontal="center" vertical="center" wrapText="1"/>
    </xf>
    <xf numFmtId="0" fontId="1" fillId="0" borderId="1" xfId="0" applyFont="1" applyBorder="1" applyAlignment="1">
      <alignment horizontal="center" vertical="center" wrapText="1" readingOrder="1"/>
    </xf>
    <xf numFmtId="164" fontId="2" fillId="0" borderId="1" xfId="0" applyNumberFormat="1" applyFont="1" applyBorder="1" applyAlignment="1">
      <alignment horizontal="right" vertical="center" wrapText="1" readingOrder="1"/>
    </xf>
    <xf numFmtId="0" fontId="1" fillId="3" borderId="1" xfId="0" applyFont="1" applyFill="1" applyBorder="1" applyAlignment="1" applyProtection="1">
      <alignment vertical="center" wrapText="1" readingOrder="1"/>
      <protection locked="0"/>
    </xf>
    <xf numFmtId="0" fontId="1" fillId="3" borderId="1" xfId="0" applyFont="1" applyFill="1" applyBorder="1" applyAlignment="1" applyProtection="1">
      <alignment horizontal="right" vertical="center" wrapText="1" readingOrder="1"/>
      <protection locked="0"/>
    </xf>
    <xf numFmtId="164" fontId="1" fillId="3" borderId="1" xfId="0" applyNumberFormat="1" applyFont="1" applyFill="1" applyBorder="1" applyAlignment="1">
      <alignment horizontal="right" vertical="center" wrapText="1" readingOrder="1"/>
    </xf>
    <xf numFmtId="0" fontId="1" fillId="2" borderId="0" xfId="0" applyFont="1" applyFill="1" applyAlignment="1" applyProtection="1">
      <alignment vertical="center" wrapText="1" readingOrder="1"/>
      <protection locked="0"/>
    </xf>
    <xf numFmtId="0" fontId="1" fillId="2" borderId="0" xfId="0" applyFont="1" applyFill="1" applyAlignment="1" applyProtection="1">
      <alignment horizontal="right" vertical="center" wrapText="1" readingOrder="1"/>
      <protection locked="0"/>
    </xf>
    <xf numFmtId="164" fontId="1" fillId="2" borderId="0" xfId="0" applyNumberFormat="1" applyFont="1" applyFill="1" applyAlignment="1">
      <alignment horizontal="right" vertical="center" wrapText="1" readingOrder="1"/>
    </xf>
    <xf numFmtId="0" fontId="1" fillId="2" borderId="0" xfId="0" applyFont="1" applyFill="1" applyAlignment="1">
      <alignment vertical="center" wrapText="1"/>
    </xf>
    <xf numFmtId="0" fontId="2" fillId="2" borderId="0" xfId="0" applyFont="1" applyFill="1" applyAlignment="1">
      <alignment horizontal="left" vertical="center" wrapText="1"/>
    </xf>
    <xf numFmtId="0" fontId="1" fillId="0" borderId="0" xfId="0" applyFont="1" applyAlignment="1">
      <alignment horizontal="center" vertical="center" wrapText="1"/>
    </xf>
    <xf numFmtId="0" fontId="2" fillId="2" borderId="13" xfId="0" applyFont="1" applyFill="1" applyBorder="1" applyAlignment="1">
      <alignment vertical="center" wrapText="1"/>
    </xf>
    <xf numFmtId="0" fontId="2" fillId="2" borderId="13" xfId="0" applyFont="1" applyFill="1" applyBorder="1" applyAlignment="1">
      <alignment horizontal="left" vertical="center" wrapText="1"/>
    </xf>
    <xf numFmtId="0" fontId="2" fillId="2" borderId="0" xfId="0" applyFont="1" applyFill="1" applyBorder="1" applyAlignment="1">
      <alignment vertical="center" wrapText="1"/>
    </xf>
  </cellXfs>
  <cellStyles count="1">
    <cellStyle name="Įprasta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T788"/>
  <sheetViews>
    <sheetView tabSelected="1" zoomScale="50" zoomScaleNormal="50" workbookViewId="0">
      <selection activeCell="A2" sqref="A2"/>
    </sheetView>
  </sheetViews>
  <sheetFormatPr defaultRowHeight="23.25" x14ac:dyDescent="0.25"/>
  <cols>
    <col min="1" max="1" width="26.42578125" style="3" customWidth="1"/>
    <col min="2" max="3" width="50.7109375" style="3" customWidth="1"/>
    <col min="4" max="4" width="38.42578125" style="3" customWidth="1"/>
    <col min="5" max="5" width="24.140625" style="3" customWidth="1"/>
    <col min="6" max="15" width="21.7109375" style="3" customWidth="1"/>
    <col min="16" max="16" width="50.7109375" style="3" customWidth="1"/>
    <col min="17" max="18" width="16" style="3" customWidth="1"/>
    <col min="19" max="16384" width="9.140625" style="3"/>
  </cols>
  <sheetData>
    <row r="1" spans="1:20" s="1" customFormat="1" ht="22.5" customHeight="1" x14ac:dyDescent="0.25">
      <c r="A1" s="67"/>
      <c r="B1" s="67"/>
      <c r="C1" s="67"/>
      <c r="D1" s="67"/>
      <c r="E1" s="67"/>
      <c r="F1" s="67"/>
      <c r="G1" s="67"/>
      <c r="H1" s="67"/>
      <c r="I1" s="67"/>
      <c r="J1" s="67"/>
      <c r="K1" s="67"/>
      <c r="L1" s="67"/>
      <c r="M1" s="67"/>
      <c r="N1" s="67"/>
      <c r="O1" s="57"/>
      <c r="P1" s="68" t="s">
        <v>1978</v>
      </c>
      <c r="Q1" s="68"/>
      <c r="R1" s="68"/>
      <c r="S1" s="57"/>
    </row>
    <row r="2" spans="1:20" s="2" customFormat="1" x14ac:dyDescent="0.25">
      <c r="A2" s="57"/>
      <c r="B2" s="57"/>
      <c r="C2" s="57"/>
      <c r="D2" s="57"/>
      <c r="E2" s="57"/>
      <c r="F2" s="57"/>
      <c r="G2" s="57"/>
      <c r="H2" s="57"/>
      <c r="I2" s="57"/>
      <c r="J2" s="57"/>
      <c r="K2" s="57"/>
      <c r="L2" s="57"/>
      <c r="M2" s="57"/>
      <c r="N2" s="57"/>
      <c r="O2" s="57"/>
      <c r="P2" s="68"/>
      <c r="Q2" s="68"/>
      <c r="R2" s="68"/>
      <c r="S2" s="57"/>
    </row>
    <row r="3" spans="1:20" x14ac:dyDescent="0.25">
      <c r="D3" s="69" t="s">
        <v>0</v>
      </c>
      <c r="E3" s="69"/>
      <c r="F3" s="69"/>
      <c r="G3" s="69"/>
      <c r="H3" s="69"/>
      <c r="I3" s="69"/>
      <c r="J3" s="69"/>
      <c r="K3" s="69"/>
      <c r="L3" s="69"/>
      <c r="O3" s="57"/>
      <c r="P3" s="68"/>
      <c r="Q3" s="68"/>
      <c r="R3" s="68"/>
      <c r="S3" s="57"/>
      <c r="T3" s="3" t="s">
        <v>1976</v>
      </c>
    </row>
    <row r="4" spans="1:20" x14ac:dyDescent="0.25">
      <c r="O4" s="57"/>
      <c r="P4" s="68"/>
      <c r="Q4" s="68"/>
      <c r="R4" s="68"/>
      <c r="S4" s="57"/>
    </row>
    <row r="5" spans="1:20" ht="42.75" customHeight="1" thickBot="1" x14ac:dyDescent="0.3">
      <c r="O5" s="70"/>
      <c r="P5" s="71"/>
      <c r="Q5" s="71"/>
      <c r="R5" s="71"/>
      <c r="S5" s="72"/>
    </row>
    <row r="6" spans="1:20" x14ac:dyDescent="0.25">
      <c r="A6" s="4" t="s">
        <v>1</v>
      </c>
      <c r="B6" s="5" t="s">
        <v>0</v>
      </c>
      <c r="C6" s="5" t="s">
        <v>3</v>
      </c>
      <c r="D6" s="5" t="s">
        <v>4</v>
      </c>
      <c r="E6" s="5" t="s">
        <v>5</v>
      </c>
      <c r="F6" s="5" t="s">
        <v>6</v>
      </c>
      <c r="G6" s="5" t="s">
        <v>7</v>
      </c>
      <c r="H6" s="6"/>
      <c r="I6" s="6"/>
      <c r="J6" s="6"/>
      <c r="K6" s="6"/>
      <c r="L6" s="6"/>
      <c r="M6" s="6"/>
      <c r="N6" s="6"/>
      <c r="O6" s="6"/>
      <c r="P6" s="5" t="s">
        <v>8</v>
      </c>
      <c r="Q6" s="6"/>
      <c r="R6" s="7"/>
    </row>
    <row r="7" spans="1:20" x14ac:dyDescent="0.25">
      <c r="A7" s="8"/>
      <c r="B7" s="9"/>
      <c r="C7" s="9"/>
      <c r="D7" s="9"/>
      <c r="E7" s="9"/>
      <c r="F7" s="9"/>
      <c r="G7" s="9" t="s">
        <v>9</v>
      </c>
      <c r="H7" s="9" t="s">
        <v>10</v>
      </c>
      <c r="I7" s="9" t="s">
        <v>11</v>
      </c>
      <c r="J7" s="9" t="s">
        <v>12</v>
      </c>
      <c r="K7" s="9" t="s">
        <v>13</v>
      </c>
      <c r="L7" s="9" t="s">
        <v>14</v>
      </c>
      <c r="M7" s="9" t="s">
        <v>15</v>
      </c>
      <c r="N7" s="9" t="s">
        <v>16</v>
      </c>
      <c r="O7" s="9" t="s">
        <v>17</v>
      </c>
      <c r="P7" s="9" t="s">
        <v>18</v>
      </c>
      <c r="Q7" s="9" t="s">
        <v>19</v>
      </c>
      <c r="R7" s="10" t="s">
        <v>20</v>
      </c>
    </row>
    <row r="8" spans="1:20" x14ac:dyDescent="0.25">
      <c r="A8" s="11"/>
      <c r="B8" s="12"/>
      <c r="C8" s="12"/>
      <c r="D8" s="12"/>
      <c r="E8" s="12"/>
      <c r="F8" s="12"/>
      <c r="G8" s="12"/>
      <c r="H8" s="12"/>
      <c r="I8" s="12"/>
      <c r="J8" s="12"/>
      <c r="K8" s="12"/>
      <c r="L8" s="12"/>
      <c r="M8" s="12"/>
      <c r="N8" s="12"/>
      <c r="O8" s="12"/>
      <c r="P8" s="12"/>
      <c r="Q8" s="12"/>
      <c r="R8" s="13" t="s">
        <v>21</v>
      </c>
    </row>
    <row r="9" spans="1:20" ht="45" x14ac:dyDescent="0.25">
      <c r="A9" s="14" t="s">
        <v>22</v>
      </c>
      <c r="B9" s="15" t="s">
        <v>23</v>
      </c>
      <c r="C9" s="16" t="s">
        <v>24</v>
      </c>
      <c r="D9" s="16" t="s">
        <v>25</v>
      </c>
      <c r="E9" s="16"/>
      <c r="F9" s="17">
        <f t="shared" ref="F9:O9" si="0">F10+F45+F49+F53+F66+F72+F78+F82</f>
        <v>1231624.6600000001</v>
      </c>
      <c r="G9" s="17">
        <f t="shared" si="0"/>
        <v>711251</v>
      </c>
      <c r="H9" s="17">
        <f t="shared" si="0"/>
        <v>0</v>
      </c>
      <c r="I9" s="17">
        <f t="shared" si="0"/>
        <v>0</v>
      </c>
      <c r="J9" s="17">
        <f t="shared" si="0"/>
        <v>486128</v>
      </c>
      <c r="K9" s="17">
        <f t="shared" si="0"/>
        <v>0</v>
      </c>
      <c r="L9" s="17">
        <f t="shared" si="0"/>
        <v>48.66</v>
      </c>
      <c r="M9" s="17">
        <f t="shared" si="0"/>
        <v>34197</v>
      </c>
      <c r="N9" s="17">
        <f t="shared" si="0"/>
        <v>0</v>
      </c>
      <c r="O9" s="17">
        <f t="shared" si="0"/>
        <v>0</v>
      </c>
      <c r="P9" s="16"/>
      <c r="Q9" s="18"/>
      <c r="R9" s="19"/>
    </row>
    <row r="10" spans="1:20" ht="67.5" x14ac:dyDescent="0.25">
      <c r="A10" s="20" t="s">
        <v>26</v>
      </c>
      <c r="B10" s="21" t="s">
        <v>27</v>
      </c>
      <c r="C10" s="22" t="s">
        <v>24</v>
      </c>
      <c r="D10" s="22" t="s">
        <v>28</v>
      </c>
      <c r="E10" s="22"/>
      <c r="F10" s="23">
        <f t="shared" ref="F10:O10" si="1">F11+F40</f>
        <v>1005453.66</v>
      </c>
      <c r="G10" s="23">
        <f t="shared" si="1"/>
        <v>519277</v>
      </c>
      <c r="H10" s="23">
        <f t="shared" si="1"/>
        <v>0</v>
      </c>
      <c r="I10" s="23">
        <f t="shared" si="1"/>
        <v>0</v>
      </c>
      <c r="J10" s="23">
        <f t="shared" si="1"/>
        <v>486128</v>
      </c>
      <c r="K10" s="23">
        <f t="shared" si="1"/>
        <v>0</v>
      </c>
      <c r="L10" s="23">
        <f t="shared" si="1"/>
        <v>48.66</v>
      </c>
      <c r="M10" s="23">
        <f t="shared" si="1"/>
        <v>0</v>
      </c>
      <c r="N10" s="23">
        <f t="shared" si="1"/>
        <v>0</v>
      </c>
      <c r="O10" s="23">
        <f t="shared" si="1"/>
        <v>0</v>
      </c>
      <c r="P10" s="22" t="s">
        <v>29</v>
      </c>
      <c r="Q10" s="24" t="s">
        <v>30</v>
      </c>
      <c r="R10" s="25" t="s">
        <v>31</v>
      </c>
    </row>
    <row r="11" spans="1:20" ht="157.5" x14ac:dyDescent="0.25">
      <c r="A11" s="26" t="s">
        <v>32</v>
      </c>
      <c r="B11" s="27" t="s">
        <v>33</v>
      </c>
      <c r="C11" s="28" t="s">
        <v>24</v>
      </c>
      <c r="D11" s="28" t="s">
        <v>28</v>
      </c>
      <c r="E11" s="28" t="s">
        <v>34</v>
      </c>
      <c r="F11" s="29">
        <f t="shared" ref="F11:O11" si="2">F12+F14+F16+F18+F22+F24+F26+F28+F30+F32+F34+F36+F38</f>
        <v>997453.66</v>
      </c>
      <c r="G11" s="29">
        <f t="shared" si="2"/>
        <v>511277</v>
      </c>
      <c r="H11" s="29">
        <f t="shared" si="2"/>
        <v>0</v>
      </c>
      <c r="I11" s="29">
        <f t="shared" si="2"/>
        <v>0</v>
      </c>
      <c r="J11" s="29">
        <f t="shared" si="2"/>
        <v>486128</v>
      </c>
      <c r="K11" s="29">
        <f t="shared" si="2"/>
        <v>0</v>
      </c>
      <c r="L11" s="29">
        <f t="shared" si="2"/>
        <v>48.66</v>
      </c>
      <c r="M11" s="29">
        <f t="shared" si="2"/>
        <v>0</v>
      </c>
      <c r="N11" s="29">
        <f t="shared" si="2"/>
        <v>0</v>
      </c>
      <c r="O11" s="29">
        <f t="shared" si="2"/>
        <v>0</v>
      </c>
      <c r="P11" s="28" t="s">
        <v>35</v>
      </c>
      <c r="Q11" s="30" t="s">
        <v>36</v>
      </c>
      <c r="R11" s="31" t="s">
        <v>37</v>
      </c>
    </row>
    <row r="12" spans="1:20" ht="69.75" x14ac:dyDescent="0.25">
      <c r="A12" s="32" t="s">
        <v>38</v>
      </c>
      <c r="B12" s="33" t="s">
        <v>39</v>
      </c>
      <c r="C12" s="34" t="s">
        <v>24</v>
      </c>
      <c r="D12" s="34" t="s">
        <v>40</v>
      </c>
      <c r="E12" s="34" t="s">
        <v>41</v>
      </c>
      <c r="F12" s="35">
        <f>SUM(F13:F13)+5000</f>
        <v>5000</v>
      </c>
      <c r="G12" s="35">
        <f>SUM(G13:G13)+5000</f>
        <v>5000</v>
      </c>
      <c r="H12" s="35">
        <f t="shared" ref="H12:O12" si="3">SUM(H13:H13)</f>
        <v>0</v>
      </c>
      <c r="I12" s="35">
        <f t="shared" si="3"/>
        <v>0</v>
      </c>
      <c r="J12" s="35">
        <f t="shared" si="3"/>
        <v>0</v>
      </c>
      <c r="K12" s="35">
        <f t="shared" si="3"/>
        <v>0</v>
      </c>
      <c r="L12" s="35">
        <f t="shared" si="3"/>
        <v>0</v>
      </c>
      <c r="M12" s="35">
        <f t="shared" si="3"/>
        <v>0</v>
      </c>
      <c r="N12" s="35">
        <f t="shared" si="3"/>
        <v>0</v>
      </c>
      <c r="O12" s="35">
        <f t="shared" si="3"/>
        <v>0</v>
      </c>
      <c r="P12" s="34" t="s">
        <v>42</v>
      </c>
      <c r="Q12" s="36" t="s">
        <v>36</v>
      </c>
      <c r="R12" s="37" t="s">
        <v>31</v>
      </c>
    </row>
    <row r="13" spans="1:20" ht="46.5" x14ac:dyDescent="0.25">
      <c r="A13" s="32" t="s">
        <v>43</v>
      </c>
      <c r="B13" s="33" t="s">
        <v>44</v>
      </c>
      <c r="C13" s="34"/>
      <c r="D13" s="34"/>
      <c r="E13" s="34"/>
      <c r="F13" s="38">
        <v>0</v>
      </c>
      <c r="G13" s="38">
        <v>0</v>
      </c>
      <c r="H13" s="38">
        <v>0</v>
      </c>
      <c r="I13" s="38">
        <v>0</v>
      </c>
      <c r="J13" s="38">
        <v>0</v>
      </c>
      <c r="K13" s="38">
        <v>0</v>
      </c>
      <c r="L13" s="38">
        <v>0</v>
      </c>
      <c r="M13" s="38">
        <v>0</v>
      </c>
      <c r="N13" s="38">
        <v>0</v>
      </c>
      <c r="O13" s="38">
        <v>0</v>
      </c>
      <c r="P13" s="34"/>
      <c r="Q13" s="36"/>
      <c r="R13" s="37"/>
    </row>
    <row r="14" spans="1:20" ht="69.75" x14ac:dyDescent="0.25">
      <c r="A14" s="32" t="s">
        <v>45</v>
      </c>
      <c r="B14" s="33" t="s">
        <v>46</v>
      </c>
      <c r="C14" s="34" t="s">
        <v>24</v>
      </c>
      <c r="D14" s="34" t="s">
        <v>28</v>
      </c>
      <c r="E14" s="34" t="s">
        <v>41</v>
      </c>
      <c r="F14" s="35">
        <f>SUM(F15:F15)+486128</f>
        <v>486128</v>
      </c>
      <c r="G14" s="35">
        <f>SUM(G15:G15)</f>
        <v>0</v>
      </c>
      <c r="H14" s="35">
        <f>SUM(H15:H15)</f>
        <v>0</v>
      </c>
      <c r="I14" s="35">
        <f>SUM(I15:I15)</f>
        <v>0</v>
      </c>
      <c r="J14" s="35">
        <f>SUM(J15:J15)+486128</f>
        <v>486128</v>
      </c>
      <c r="K14" s="35">
        <f>SUM(K15:K15)</f>
        <v>0</v>
      </c>
      <c r="L14" s="35">
        <f>SUM(L15:L15)</f>
        <v>0</v>
      </c>
      <c r="M14" s="35">
        <f>SUM(M15:M15)</f>
        <v>0</v>
      </c>
      <c r="N14" s="35">
        <f>SUM(N15:N15)</f>
        <v>0</v>
      </c>
      <c r="O14" s="35">
        <f>SUM(O15:O15)</f>
        <v>0</v>
      </c>
      <c r="P14" s="34" t="s">
        <v>47</v>
      </c>
      <c r="Q14" s="36" t="s">
        <v>36</v>
      </c>
      <c r="R14" s="37" t="s">
        <v>48</v>
      </c>
    </row>
    <row r="15" spans="1:20" ht="69.75" x14ac:dyDescent="0.25">
      <c r="A15" s="32" t="s">
        <v>49</v>
      </c>
      <c r="B15" s="33" t="s">
        <v>50</v>
      </c>
      <c r="C15" s="34" t="s">
        <v>24</v>
      </c>
      <c r="D15" s="34" t="s">
        <v>28</v>
      </c>
      <c r="E15" s="34"/>
      <c r="F15" s="38">
        <v>0</v>
      </c>
      <c r="G15" s="38">
        <v>0</v>
      </c>
      <c r="H15" s="38">
        <v>0</v>
      </c>
      <c r="I15" s="38">
        <v>0</v>
      </c>
      <c r="J15" s="38">
        <v>0</v>
      </c>
      <c r="K15" s="38">
        <v>0</v>
      </c>
      <c r="L15" s="38">
        <v>0</v>
      </c>
      <c r="M15" s="38">
        <v>0</v>
      </c>
      <c r="N15" s="38">
        <v>0</v>
      </c>
      <c r="O15" s="38">
        <v>0</v>
      </c>
      <c r="P15" s="34"/>
      <c r="Q15" s="36"/>
      <c r="R15" s="37"/>
    </row>
    <row r="16" spans="1:20" ht="46.5" x14ac:dyDescent="0.25">
      <c r="A16" s="32" t="s">
        <v>51</v>
      </c>
      <c r="B16" s="33" t="s">
        <v>52</v>
      </c>
      <c r="C16" s="34" t="s">
        <v>24</v>
      </c>
      <c r="D16" s="34" t="s">
        <v>40</v>
      </c>
      <c r="E16" s="34" t="s">
        <v>41</v>
      </c>
      <c r="F16" s="35">
        <f>SUM(F17:F17)+337000</f>
        <v>337000</v>
      </c>
      <c r="G16" s="35">
        <f>SUM(G17:G17)+337000</f>
        <v>337000</v>
      </c>
      <c r="H16" s="35">
        <f t="shared" ref="H16:O16" si="4">SUM(H17:H17)</f>
        <v>0</v>
      </c>
      <c r="I16" s="35">
        <f t="shared" si="4"/>
        <v>0</v>
      </c>
      <c r="J16" s="35">
        <f t="shared" si="4"/>
        <v>0</v>
      </c>
      <c r="K16" s="35">
        <f t="shared" si="4"/>
        <v>0</v>
      </c>
      <c r="L16" s="35">
        <f t="shared" si="4"/>
        <v>0</v>
      </c>
      <c r="M16" s="35">
        <f t="shared" si="4"/>
        <v>0</v>
      </c>
      <c r="N16" s="35">
        <f t="shared" si="4"/>
        <v>0</v>
      </c>
      <c r="O16" s="35">
        <f t="shared" si="4"/>
        <v>0</v>
      </c>
      <c r="P16" s="34" t="s">
        <v>53</v>
      </c>
      <c r="Q16" s="36" t="s">
        <v>36</v>
      </c>
      <c r="R16" s="37" t="s">
        <v>54</v>
      </c>
    </row>
    <row r="17" spans="1:18" ht="69.75" x14ac:dyDescent="0.25">
      <c r="A17" s="32" t="s">
        <v>55</v>
      </c>
      <c r="B17" s="33" t="s">
        <v>56</v>
      </c>
      <c r="C17" s="34"/>
      <c r="D17" s="34"/>
      <c r="E17" s="34"/>
      <c r="F17" s="38">
        <v>0</v>
      </c>
      <c r="G17" s="38">
        <v>0</v>
      </c>
      <c r="H17" s="38">
        <v>0</v>
      </c>
      <c r="I17" s="38">
        <v>0</v>
      </c>
      <c r="J17" s="38">
        <v>0</v>
      </c>
      <c r="K17" s="38">
        <v>0</v>
      </c>
      <c r="L17" s="38">
        <v>0</v>
      </c>
      <c r="M17" s="38">
        <v>0</v>
      </c>
      <c r="N17" s="38">
        <v>0</v>
      </c>
      <c r="O17" s="38">
        <v>0</v>
      </c>
      <c r="P17" s="34"/>
      <c r="Q17" s="36"/>
      <c r="R17" s="37"/>
    </row>
    <row r="18" spans="1:18" ht="116.25" x14ac:dyDescent="0.25">
      <c r="A18" s="32" t="s">
        <v>57</v>
      </c>
      <c r="B18" s="33" t="s">
        <v>58</v>
      </c>
      <c r="C18" s="34" t="s">
        <v>24</v>
      </c>
      <c r="D18" s="34" t="s">
        <v>28</v>
      </c>
      <c r="E18" s="34" t="s">
        <v>41</v>
      </c>
      <c r="F18" s="35">
        <f>SUM(F19:F21)+20000</f>
        <v>20000</v>
      </c>
      <c r="G18" s="35">
        <f>SUM(G19:G21)+20000</f>
        <v>20000</v>
      </c>
      <c r="H18" s="35">
        <f t="shared" ref="H18:O18" si="5">SUM(H19:H21)</f>
        <v>0</v>
      </c>
      <c r="I18" s="35">
        <f t="shared" si="5"/>
        <v>0</v>
      </c>
      <c r="J18" s="35">
        <f t="shared" si="5"/>
        <v>0</v>
      </c>
      <c r="K18" s="35">
        <f t="shared" si="5"/>
        <v>0</v>
      </c>
      <c r="L18" s="35">
        <f t="shared" si="5"/>
        <v>0</v>
      </c>
      <c r="M18" s="35">
        <f t="shared" si="5"/>
        <v>0</v>
      </c>
      <c r="N18" s="35">
        <f t="shared" si="5"/>
        <v>0</v>
      </c>
      <c r="O18" s="35">
        <f t="shared" si="5"/>
        <v>0</v>
      </c>
      <c r="P18" s="34" t="s">
        <v>59</v>
      </c>
      <c r="Q18" s="36" t="s">
        <v>36</v>
      </c>
      <c r="R18" s="37" t="s">
        <v>60</v>
      </c>
    </row>
    <row r="19" spans="1:18" ht="46.5" x14ac:dyDescent="0.25">
      <c r="A19" s="39"/>
      <c r="B19" s="40"/>
      <c r="C19" s="41"/>
      <c r="D19" s="41"/>
      <c r="E19" s="41"/>
      <c r="F19" s="42">
        <v>0</v>
      </c>
      <c r="G19" s="42">
        <v>0</v>
      </c>
      <c r="H19" s="42">
        <v>0</v>
      </c>
      <c r="I19" s="42">
        <v>0</v>
      </c>
      <c r="J19" s="42">
        <v>0</v>
      </c>
      <c r="K19" s="42">
        <v>0</v>
      </c>
      <c r="L19" s="42">
        <v>0</v>
      </c>
      <c r="M19" s="42">
        <v>0</v>
      </c>
      <c r="N19" s="42">
        <v>0</v>
      </c>
      <c r="O19" s="42">
        <v>0</v>
      </c>
      <c r="P19" s="41" t="s">
        <v>61</v>
      </c>
      <c r="Q19" s="43" t="s">
        <v>36</v>
      </c>
      <c r="R19" s="44" t="s">
        <v>62</v>
      </c>
    </row>
    <row r="20" spans="1:18" x14ac:dyDescent="0.25">
      <c r="A20" s="39"/>
      <c r="B20" s="40"/>
      <c r="C20" s="41"/>
      <c r="D20" s="41"/>
      <c r="E20" s="41"/>
      <c r="F20" s="42">
        <v>0</v>
      </c>
      <c r="G20" s="42">
        <v>0</v>
      </c>
      <c r="H20" s="42">
        <v>0</v>
      </c>
      <c r="I20" s="42">
        <v>0</v>
      </c>
      <c r="J20" s="42">
        <v>0</v>
      </c>
      <c r="K20" s="42">
        <v>0</v>
      </c>
      <c r="L20" s="42">
        <v>0</v>
      </c>
      <c r="M20" s="42">
        <v>0</v>
      </c>
      <c r="N20" s="42">
        <v>0</v>
      </c>
      <c r="O20" s="42">
        <v>0</v>
      </c>
      <c r="P20" s="41" t="s">
        <v>63</v>
      </c>
      <c r="Q20" s="43" t="s">
        <v>36</v>
      </c>
      <c r="R20" s="44" t="s">
        <v>64</v>
      </c>
    </row>
    <row r="21" spans="1:18" ht="139.5" x14ac:dyDescent="0.25">
      <c r="A21" s="32" t="s">
        <v>65</v>
      </c>
      <c r="B21" s="33" t="s">
        <v>66</v>
      </c>
      <c r="C21" s="34"/>
      <c r="D21" s="34"/>
      <c r="E21" s="34"/>
      <c r="F21" s="38">
        <v>0</v>
      </c>
      <c r="G21" s="38">
        <v>0</v>
      </c>
      <c r="H21" s="38">
        <v>0</v>
      </c>
      <c r="I21" s="38">
        <v>0</v>
      </c>
      <c r="J21" s="38">
        <v>0</v>
      </c>
      <c r="K21" s="38">
        <v>0</v>
      </c>
      <c r="L21" s="38">
        <v>0</v>
      </c>
      <c r="M21" s="38">
        <v>0</v>
      </c>
      <c r="N21" s="38">
        <v>0</v>
      </c>
      <c r="O21" s="38">
        <v>0</v>
      </c>
      <c r="P21" s="34"/>
      <c r="Q21" s="36"/>
      <c r="R21" s="37"/>
    </row>
    <row r="22" spans="1:18" ht="116.25" x14ac:dyDescent="0.25">
      <c r="A22" s="32" t="s">
        <v>67</v>
      </c>
      <c r="B22" s="33" t="s">
        <v>68</v>
      </c>
      <c r="C22" s="34" t="s">
        <v>69</v>
      </c>
      <c r="D22" s="34" t="s">
        <v>70</v>
      </c>
      <c r="E22" s="34" t="s">
        <v>41</v>
      </c>
      <c r="F22" s="35">
        <f>SUM(F23:F23)+34000</f>
        <v>34000</v>
      </c>
      <c r="G22" s="35">
        <f>SUM(G23:G23)+34000</f>
        <v>34000</v>
      </c>
      <c r="H22" s="35">
        <f t="shared" ref="H22:O22" si="6">SUM(H23:H23)</f>
        <v>0</v>
      </c>
      <c r="I22" s="35">
        <f t="shared" si="6"/>
        <v>0</v>
      </c>
      <c r="J22" s="35">
        <f t="shared" si="6"/>
        <v>0</v>
      </c>
      <c r="K22" s="35">
        <f t="shared" si="6"/>
        <v>0</v>
      </c>
      <c r="L22" s="35">
        <f t="shared" si="6"/>
        <v>0</v>
      </c>
      <c r="M22" s="35">
        <f t="shared" si="6"/>
        <v>0</v>
      </c>
      <c r="N22" s="35">
        <f t="shared" si="6"/>
        <v>0</v>
      </c>
      <c r="O22" s="35">
        <f t="shared" si="6"/>
        <v>0</v>
      </c>
      <c r="P22" s="34" t="s">
        <v>71</v>
      </c>
      <c r="Q22" s="36" t="s">
        <v>36</v>
      </c>
      <c r="R22" s="37" t="s">
        <v>72</v>
      </c>
    </row>
    <row r="23" spans="1:18" ht="46.5" x14ac:dyDescent="0.25">
      <c r="A23" s="32" t="s">
        <v>73</v>
      </c>
      <c r="B23" s="33" t="s">
        <v>74</v>
      </c>
      <c r="C23" s="34"/>
      <c r="D23" s="34"/>
      <c r="E23" s="34"/>
      <c r="F23" s="38">
        <v>0</v>
      </c>
      <c r="G23" s="38">
        <v>0</v>
      </c>
      <c r="H23" s="38">
        <v>0</v>
      </c>
      <c r="I23" s="38">
        <v>0</v>
      </c>
      <c r="J23" s="38">
        <v>0</v>
      </c>
      <c r="K23" s="38">
        <v>0</v>
      </c>
      <c r="L23" s="38">
        <v>0</v>
      </c>
      <c r="M23" s="38">
        <v>0</v>
      </c>
      <c r="N23" s="38">
        <v>0</v>
      </c>
      <c r="O23" s="38">
        <v>0</v>
      </c>
      <c r="P23" s="34"/>
      <c r="Q23" s="36"/>
      <c r="R23" s="37"/>
    </row>
    <row r="24" spans="1:18" ht="46.5" x14ac:dyDescent="0.25">
      <c r="A24" s="32" t="s">
        <v>75</v>
      </c>
      <c r="B24" s="33" t="s">
        <v>76</v>
      </c>
      <c r="C24" s="34" t="s">
        <v>24</v>
      </c>
      <c r="D24" s="34" t="s">
        <v>40</v>
      </c>
      <c r="E24" s="34" t="s">
        <v>41</v>
      </c>
      <c r="F24" s="35">
        <f>SUM(F25:F25)+48.66</f>
        <v>48.66</v>
      </c>
      <c r="G24" s="35">
        <f>SUM(G25:G25)</f>
        <v>0</v>
      </c>
      <c r="H24" s="35">
        <f>SUM(H25:H25)</f>
        <v>0</v>
      </c>
      <c r="I24" s="35">
        <f>SUM(I25:I25)</f>
        <v>0</v>
      </c>
      <c r="J24" s="35">
        <f>SUM(J25:J25)</f>
        <v>0</v>
      </c>
      <c r="K24" s="35">
        <f>SUM(K25:K25)</f>
        <v>0</v>
      </c>
      <c r="L24" s="35">
        <f>SUM(L25:L25)+48.66</f>
        <v>48.66</v>
      </c>
      <c r="M24" s="35">
        <f>SUM(M25:M25)</f>
        <v>0</v>
      </c>
      <c r="N24" s="35">
        <f>SUM(N25:N25)</f>
        <v>0</v>
      </c>
      <c r="O24" s="35">
        <f>SUM(O25:O25)</f>
        <v>0</v>
      </c>
      <c r="P24" s="34" t="s">
        <v>77</v>
      </c>
      <c r="Q24" s="36" t="s">
        <v>36</v>
      </c>
      <c r="R24" s="37" t="s">
        <v>48</v>
      </c>
    </row>
    <row r="25" spans="1:18" ht="46.5" x14ac:dyDescent="0.25">
      <c r="A25" s="32" t="s">
        <v>78</v>
      </c>
      <c r="B25" s="33" t="s">
        <v>79</v>
      </c>
      <c r="C25" s="34"/>
      <c r="D25" s="34"/>
      <c r="E25" s="34"/>
      <c r="F25" s="38">
        <v>0</v>
      </c>
      <c r="G25" s="38">
        <v>0</v>
      </c>
      <c r="H25" s="38">
        <v>0</v>
      </c>
      <c r="I25" s="38">
        <v>0</v>
      </c>
      <c r="J25" s="38">
        <v>0</v>
      </c>
      <c r="K25" s="38">
        <v>0</v>
      </c>
      <c r="L25" s="38">
        <v>0</v>
      </c>
      <c r="M25" s="38">
        <v>0</v>
      </c>
      <c r="N25" s="38">
        <v>0</v>
      </c>
      <c r="O25" s="38">
        <v>0</v>
      </c>
      <c r="P25" s="34"/>
      <c r="Q25" s="36"/>
      <c r="R25" s="37"/>
    </row>
    <row r="26" spans="1:18" ht="69.75" x14ac:dyDescent="0.25">
      <c r="A26" s="32" t="s">
        <v>80</v>
      </c>
      <c r="B26" s="33" t="s">
        <v>81</v>
      </c>
      <c r="C26" s="34" t="s">
        <v>24</v>
      </c>
      <c r="D26" s="34" t="s">
        <v>28</v>
      </c>
      <c r="E26" s="34" t="s">
        <v>41</v>
      </c>
      <c r="F26" s="35">
        <f>SUM(F27:F27)+17000</f>
        <v>17000</v>
      </c>
      <c r="G26" s="35">
        <f>SUM(G27:G27)+17000</f>
        <v>17000</v>
      </c>
      <c r="H26" s="35">
        <f t="shared" ref="H26:O26" si="7">SUM(H27:H27)</f>
        <v>0</v>
      </c>
      <c r="I26" s="35">
        <f t="shared" si="7"/>
        <v>0</v>
      </c>
      <c r="J26" s="35">
        <f t="shared" si="7"/>
        <v>0</v>
      </c>
      <c r="K26" s="35">
        <f t="shared" si="7"/>
        <v>0</v>
      </c>
      <c r="L26" s="35">
        <f t="shared" si="7"/>
        <v>0</v>
      </c>
      <c r="M26" s="35">
        <f t="shared" si="7"/>
        <v>0</v>
      </c>
      <c r="N26" s="35">
        <f t="shared" si="7"/>
        <v>0</v>
      </c>
      <c r="O26" s="35">
        <f t="shared" si="7"/>
        <v>0</v>
      </c>
      <c r="P26" s="34" t="s">
        <v>82</v>
      </c>
      <c r="Q26" s="36" t="s">
        <v>36</v>
      </c>
      <c r="R26" s="37" t="s">
        <v>48</v>
      </c>
    </row>
    <row r="27" spans="1:18" ht="69.75" x14ac:dyDescent="0.25">
      <c r="A27" s="32" t="s">
        <v>83</v>
      </c>
      <c r="B27" s="33" t="s">
        <v>84</v>
      </c>
      <c r="C27" s="34"/>
      <c r="D27" s="34"/>
      <c r="E27" s="34"/>
      <c r="F27" s="38">
        <v>0</v>
      </c>
      <c r="G27" s="38">
        <v>0</v>
      </c>
      <c r="H27" s="38">
        <v>0</v>
      </c>
      <c r="I27" s="38">
        <v>0</v>
      </c>
      <c r="J27" s="38">
        <v>0</v>
      </c>
      <c r="K27" s="38">
        <v>0</v>
      </c>
      <c r="L27" s="38">
        <v>0</v>
      </c>
      <c r="M27" s="38">
        <v>0</v>
      </c>
      <c r="N27" s="38">
        <v>0</v>
      </c>
      <c r="O27" s="38">
        <v>0</v>
      </c>
      <c r="P27" s="34"/>
      <c r="Q27" s="36"/>
      <c r="R27" s="37"/>
    </row>
    <row r="28" spans="1:18" ht="69.75" x14ac:dyDescent="0.25">
      <c r="A28" s="32" t="s">
        <v>85</v>
      </c>
      <c r="B28" s="33" t="s">
        <v>86</v>
      </c>
      <c r="C28" s="34" t="s">
        <v>87</v>
      </c>
      <c r="D28" s="34" t="s">
        <v>28</v>
      </c>
      <c r="E28" s="34" t="s">
        <v>41</v>
      </c>
      <c r="F28" s="35">
        <f>SUM(F29:F29)+6289</f>
        <v>6289</v>
      </c>
      <c r="G28" s="35">
        <f>SUM(G29:G29)+6289</f>
        <v>6289</v>
      </c>
      <c r="H28" s="35">
        <f t="shared" ref="H28:O28" si="8">SUM(H29:H29)</f>
        <v>0</v>
      </c>
      <c r="I28" s="35">
        <f t="shared" si="8"/>
        <v>0</v>
      </c>
      <c r="J28" s="35">
        <f t="shared" si="8"/>
        <v>0</v>
      </c>
      <c r="K28" s="35">
        <f t="shared" si="8"/>
        <v>0</v>
      </c>
      <c r="L28" s="35">
        <f t="shared" si="8"/>
        <v>0</v>
      </c>
      <c r="M28" s="35">
        <f t="shared" si="8"/>
        <v>0</v>
      </c>
      <c r="N28" s="35">
        <f t="shared" si="8"/>
        <v>0</v>
      </c>
      <c r="O28" s="35">
        <f t="shared" si="8"/>
        <v>0</v>
      </c>
      <c r="P28" s="34" t="s">
        <v>88</v>
      </c>
      <c r="Q28" s="36" t="s">
        <v>36</v>
      </c>
      <c r="R28" s="37" t="s">
        <v>89</v>
      </c>
    </row>
    <row r="29" spans="1:18" ht="46.5" x14ac:dyDescent="0.25">
      <c r="A29" s="32" t="s">
        <v>90</v>
      </c>
      <c r="B29" s="33" t="s">
        <v>91</v>
      </c>
      <c r="C29" s="34"/>
      <c r="D29" s="34"/>
      <c r="E29" s="34"/>
      <c r="F29" s="38">
        <v>0</v>
      </c>
      <c r="G29" s="38">
        <v>0</v>
      </c>
      <c r="H29" s="38">
        <v>0</v>
      </c>
      <c r="I29" s="38">
        <v>0</v>
      </c>
      <c r="J29" s="38">
        <v>0</v>
      </c>
      <c r="K29" s="38">
        <v>0</v>
      </c>
      <c r="L29" s="38">
        <v>0</v>
      </c>
      <c r="M29" s="38">
        <v>0</v>
      </c>
      <c r="N29" s="38">
        <v>0</v>
      </c>
      <c r="O29" s="38">
        <v>0</v>
      </c>
      <c r="P29" s="34"/>
      <c r="Q29" s="36"/>
      <c r="R29" s="37"/>
    </row>
    <row r="30" spans="1:18" ht="69.75" x14ac:dyDescent="0.25">
      <c r="A30" s="32" t="s">
        <v>92</v>
      </c>
      <c r="B30" s="33" t="s">
        <v>93</v>
      </c>
      <c r="C30" s="34" t="s">
        <v>94</v>
      </c>
      <c r="D30" s="34" t="s">
        <v>28</v>
      </c>
      <c r="E30" s="34" t="s">
        <v>41</v>
      </c>
      <c r="F30" s="35">
        <f>SUM(F31:F31)+2300</f>
        <v>2300</v>
      </c>
      <c r="G30" s="35">
        <f>SUM(G31:G31)+2300</f>
        <v>2300</v>
      </c>
      <c r="H30" s="35">
        <f t="shared" ref="H30:O30" si="9">SUM(H31:H31)</f>
        <v>0</v>
      </c>
      <c r="I30" s="35">
        <f t="shared" si="9"/>
        <v>0</v>
      </c>
      <c r="J30" s="35">
        <f t="shared" si="9"/>
        <v>0</v>
      </c>
      <c r="K30" s="35">
        <f t="shared" si="9"/>
        <v>0</v>
      </c>
      <c r="L30" s="35">
        <f t="shared" si="9"/>
        <v>0</v>
      </c>
      <c r="M30" s="35">
        <f t="shared" si="9"/>
        <v>0</v>
      </c>
      <c r="N30" s="35">
        <f t="shared" si="9"/>
        <v>0</v>
      </c>
      <c r="O30" s="35">
        <f t="shared" si="9"/>
        <v>0</v>
      </c>
      <c r="P30" s="34" t="s">
        <v>88</v>
      </c>
      <c r="Q30" s="36" t="s">
        <v>36</v>
      </c>
      <c r="R30" s="37" t="s">
        <v>95</v>
      </c>
    </row>
    <row r="31" spans="1:18" ht="46.5" x14ac:dyDescent="0.25">
      <c r="A31" s="32" t="s">
        <v>96</v>
      </c>
      <c r="B31" s="33" t="s">
        <v>91</v>
      </c>
      <c r="C31" s="34"/>
      <c r="D31" s="34"/>
      <c r="E31" s="34"/>
      <c r="F31" s="38">
        <v>0</v>
      </c>
      <c r="G31" s="38">
        <v>0</v>
      </c>
      <c r="H31" s="38">
        <v>0</v>
      </c>
      <c r="I31" s="38">
        <v>0</v>
      </c>
      <c r="J31" s="38">
        <v>0</v>
      </c>
      <c r="K31" s="38">
        <v>0</v>
      </c>
      <c r="L31" s="38">
        <v>0</v>
      </c>
      <c r="M31" s="38">
        <v>0</v>
      </c>
      <c r="N31" s="38">
        <v>0</v>
      </c>
      <c r="O31" s="38">
        <v>0</v>
      </c>
      <c r="P31" s="34"/>
      <c r="Q31" s="36"/>
      <c r="R31" s="37"/>
    </row>
    <row r="32" spans="1:18" ht="69.75" x14ac:dyDescent="0.25">
      <c r="A32" s="32" t="s">
        <v>97</v>
      </c>
      <c r="B32" s="33" t="s">
        <v>98</v>
      </c>
      <c r="C32" s="34" t="s">
        <v>99</v>
      </c>
      <c r="D32" s="34" t="s">
        <v>28</v>
      </c>
      <c r="E32" s="34" t="s">
        <v>41</v>
      </c>
      <c r="F32" s="35">
        <f>SUM(F33:F33)+18888</f>
        <v>18888</v>
      </c>
      <c r="G32" s="35">
        <f>SUM(G33:G33)+18888</f>
        <v>18888</v>
      </c>
      <c r="H32" s="35">
        <f t="shared" ref="H32:O32" si="10">SUM(H33:H33)</f>
        <v>0</v>
      </c>
      <c r="I32" s="35">
        <f t="shared" si="10"/>
        <v>0</v>
      </c>
      <c r="J32" s="35">
        <f t="shared" si="10"/>
        <v>0</v>
      </c>
      <c r="K32" s="35">
        <f t="shared" si="10"/>
        <v>0</v>
      </c>
      <c r="L32" s="35">
        <f t="shared" si="10"/>
        <v>0</v>
      </c>
      <c r="M32" s="35">
        <f t="shared" si="10"/>
        <v>0</v>
      </c>
      <c r="N32" s="35">
        <f t="shared" si="10"/>
        <v>0</v>
      </c>
      <c r="O32" s="35">
        <f t="shared" si="10"/>
        <v>0</v>
      </c>
      <c r="P32" s="34" t="s">
        <v>88</v>
      </c>
      <c r="Q32" s="36" t="s">
        <v>36</v>
      </c>
      <c r="R32" s="37" t="s">
        <v>100</v>
      </c>
    </row>
    <row r="33" spans="1:18" ht="46.5" x14ac:dyDescent="0.25">
      <c r="A33" s="32" t="s">
        <v>101</v>
      </c>
      <c r="B33" s="33" t="s">
        <v>91</v>
      </c>
      <c r="C33" s="34"/>
      <c r="D33" s="34"/>
      <c r="E33" s="34"/>
      <c r="F33" s="38">
        <v>0</v>
      </c>
      <c r="G33" s="38">
        <v>0</v>
      </c>
      <c r="H33" s="38">
        <v>0</v>
      </c>
      <c r="I33" s="38">
        <v>0</v>
      </c>
      <c r="J33" s="38">
        <v>0</v>
      </c>
      <c r="K33" s="38">
        <v>0</v>
      </c>
      <c r="L33" s="38">
        <v>0</v>
      </c>
      <c r="M33" s="38">
        <v>0</v>
      </c>
      <c r="N33" s="38">
        <v>0</v>
      </c>
      <c r="O33" s="38">
        <v>0</v>
      </c>
      <c r="P33" s="34"/>
      <c r="Q33" s="36"/>
      <c r="R33" s="37"/>
    </row>
    <row r="34" spans="1:18" ht="69.75" x14ac:dyDescent="0.25">
      <c r="A34" s="32" t="s">
        <v>102</v>
      </c>
      <c r="B34" s="33" t="s">
        <v>103</v>
      </c>
      <c r="C34" s="34" t="s">
        <v>104</v>
      </c>
      <c r="D34" s="34" t="s">
        <v>28</v>
      </c>
      <c r="E34" s="34" t="s">
        <v>41</v>
      </c>
      <c r="F34" s="35">
        <f>SUM(F35:F35)+5300</f>
        <v>5300</v>
      </c>
      <c r="G34" s="35">
        <f>SUM(G35:G35)+5300</f>
        <v>5300</v>
      </c>
      <c r="H34" s="35">
        <f t="shared" ref="H34:O34" si="11">SUM(H35:H35)</f>
        <v>0</v>
      </c>
      <c r="I34" s="35">
        <f t="shared" si="11"/>
        <v>0</v>
      </c>
      <c r="J34" s="35">
        <f t="shared" si="11"/>
        <v>0</v>
      </c>
      <c r="K34" s="35">
        <f t="shared" si="11"/>
        <v>0</v>
      </c>
      <c r="L34" s="35">
        <f t="shared" si="11"/>
        <v>0</v>
      </c>
      <c r="M34" s="35">
        <f t="shared" si="11"/>
        <v>0</v>
      </c>
      <c r="N34" s="35">
        <f t="shared" si="11"/>
        <v>0</v>
      </c>
      <c r="O34" s="35">
        <f t="shared" si="11"/>
        <v>0</v>
      </c>
      <c r="P34" s="34" t="s">
        <v>88</v>
      </c>
      <c r="Q34" s="36" t="s">
        <v>36</v>
      </c>
      <c r="R34" s="37" t="s">
        <v>105</v>
      </c>
    </row>
    <row r="35" spans="1:18" ht="46.5" x14ac:dyDescent="0.25">
      <c r="A35" s="32" t="s">
        <v>106</v>
      </c>
      <c r="B35" s="33" t="s">
        <v>91</v>
      </c>
      <c r="C35" s="34"/>
      <c r="D35" s="34"/>
      <c r="E35" s="34"/>
      <c r="F35" s="38">
        <v>0</v>
      </c>
      <c r="G35" s="38">
        <v>0</v>
      </c>
      <c r="H35" s="38">
        <v>0</v>
      </c>
      <c r="I35" s="38">
        <v>0</v>
      </c>
      <c r="J35" s="38">
        <v>0</v>
      </c>
      <c r="K35" s="38">
        <v>0</v>
      </c>
      <c r="L35" s="38">
        <v>0</v>
      </c>
      <c r="M35" s="38">
        <v>0</v>
      </c>
      <c r="N35" s="38">
        <v>0</v>
      </c>
      <c r="O35" s="38">
        <v>0</v>
      </c>
      <c r="P35" s="34"/>
      <c r="Q35" s="36"/>
      <c r="R35" s="37"/>
    </row>
    <row r="36" spans="1:18" ht="46.5" x14ac:dyDescent="0.25">
      <c r="A36" s="32" t="s">
        <v>107</v>
      </c>
      <c r="B36" s="33" t="s">
        <v>108</v>
      </c>
      <c r="C36" s="34" t="s">
        <v>24</v>
      </c>
      <c r="D36" s="34" t="s">
        <v>40</v>
      </c>
      <c r="E36" s="34" t="s">
        <v>41</v>
      </c>
      <c r="F36" s="35">
        <f>SUM(F37:F37)+59500</f>
        <v>59500</v>
      </c>
      <c r="G36" s="35">
        <f>SUM(G37:G37)+59500</f>
        <v>59500</v>
      </c>
      <c r="H36" s="35">
        <f t="shared" ref="H36:O36" si="12">SUM(H37:H37)</f>
        <v>0</v>
      </c>
      <c r="I36" s="35">
        <f t="shared" si="12"/>
        <v>0</v>
      </c>
      <c r="J36" s="35">
        <f t="shared" si="12"/>
        <v>0</v>
      </c>
      <c r="K36" s="35">
        <f t="shared" si="12"/>
        <v>0</v>
      </c>
      <c r="L36" s="35">
        <f t="shared" si="12"/>
        <v>0</v>
      </c>
      <c r="M36" s="35">
        <f t="shared" si="12"/>
        <v>0</v>
      </c>
      <c r="N36" s="35">
        <f t="shared" si="12"/>
        <v>0</v>
      </c>
      <c r="O36" s="35">
        <f t="shared" si="12"/>
        <v>0</v>
      </c>
      <c r="P36" s="34" t="s">
        <v>109</v>
      </c>
      <c r="Q36" s="36" t="s">
        <v>36</v>
      </c>
      <c r="R36" s="37" t="s">
        <v>64</v>
      </c>
    </row>
    <row r="37" spans="1:18" ht="69.75" x14ac:dyDescent="0.25">
      <c r="A37" s="32" t="s">
        <v>110</v>
      </c>
      <c r="B37" s="33" t="s">
        <v>111</v>
      </c>
      <c r="C37" s="34"/>
      <c r="D37" s="34"/>
      <c r="E37" s="34"/>
      <c r="F37" s="38">
        <v>0</v>
      </c>
      <c r="G37" s="38">
        <v>0</v>
      </c>
      <c r="H37" s="38">
        <v>0</v>
      </c>
      <c r="I37" s="38">
        <v>0</v>
      </c>
      <c r="J37" s="38">
        <v>0</v>
      </c>
      <c r="K37" s="38">
        <v>0</v>
      </c>
      <c r="L37" s="38">
        <v>0</v>
      </c>
      <c r="M37" s="38">
        <v>0</v>
      </c>
      <c r="N37" s="38">
        <v>0</v>
      </c>
      <c r="O37" s="38">
        <v>0</v>
      </c>
      <c r="P37" s="34"/>
      <c r="Q37" s="36"/>
      <c r="R37" s="37"/>
    </row>
    <row r="38" spans="1:18" ht="46.5" x14ac:dyDescent="0.25">
      <c r="A38" s="32" t="s">
        <v>112</v>
      </c>
      <c r="B38" s="33" t="s">
        <v>113</v>
      </c>
      <c r="C38" s="34" t="s">
        <v>24</v>
      </c>
      <c r="D38" s="34" t="s">
        <v>28</v>
      </c>
      <c r="E38" s="34" t="s">
        <v>41</v>
      </c>
      <c r="F38" s="35">
        <f>SUM(F39:F39)+6000</f>
        <v>6000</v>
      </c>
      <c r="G38" s="35">
        <f>SUM(G39:G39)+6000</f>
        <v>6000</v>
      </c>
      <c r="H38" s="35">
        <f t="shared" ref="H38:O38" si="13">SUM(H39:H39)</f>
        <v>0</v>
      </c>
      <c r="I38" s="35">
        <f t="shared" si="13"/>
        <v>0</v>
      </c>
      <c r="J38" s="35">
        <f t="shared" si="13"/>
        <v>0</v>
      </c>
      <c r="K38" s="35">
        <f t="shared" si="13"/>
        <v>0</v>
      </c>
      <c r="L38" s="35">
        <f t="shared" si="13"/>
        <v>0</v>
      </c>
      <c r="M38" s="35">
        <f t="shared" si="13"/>
        <v>0</v>
      </c>
      <c r="N38" s="35">
        <f t="shared" si="13"/>
        <v>0</v>
      </c>
      <c r="O38" s="35">
        <f t="shared" si="13"/>
        <v>0</v>
      </c>
      <c r="P38" s="34" t="s">
        <v>114</v>
      </c>
      <c r="Q38" s="36" t="s">
        <v>36</v>
      </c>
      <c r="R38" s="37" t="s">
        <v>115</v>
      </c>
    </row>
    <row r="39" spans="1:18" ht="46.5" x14ac:dyDescent="0.25">
      <c r="A39" s="32" t="s">
        <v>116</v>
      </c>
      <c r="B39" s="33" t="s">
        <v>117</v>
      </c>
      <c r="C39" s="34"/>
      <c r="D39" s="34"/>
      <c r="E39" s="34"/>
      <c r="F39" s="38">
        <v>0</v>
      </c>
      <c r="G39" s="38">
        <v>0</v>
      </c>
      <c r="H39" s="38">
        <v>0</v>
      </c>
      <c r="I39" s="38">
        <v>0</v>
      </c>
      <c r="J39" s="38">
        <v>0</v>
      </c>
      <c r="K39" s="38">
        <v>0</v>
      </c>
      <c r="L39" s="38">
        <v>0</v>
      </c>
      <c r="M39" s="38">
        <v>0</v>
      </c>
      <c r="N39" s="38">
        <v>0</v>
      </c>
      <c r="O39" s="38">
        <v>0</v>
      </c>
      <c r="P39" s="34"/>
      <c r="Q39" s="36"/>
      <c r="R39" s="37"/>
    </row>
    <row r="40" spans="1:18" ht="90" x14ac:dyDescent="0.25">
      <c r="A40" s="26" t="s">
        <v>118</v>
      </c>
      <c r="B40" s="27" t="s">
        <v>119</v>
      </c>
      <c r="C40" s="28" t="s">
        <v>24</v>
      </c>
      <c r="D40" s="28" t="s">
        <v>28</v>
      </c>
      <c r="E40" s="28" t="s">
        <v>34</v>
      </c>
      <c r="F40" s="29">
        <f t="shared" ref="F40:O40" si="14">F41+F43</f>
        <v>8000</v>
      </c>
      <c r="G40" s="29">
        <f t="shared" si="14"/>
        <v>8000</v>
      </c>
      <c r="H40" s="29">
        <f t="shared" si="14"/>
        <v>0</v>
      </c>
      <c r="I40" s="29">
        <f t="shared" si="14"/>
        <v>0</v>
      </c>
      <c r="J40" s="29">
        <f t="shared" si="14"/>
        <v>0</v>
      </c>
      <c r="K40" s="29">
        <f t="shared" si="14"/>
        <v>0</v>
      </c>
      <c r="L40" s="29">
        <f t="shared" si="14"/>
        <v>0</v>
      </c>
      <c r="M40" s="29">
        <f t="shared" si="14"/>
        <v>0</v>
      </c>
      <c r="N40" s="29">
        <f t="shared" si="14"/>
        <v>0</v>
      </c>
      <c r="O40" s="29">
        <f t="shared" si="14"/>
        <v>0</v>
      </c>
      <c r="P40" s="28" t="s">
        <v>120</v>
      </c>
      <c r="Q40" s="30" t="s">
        <v>36</v>
      </c>
      <c r="R40" s="31" t="s">
        <v>121</v>
      </c>
    </row>
    <row r="41" spans="1:18" ht="162.75" x14ac:dyDescent="0.25">
      <c r="A41" s="32" t="s">
        <v>122</v>
      </c>
      <c r="B41" s="33" t="s">
        <v>123</v>
      </c>
      <c r="C41" s="34" t="s">
        <v>24</v>
      </c>
      <c r="D41" s="34" t="s">
        <v>28</v>
      </c>
      <c r="E41" s="34" t="s">
        <v>41</v>
      </c>
      <c r="F41" s="35">
        <f>SUM(F42:F42)+3000</f>
        <v>3000</v>
      </c>
      <c r="G41" s="35">
        <f>SUM(G42:G42)+3000</f>
        <v>3000</v>
      </c>
      <c r="H41" s="35">
        <f t="shared" ref="H41:O41" si="15">SUM(H42:H42)</f>
        <v>0</v>
      </c>
      <c r="I41" s="35">
        <f t="shared" si="15"/>
        <v>0</v>
      </c>
      <c r="J41" s="35">
        <f t="shared" si="15"/>
        <v>0</v>
      </c>
      <c r="K41" s="35">
        <f t="shared" si="15"/>
        <v>0</v>
      </c>
      <c r="L41" s="35">
        <f t="shared" si="15"/>
        <v>0</v>
      </c>
      <c r="M41" s="35">
        <f t="shared" si="15"/>
        <v>0</v>
      </c>
      <c r="N41" s="35">
        <f t="shared" si="15"/>
        <v>0</v>
      </c>
      <c r="O41" s="35">
        <f t="shared" si="15"/>
        <v>0</v>
      </c>
      <c r="P41" s="34" t="s">
        <v>124</v>
      </c>
      <c r="Q41" s="36" t="s">
        <v>36</v>
      </c>
      <c r="R41" s="37" t="s">
        <v>62</v>
      </c>
    </row>
    <row r="42" spans="1:18" ht="93" x14ac:dyDescent="0.25">
      <c r="A42" s="32" t="s">
        <v>125</v>
      </c>
      <c r="B42" s="33" t="s">
        <v>126</v>
      </c>
      <c r="C42" s="34"/>
      <c r="D42" s="34"/>
      <c r="E42" s="34"/>
      <c r="F42" s="38">
        <v>0</v>
      </c>
      <c r="G42" s="38">
        <v>0</v>
      </c>
      <c r="H42" s="38">
        <v>0</v>
      </c>
      <c r="I42" s="38">
        <v>0</v>
      </c>
      <c r="J42" s="38">
        <v>0</v>
      </c>
      <c r="K42" s="38">
        <v>0</v>
      </c>
      <c r="L42" s="38">
        <v>0</v>
      </c>
      <c r="M42" s="38">
        <v>0</v>
      </c>
      <c r="N42" s="38">
        <v>0</v>
      </c>
      <c r="O42" s="38">
        <v>0</v>
      </c>
      <c r="P42" s="34"/>
      <c r="Q42" s="36"/>
      <c r="R42" s="37"/>
    </row>
    <row r="43" spans="1:18" ht="46.5" x14ac:dyDescent="0.25">
      <c r="A43" s="32" t="s">
        <v>127</v>
      </c>
      <c r="B43" s="33" t="s">
        <v>128</v>
      </c>
      <c r="C43" s="34" t="s">
        <v>24</v>
      </c>
      <c r="D43" s="34" t="s">
        <v>28</v>
      </c>
      <c r="E43" s="34" t="s">
        <v>41</v>
      </c>
      <c r="F43" s="35">
        <f>SUM(F44:F44)+5000</f>
        <v>5000</v>
      </c>
      <c r="G43" s="35">
        <f>SUM(G44:G44)+5000</f>
        <v>5000</v>
      </c>
      <c r="H43" s="35">
        <f t="shared" ref="H43:O43" si="16">SUM(H44:H44)</f>
        <v>0</v>
      </c>
      <c r="I43" s="35">
        <f t="shared" si="16"/>
        <v>0</v>
      </c>
      <c r="J43" s="35">
        <f t="shared" si="16"/>
        <v>0</v>
      </c>
      <c r="K43" s="35">
        <f t="shared" si="16"/>
        <v>0</v>
      </c>
      <c r="L43" s="35">
        <f t="shared" si="16"/>
        <v>0</v>
      </c>
      <c r="M43" s="35">
        <f t="shared" si="16"/>
        <v>0</v>
      </c>
      <c r="N43" s="35">
        <f t="shared" si="16"/>
        <v>0</v>
      </c>
      <c r="O43" s="35">
        <f t="shared" si="16"/>
        <v>0</v>
      </c>
      <c r="P43" s="34" t="s">
        <v>129</v>
      </c>
      <c r="Q43" s="36" t="s">
        <v>36</v>
      </c>
      <c r="R43" s="37" t="s">
        <v>62</v>
      </c>
    </row>
    <row r="44" spans="1:18" ht="69.75" x14ac:dyDescent="0.25">
      <c r="A44" s="32" t="s">
        <v>130</v>
      </c>
      <c r="B44" s="33" t="s">
        <v>131</v>
      </c>
      <c r="C44" s="34"/>
      <c r="D44" s="34"/>
      <c r="E44" s="34"/>
      <c r="F44" s="38">
        <v>0</v>
      </c>
      <c r="G44" s="38">
        <v>0</v>
      </c>
      <c r="H44" s="38">
        <v>0</v>
      </c>
      <c r="I44" s="38">
        <v>0</v>
      </c>
      <c r="J44" s="38">
        <v>0</v>
      </c>
      <c r="K44" s="38">
        <v>0</v>
      </c>
      <c r="L44" s="38">
        <v>0</v>
      </c>
      <c r="M44" s="38">
        <v>0</v>
      </c>
      <c r="N44" s="38">
        <v>0</v>
      </c>
      <c r="O44" s="38">
        <v>0</v>
      </c>
      <c r="P44" s="34"/>
      <c r="Q44" s="36"/>
      <c r="R44" s="37"/>
    </row>
    <row r="45" spans="1:18" ht="67.5" x14ac:dyDescent="0.25">
      <c r="A45" s="20" t="s">
        <v>132</v>
      </c>
      <c r="B45" s="21" t="s">
        <v>133</v>
      </c>
      <c r="C45" s="22" t="s">
        <v>24</v>
      </c>
      <c r="D45" s="22" t="s">
        <v>28</v>
      </c>
      <c r="E45" s="22"/>
      <c r="F45" s="23">
        <f t="shared" ref="F45:O46" si="17">SUM(F46:F46)</f>
        <v>8500</v>
      </c>
      <c r="G45" s="23">
        <f t="shared" si="17"/>
        <v>8500</v>
      </c>
      <c r="H45" s="23">
        <f t="shared" si="17"/>
        <v>0</v>
      </c>
      <c r="I45" s="23">
        <f t="shared" si="17"/>
        <v>0</v>
      </c>
      <c r="J45" s="23">
        <f t="shared" si="17"/>
        <v>0</v>
      </c>
      <c r="K45" s="23">
        <f t="shared" si="17"/>
        <v>0</v>
      </c>
      <c r="L45" s="23">
        <f t="shared" si="17"/>
        <v>0</v>
      </c>
      <c r="M45" s="23">
        <f t="shared" si="17"/>
        <v>0</v>
      </c>
      <c r="N45" s="23">
        <f t="shared" si="17"/>
        <v>0</v>
      </c>
      <c r="O45" s="23">
        <f t="shared" si="17"/>
        <v>0</v>
      </c>
      <c r="P45" s="22" t="s">
        <v>134</v>
      </c>
      <c r="Q45" s="24" t="s">
        <v>30</v>
      </c>
      <c r="R45" s="25" t="s">
        <v>135</v>
      </c>
    </row>
    <row r="46" spans="1:18" ht="67.5" x14ac:dyDescent="0.25">
      <c r="A46" s="26" t="s">
        <v>136</v>
      </c>
      <c r="B46" s="27" t="s">
        <v>137</v>
      </c>
      <c r="C46" s="28" t="s">
        <v>24</v>
      </c>
      <c r="D46" s="28" t="s">
        <v>28</v>
      </c>
      <c r="E46" s="28" t="s">
        <v>34</v>
      </c>
      <c r="F46" s="29">
        <f t="shared" si="17"/>
        <v>8500</v>
      </c>
      <c r="G46" s="29">
        <f t="shared" si="17"/>
        <v>8500</v>
      </c>
      <c r="H46" s="29">
        <f t="shared" si="17"/>
        <v>0</v>
      </c>
      <c r="I46" s="29">
        <f t="shared" si="17"/>
        <v>0</v>
      </c>
      <c r="J46" s="29">
        <f t="shared" si="17"/>
        <v>0</v>
      </c>
      <c r="K46" s="29">
        <f t="shared" si="17"/>
        <v>0</v>
      </c>
      <c r="L46" s="29">
        <f t="shared" si="17"/>
        <v>0</v>
      </c>
      <c r="M46" s="29">
        <f t="shared" si="17"/>
        <v>0</v>
      </c>
      <c r="N46" s="29">
        <f t="shared" si="17"/>
        <v>0</v>
      </c>
      <c r="O46" s="29">
        <f t="shared" si="17"/>
        <v>0</v>
      </c>
      <c r="P46" s="28" t="s">
        <v>138</v>
      </c>
      <c r="Q46" s="30" t="s">
        <v>36</v>
      </c>
      <c r="R46" s="31" t="s">
        <v>48</v>
      </c>
    </row>
    <row r="47" spans="1:18" ht="93" x14ac:dyDescent="0.25">
      <c r="A47" s="32" t="s">
        <v>139</v>
      </c>
      <c r="B47" s="33" t="s">
        <v>140</v>
      </c>
      <c r="C47" s="34" t="s">
        <v>24</v>
      </c>
      <c r="D47" s="34" t="s">
        <v>141</v>
      </c>
      <c r="E47" s="34" t="s">
        <v>41</v>
      </c>
      <c r="F47" s="35">
        <f>SUM(F48:F48)+8500</f>
        <v>8500</v>
      </c>
      <c r="G47" s="35">
        <f>SUM(G48:G48)+8500</f>
        <v>8500</v>
      </c>
      <c r="H47" s="35">
        <f t="shared" ref="H47:O47" si="18">SUM(H48:H48)</f>
        <v>0</v>
      </c>
      <c r="I47" s="35">
        <f t="shared" si="18"/>
        <v>0</v>
      </c>
      <c r="J47" s="35">
        <f t="shared" si="18"/>
        <v>0</v>
      </c>
      <c r="K47" s="35">
        <f t="shared" si="18"/>
        <v>0</v>
      </c>
      <c r="L47" s="35">
        <f t="shared" si="18"/>
        <v>0</v>
      </c>
      <c r="M47" s="35">
        <f t="shared" si="18"/>
        <v>0</v>
      </c>
      <c r="N47" s="35">
        <f t="shared" si="18"/>
        <v>0</v>
      </c>
      <c r="O47" s="35">
        <f t="shared" si="18"/>
        <v>0</v>
      </c>
      <c r="P47" s="34" t="s">
        <v>142</v>
      </c>
      <c r="Q47" s="36" t="s">
        <v>36</v>
      </c>
      <c r="R47" s="37" t="s">
        <v>48</v>
      </c>
    </row>
    <row r="48" spans="1:18" ht="69.75" x14ac:dyDescent="0.25">
      <c r="A48" s="32" t="s">
        <v>143</v>
      </c>
      <c r="B48" s="33" t="s">
        <v>144</v>
      </c>
      <c r="C48" s="34"/>
      <c r="D48" s="34"/>
      <c r="E48" s="34"/>
      <c r="F48" s="38">
        <v>0</v>
      </c>
      <c r="G48" s="38">
        <v>0</v>
      </c>
      <c r="H48" s="38">
        <v>0</v>
      </c>
      <c r="I48" s="38">
        <v>0</v>
      </c>
      <c r="J48" s="38">
        <v>0</v>
      </c>
      <c r="K48" s="38">
        <v>0</v>
      </c>
      <c r="L48" s="38">
        <v>0</v>
      </c>
      <c r="M48" s="38">
        <v>0</v>
      </c>
      <c r="N48" s="38">
        <v>0</v>
      </c>
      <c r="O48" s="38">
        <v>0</v>
      </c>
      <c r="P48" s="34"/>
      <c r="Q48" s="36"/>
      <c r="R48" s="37"/>
    </row>
    <row r="49" spans="1:18" ht="45" x14ac:dyDescent="0.25">
      <c r="A49" s="20" t="s">
        <v>145</v>
      </c>
      <c r="B49" s="21" t="s">
        <v>146</v>
      </c>
      <c r="C49" s="22" t="s">
        <v>24</v>
      </c>
      <c r="D49" s="22" t="s">
        <v>28</v>
      </c>
      <c r="E49" s="22"/>
      <c r="F49" s="23">
        <f t="shared" ref="F49:O50" si="19">SUM(F50:F50)</f>
        <v>40000</v>
      </c>
      <c r="G49" s="23">
        <f t="shared" si="19"/>
        <v>40000</v>
      </c>
      <c r="H49" s="23">
        <f t="shared" si="19"/>
        <v>0</v>
      </c>
      <c r="I49" s="23">
        <f t="shared" si="19"/>
        <v>0</v>
      </c>
      <c r="J49" s="23">
        <f t="shared" si="19"/>
        <v>0</v>
      </c>
      <c r="K49" s="23">
        <f t="shared" si="19"/>
        <v>0</v>
      </c>
      <c r="L49" s="23">
        <f t="shared" si="19"/>
        <v>0</v>
      </c>
      <c r="M49" s="23">
        <f t="shared" si="19"/>
        <v>0</v>
      </c>
      <c r="N49" s="23">
        <f t="shared" si="19"/>
        <v>0</v>
      </c>
      <c r="O49" s="23">
        <f t="shared" si="19"/>
        <v>0</v>
      </c>
      <c r="P49" s="22" t="s">
        <v>147</v>
      </c>
      <c r="Q49" s="24" t="s">
        <v>30</v>
      </c>
      <c r="R49" s="25" t="s">
        <v>148</v>
      </c>
    </row>
    <row r="50" spans="1:18" ht="67.5" x14ac:dyDescent="0.25">
      <c r="A50" s="26" t="s">
        <v>149</v>
      </c>
      <c r="B50" s="27" t="s">
        <v>150</v>
      </c>
      <c r="C50" s="28" t="s">
        <v>24</v>
      </c>
      <c r="D50" s="28" t="s">
        <v>28</v>
      </c>
      <c r="E50" s="28" t="s">
        <v>34</v>
      </c>
      <c r="F50" s="29">
        <f t="shared" si="19"/>
        <v>40000</v>
      </c>
      <c r="G50" s="29">
        <f t="shared" si="19"/>
        <v>40000</v>
      </c>
      <c r="H50" s="29">
        <f t="shared" si="19"/>
        <v>0</v>
      </c>
      <c r="I50" s="29">
        <f t="shared" si="19"/>
        <v>0</v>
      </c>
      <c r="J50" s="29">
        <f t="shared" si="19"/>
        <v>0</v>
      </c>
      <c r="K50" s="29">
        <f t="shared" si="19"/>
        <v>0</v>
      </c>
      <c r="L50" s="29">
        <f t="shared" si="19"/>
        <v>0</v>
      </c>
      <c r="M50" s="29">
        <f t="shared" si="19"/>
        <v>0</v>
      </c>
      <c r="N50" s="29">
        <f t="shared" si="19"/>
        <v>0</v>
      </c>
      <c r="O50" s="29">
        <f t="shared" si="19"/>
        <v>0</v>
      </c>
      <c r="P50" s="28" t="s">
        <v>138</v>
      </c>
      <c r="Q50" s="30" t="s">
        <v>36</v>
      </c>
      <c r="R50" s="31" t="s">
        <v>151</v>
      </c>
    </row>
    <row r="51" spans="1:18" ht="46.5" x14ac:dyDescent="0.25">
      <c r="A51" s="32" t="s">
        <v>152</v>
      </c>
      <c r="B51" s="33" t="s">
        <v>153</v>
      </c>
      <c r="C51" s="34" t="s">
        <v>24</v>
      </c>
      <c r="D51" s="34" t="s">
        <v>28</v>
      </c>
      <c r="E51" s="34" t="s">
        <v>41</v>
      </c>
      <c r="F51" s="35">
        <f>SUM(F52:F52)+40000</f>
        <v>40000</v>
      </c>
      <c r="G51" s="35">
        <f>SUM(G52:G52)+40000</f>
        <v>40000</v>
      </c>
      <c r="H51" s="35">
        <f t="shared" ref="H51:O51" si="20">SUM(H52:H52)</f>
        <v>0</v>
      </c>
      <c r="I51" s="35">
        <f t="shared" si="20"/>
        <v>0</v>
      </c>
      <c r="J51" s="35">
        <f t="shared" si="20"/>
        <v>0</v>
      </c>
      <c r="K51" s="35">
        <f t="shared" si="20"/>
        <v>0</v>
      </c>
      <c r="L51" s="35">
        <f t="shared" si="20"/>
        <v>0</v>
      </c>
      <c r="M51" s="35">
        <f t="shared" si="20"/>
        <v>0</v>
      </c>
      <c r="N51" s="35">
        <f t="shared" si="20"/>
        <v>0</v>
      </c>
      <c r="O51" s="35">
        <f t="shared" si="20"/>
        <v>0</v>
      </c>
      <c r="P51" s="34" t="s">
        <v>154</v>
      </c>
      <c r="Q51" s="36" t="s">
        <v>36</v>
      </c>
      <c r="R51" s="37" t="s">
        <v>60</v>
      </c>
    </row>
    <row r="52" spans="1:18" ht="69.75" x14ac:dyDescent="0.25">
      <c r="A52" s="32" t="s">
        <v>155</v>
      </c>
      <c r="B52" s="33" t="s">
        <v>156</v>
      </c>
      <c r="C52" s="34"/>
      <c r="D52" s="34"/>
      <c r="E52" s="34"/>
      <c r="F52" s="38">
        <v>0</v>
      </c>
      <c r="G52" s="38">
        <v>0</v>
      </c>
      <c r="H52" s="38">
        <v>0</v>
      </c>
      <c r="I52" s="38">
        <v>0</v>
      </c>
      <c r="J52" s="38">
        <v>0</v>
      </c>
      <c r="K52" s="38">
        <v>0</v>
      </c>
      <c r="L52" s="38">
        <v>0</v>
      </c>
      <c r="M52" s="38">
        <v>0</v>
      </c>
      <c r="N52" s="38">
        <v>0</v>
      </c>
      <c r="O52" s="38">
        <v>0</v>
      </c>
      <c r="P52" s="34"/>
      <c r="Q52" s="36"/>
      <c r="R52" s="37"/>
    </row>
    <row r="53" spans="1:18" ht="67.5" x14ac:dyDescent="0.25">
      <c r="A53" s="20" t="s">
        <v>157</v>
      </c>
      <c r="B53" s="21" t="s">
        <v>158</v>
      </c>
      <c r="C53" s="22" t="s">
        <v>159</v>
      </c>
      <c r="D53" s="22" t="s">
        <v>160</v>
      </c>
      <c r="E53" s="22"/>
      <c r="F53" s="23">
        <f t="shared" ref="F53:O53" si="21">F54+F60</f>
        <v>64174</v>
      </c>
      <c r="G53" s="23">
        <f t="shared" si="21"/>
        <v>64174</v>
      </c>
      <c r="H53" s="23">
        <f t="shared" si="21"/>
        <v>0</v>
      </c>
      <c r="I53" s="23">
        <f t="shared" si="21"/>
        <v>0</v>
      </c>
      <c r="J53" s="23">
        <f t="shared" si="21"/>
        <v>0</v>
      </c>
      <c r="K53" s="23">
        <f t="shared" si="21"/>
        <v>0</v>
      </c>
      <c r="L53" s="23">
        <f t="shared" si="21"/>
        <v>0</v>
      </c>
      <c r="M53" s="23">
        <f t="shared" si="21"/>
        <v>0</v>
      </c>
      <c r="N53" s="23">
        <f t="shared" si="21"/>
        <v>0</v>
      </c>
      <c r="O53" s="23">
        <f t="shared" si="21"/>
        <v>0</v>
      </c>
      <c r="P53" s="22" t="s">
        <v>161</v>
      </c>
      <c r="Q53" s="24" t="s">
        <v>30</v>
      </c>
      <c r="R53" s="25" t="s">
        <v>162</v>
      </c>
    </row>
    <row r="54" spans="1:18" ht="45" x14ac:dyDescent="0.25">
      <c r="A54" s="26" t="s">
        <v>163</v>
      </c>
      <c r="B54" s="27" t="s">
        <v>164</v>
      </c>
      <c r="C54" s="28" t="s">
        <v>159</v>
      </c>
      <c r="D54" s="28" t="s">
        <v>160</v>
      </c>
      <c r="E54" s="28" t="s">
        <v>34</v>
      </c>
      <c r="F54" s="29">
        <f t="shared" ref="F54:O54" si="22">F55+F58</f>
        <v>33230</v>
      </c>
      <c r="G54" s="29">
        <f t="shared" si="22"/>
        <v>33230</v>
      </c>
      <c r="H54" s="29">
        <f t="shared" si="22"/>
        <v>0</v>
      </c>
      <c r="I54" s="29">
        <f t="shared" si="22"/>
        <v>0</v>
      </c>
      <c r="J54" s="29">
        <f t="shared" si="22"/>
        <v>0</v>
      </c>
      <c r="K54" s="29">
        <f t="shared" si="22"/>
        <v>0</v>
      </c>
      <c r="L54" s="29">
        <f t="shared" si="22"/>
        <v>0</v>
      </c>
      <c r="M54" s="29">
        <f t="shared" si="22"/>
        <v>0</v>
      </c>
      <c r="N54" s="29">
        <f t="shared" si="22"/>
        <v>0</v>
      </c>
      <c r="O54" s="29">
        <f t="shared" si="22"/>
        <v>0</v>
      </c>
      <c r="P54" s="28" t="s">
        <v>138</v>
      </c>
      <c r="Q54" s="30" t="s">
        <v>36</v>
      </c>
      <c r="R54" s="31" t="s">
        <v>48</v>
      </c>
    </row>
    <row r="55" spans="1:18" ht="93" x14ac:dyDescent="0.25">
      <c r="A55" s="32" t="s">
        <v>165</v>
      </c>
      <c r="B55" s="33" t="s">
        <v>166</v>
      </c>
      <c r="C55" s="34" t="s">
        <v>159</v>
      </c>
      <c r="D55" s="34" t="s">
        <v>160</v>
      </c>
      <c r="E55" s="34" t="s">
        <v>41</v>
      </c>
      <c r="F55" s="35">
        <f>SUM(F56:F57)+23230</f>
        <v>23230</v>
      </c>
      <c r="G55" s="35">
        <f>SUM(G56:G57)+23230</f>
        <v>23230</v>
      </c>
      <c r="H55" s="35">
        <f t="shared" ref="H55:O55" si="23">SUM(H56:H57)</f>
        <v>0</v>
      </c>
      <c r="I55" s="35">
        <f t="shared" si="23"/>
        <v>0</v>
      </c>
      <c r="J55" s="35">
        <f t="shared" si="23"/>
        <v>0</v>
      </c>
      <c r="K55" s="35">
        <f t="shared" si="23"/>
        <v>0</v>
      </c>
      <c r="L55" s="35">
        <f t="shared" si="23"/>
        <v>0</v>
      </c>
      <c r="M55" s="35">
        <f t="shared" si="23"/>
        <v>0</v>
      </c>
      <c r="N55" s="35">
        <f t="shared" si="23"/>
        <v>0</v>
      </c>
      <c r="O55" s="35">
        <f t="shared" si="23"/>
        <v>0</v>
      </c>
      <c r="P55" s="34" t="s">
        <v>167</v>
      </c>
      <c r="Q55" s="36" t="s">
        <v>36</v>
      </c>
      <c r="R55" s="37" t="s">
        <v>168</v>
      </c>
    </row>
    <row r="56" spans="1:18" ht="46.5" x14ac:dyDescent="0.25">
      <c r="A56" s="39"/>
      <c r="B56" s="40"/>
      <c r="C56" s="41"/>
      <c r="D56" s="41"/>
      <c r="E56" s="41"/>
      <c r="F56" s="42">
        <v>0</v>
      </c>
      <c r="G56" s="42">
        <v>0</v>
      </c>
      <c r="H56" s="42">
        <v>0</v>
      </c>
      <c r="I56" s="42">
        <v>0</v>
      </c>
      <c r="J56" s="42">
        <v>0</v>
      </c>
      <c r="K56" s="42">
        <v>0</v>
      </c>
      <c r="L56" s="42">
        <v>0</v>
      </c>
      <c r="M56" s="42">
        <v>0</v>
      </c>
      <c r="N56" s="42">
        <v>0</v>
      </c>
      <c r="O56" s="42">
        <v>0</v>
      </c>
      <c r="P56" s="41" t="s">
        <v>169</v>
      </c>
      <c r="Q56" s="43" t="s">
        <v>36</v>
      </c>
      <c r="R56" s="44" t="s">
        <v>170</v>
      </c>
    </row>
    <row r="57" spans="1:18" ht="139.5" x14ac:dyDescent="0.25">
      <c r="A57" s="32" t="s">
        <v>171</v>
      </c>
      <c r="B57" s="33" t="s">
        <v>172</v>
      </c>
      <c r="C57" s="34"/>
      <c r="D57" s="34"/>
      <c r="E57" s="34"/>
      <c r="F57" s="38">
        <v>0</v>
      </c>
      <c r="G57" s="38">
        <v>0</v>
      </c>
      <c r="H57" s="38">
        <v>0</v>
      </c>
      <c r="I57" s="38">
        <v>0</v>
      </c>
      <c r="J57" s="38">
        <v>0</v>
      </c>
      <c r="K57" s="38">
        <v>0</v>
      </c>
      <c r="L57" s="38">
        <v>0</v>
      </c>
      <c r="M57" s="38">
        <v>0</v>
      </c>
      <c r="N57" s="38">
        <v>0</v>
      </c>
      <c r="O57" s="38">
        <v>0</v>
      </c>
      <c r="P57" s="34"/>
      <c r="Q57" s="36"/>
      <c r="R57" s="37"/>
    </row>
    <row r="58" spans="1:18" ht="46.5" x14ac:dyDescent="0.25">
      <c r="A58" s="32" t="s">
        <v>173</v>
      </c>
      <c r="B58" s="33" t="s">
        <v>174</v>
      </c>
      <c r="C58" s="34" t="s">
        <v>159</v>
      </c>
      <c r="D58" s="34" t="s">
        <v>160</v>
      </c>
      <c r="E58" s="34" t="s">
        <v>41</v>
      </c>
      <c r="F58" s="35">
        <f>SUM(F59:F59)+10000</f>
        <v>10000</v>
      </c>
      <c r="G58" s="35">
        <f>SUM(G59:G59)+10000</f>
        <v>10000</v>
      </c>
      <c r="H58" s="35">
        <f t="shared" ref="H58:O58" si="24">SUM(H59:H59)</f>
        <v>0</v>
      </c>
      <c r="I58" s="35">
        <f t="shared" si="24"/>
        <v>0</v>
      </c>
      <c r="J58" s="35">
        <f t="shared" si="24"/>
        <v>0</v>
      </c>
      <c r="K58" s="35">
        <f t="shared" si="24"/>
        <v>0</v>
      </c>
      <c r="L58" s="35">
        <f t="shared" si="24"/>
        <v>0</v>
      </c>
      <c r="M58" s="35">
        <f t="shared" si="24"/>
        <v>0</v>
      </c>
      <c r="N58" s="35">
        <f t="shared" si="24"/>
        <v>0</v>
      </c>
      <c r="O58" s="35">
        <f t="shared" si="24"/>
        <v>0</v>
      </c>
      <c r="P58" s="34" t="s">
        <v>175</v>
      </c>
      <c r="Q58" s="36" t="s">
        <v>36</v>
      </c>
      <c r="R58" s="37" t="s">
        <v>95</v>
      </c>
    </row>
    <row r="59" spans="1:18" ht="93" x14ac:dyDescent="0.25">
      <c r="A59" s="32" t="s">
        <v>176</v>
      </c>
      <c r="B59" s="33" t="s">
        <v>177</v>
      </c>
      <c r="C59" s="34"/>
      <c r="D59" s="34"/>
      <c r="E59" s="34"/>
      <c r="F59" s="38">
        <v>0</v>
      </c>
      <c r="G59" s="38">
        <v>0</v>
      </c>
      <c r="H59" s="38">
        <v>0</v>
      </c>
      <c r="I59" s="38">
        <v>0</v>
      </c>
      <c r="J59" s="38">
        <v>0</v>
      </c>
      <c r="K59" s="38">
        <v>0</v>
      </c>
      <c r="L59" s="38">
        <v>0</v>
      </c>
      <c r="M59" s="38">
        <v>0</v>
      </c>
      <c r="N59" s="38">
        <v>0</v>
      </c>
      <c r="O59" s="38">
        <v>0</v>
      </c>
      <c r="P59" s="34"/>
      <c r="Q59" s="36"/>
      <c r="R59" s="37"/>
    </row>
    <row r="60" spans="1:18" ht="67.5" x14ac:dyDescent="0.25">
      <c r="A60" s="26" t="s">
        <v>178</v>
      </c>
      <c r="B60" s="27" t="s">
        <v>179</v>
      </c>
      <c r="C60" s="28" t="s">
        <v>159</v>
      </c>
      <c r="D60" s="28" t="s">
        <v>160</v>
      </c>
      <c r="E60" s="28" t="s">
        <v>34</v>
      </c>
      <c r="F60" s="29">
        <f t="shared" ref="F60:O60" si="25">SUM(F61:F61)</f>
        <v>30944</v>
      </c>
      <c r="G60" s="29">
        <f t="shared" si="25"/>
        <v>30944</v>
      </c>
      <c r="H60" s="29">
        <f t="shared" si="25"/>
        <v>0</v>
      </c>
      <c r="I60" s="29">
        <f t="shared" si="25"/>
        <v>0</v>
      </c>
      <c r="J60" s="29">
        <f t="shared" si="25"/>
        <v>0</v>
      </c>
      <c r="K60" s="29">
        <f t="shared" si="25"/>
        <v>0</v>
      </c>
      <c r="L60" s="29">
        <f t="shared" si="25"/>
        <v>0</v>
      </c>
      <c r="M60" s="29">
        <f t="shared" si="25"/>
        <v>0</v>
      </c>
      <c r="N60" s="29">
        <f t="shared" si="25"/>
        <v>0</v>
      </c>
      <c r="O60" s="29">
        <f t="shared" si="25"/>
        <v>0</v>
      </c>
      <c r="P60" s="28" t="s">
        <v>180</v>
      </c>
      <c r="Q60" s="30" t="s">
        <v>36</v>
      </c>
      <c r="R60" s="31" t="s">
        <v>37</v>
      </c>
    </row>
    <row r="61" spans="1:18" ht="93" x14ac:dyDescent="0.25">
      <c r="A61" s="32" t="s">
        <v>181</v>
      </c>
      <c r="B61" s="33" t="s">
        <v>182</v>
      </c>
      <c r="C61" s="34" t="s">
        <v>183</v>
      </c>
      <c r="D61" s="34" t="s">
        <v>160</v>
      </c>
      <c r="E61" s="34" t="s">
        <v>41</v>
      </c>
      <c r="F61" s="35">
        <f>SUM(F62:F65)+30944</f>
        <v>30944</v>
      </c>
      <c r="G61" s="35">
        <f>SUM(G62:G65)+30944</f>
        <v>30944</v>
      </c>
      <c r="H61" s="35">
        <f t="shared" ref="H61:O61" si="26">SUM(H62:H65)</f>
        <v>0</v>
      </c>
      <c r="I61" s="35">
        <f t="shared" si="26"/>
        <v>0</v>
      </c>
      <c r="J61" s="35">
        <f t="shared" si="26"/>
        <v>0</v>
      </c>
      <c r="K61" s="35">
        <f t="shared" si="26"/>
        <v>0</v>
      </c>
      <c r="L61" s="35">
        <f t="shared" si="26"/>
        <v>0</v>
      </c>
      <c r="M61" s="35">
        <f t="shared" si="26"/>
        <v>0</v>
      </c>
      <c r="N61" s="35">
        <f t="shared" si="26"/>
        <v>0</v>
      </c>
      <c r="O61" s="35">
        <f t="shared" si="26"/>
        <v>0</v>
      </c>
      <c r="P61" s="34" t="s">
        <v>184</v>
      </c>
      <c r="Q61" s="36" t="s">
        <v>36</v>
      </c>
      <c r="R61" s="37" t="s">
        <v>48</v>
      </c>
    </row>
    <row r="62" spans="1:18" ht="46.5" x14ac:dyDescent="0.25">
      <c r="A62" s="39"/>
      <c r="B62" s="40"/>
      <c r="C62" s="41"/>
      <c r="D62" s="41"/>
      <c r="E62" s="41"/>
      <c r="F62" s="42">
        <v>0</v>
      </c>
      <c r="G62" s="42">
        <v>0</v>
      </c>
      <c r="H62" s="42">
        <v>0</v>
      </c>
      <c r="I62" s="42">
        <v>0</v>
      </c>
      <c r="J62" s="42">
        <v>0</v>
      </c>
      <c r="K62" s="42">
        <v>0</v>
      </c>
      <c r="L62" s="42">
        <v>0</v>
      </c>
      <c r="M62" s="42">
        <v>0</v>
      </c>
      <c r="N62" s="42">
        <v>0</v>
      </c>
      <c r="O62" s="42">
        <v>0</v>
      </c>
      <c r="P62" s="41" t="s">
        <v>185</v>
      </c>
      <c r="Q62" s="43" t="s">
        <v>36</v>
      </c>
      <c r="R62" s="44" t="s">
        <v>186</v>
      </c>
    </row>
    <row r="63" spans="1:18" ht="46.5" x14ac:dyDescent="0.25">
      <c r="A63" s="39"/>
      <c r="B63" s="40"/>
      <c r="C63" s="41"/>
      <c r="D63" s="41"/>
      <c r="E63" s="41"/>
      <c r="F63" s="42">
        <v>0</v>
      </c>
      <c r="G63" s="42">
        <v>0</v>
      </c>
      <c r="H63" s="42">
        <v>0</v>
      </c>
      <c r="I63" s="42">
        <v>0</v>
      </c>
      <c r="J63" s="42">
        <v>0</v>
      </c>
      <c r="K63" s="42">
        <v>0</v>
      </c>
      <c r="L63" s="42">
        <v>0</v>
      </c>
      <c r="M63" s="42">
        <v>0</v>
      </c>
      <c r="N63" s="42">
        <v>0</v>
      </c>
      <c r="O63" s="42">
        <v>0</v>
      </c>
      <c r="P63" s="41" t="s">
        <v>187</v>
      </c>
      <c r="Q63" s="43" t="s">
        <v>36</v>
      </c>
      <c r="R63" s="44" t="s">
        <v>186</v>
      </c>
    </row>
    <row r="64" spans="1:18" ht="46.5" x14ac:dyDescent="0.25">
      <c r="A64" s="39"/>
      <c r="B64" s="40"/>
      <c r="C64" s="41"/>
      <c r="D64" s="41"/>
      <c r="E64" s="41"/>
      <c r="F64" s="42">
        <v>0</v>
      </c>
      <c r="G64" s="42">
        <v>0</v>
      </c>
      <c r="H64" s="42">
        <v>0</v>
      </c>
      <c r="I64" s="42">
        <v>0</v>
      </c>
      <c r="J64" s="42">
        <v>0</v>
      </c>
      <c r="K64" s="42">
        <v>0</v>
      </c>
      <c r="L64" s="42">
        <v>0</v>
      </c>
      <c r="M64" s="42">
        <v>0</v>
      </c>
      <c r="N64" s="42">
        <v>0</v>
      </c>
      <c r="O64" s="42">
        <v>0</v>
      </c>
      <c r="P64" s="41" t="s">
        <v>188</v>
      </c>
      <c r="Q64" s="43" t="s">
        <v>36</v>
      </c>
      <c r="R64" s="44" t="s">
        <v>48</v>
      </c>
    </row>
    <row r="65" spans="1:18" ht="69.75" x14ac:dyDescent="0.25">
      <c r="A65" s="32" t="s">
        <v>189</v>
      </c>
      <c r="B65" s="33" t="s">
        <v>190</v>
      </c>
      <c r="C65" s="34"/>
      <c r="D65" s="34"/>
      <c r="E65" s="34"/>
      <c r="F65" s="38">
        <v>0</v>
      </c>
      <c r="G65" s="38">
        <v>0</v>
      </c>
      <c r="H65" s="38">
        <v>0</v>
      </c>
      <c r="I65" s="38">
        <v>0</v>
      </c>
      <c r="J65" s="38">
        <v>0</v>
      </c>
      <c r="K65" s="38">
        <v>0</v>
      </c>
      <c r="L65" s="38">
        <v>0</v>
      </c>
      <c r="M65" s="38">
        <v>0</v>
      </c>
      <c r="N65" s="38">
        <v>0</v>
      </c>
      <c r="O65" s="38">
        <v>0</v>
      </c>
      <c r="P65" s="34"/>
      <c r="Q65" s="36"/>
      <c r="R65" s="37"/>
    </row>
    <row r="66" spans="1:18" ht="67.5" x14ac:dyDescent="0.25">
      <c r="A66" s="20" t="s">
        <v>191</v>
      </c>
      <c r="B66" s="21" t="s">
        <v>192</v>
      </c>
      <c r="C66" s="22" t="s">
        <v>193</v>
      </c>
      <c r="D66" s="22" t="s">
        <v>194</v>
      </c>
      <c r="E66" s="22"/>
      <c r="F66" s="23">
        <f t="shared" ref="F66:O67" si="27">SUM(F67:F67)</f>
        <v>34197</v>
      </c>
      <c r="G66" s="23">
        <f t="shared" si="27"/>
        <v>0</v>
      </c>
      <c r="H66" s="23">
        <f t="shared" si="27"/>
        <v>0</v>
      </c>
      <c r="I66" s="23">
        <f t="shared" si="27"/>
        <v>0</v>
      </c>
      <c r="J66" s="23">
        <f t="shared" si="27"/>
        <v>0</v>
      </c>
      <c r="K66" s="23">
        <f t="shared" si="27"/>
        <v>0</v>
      </c>
      <c r="L66" s="23">
        <f t="shared" si="27"/>
        <v>0</v>
      </c>
      <c r="M66" s="23">
        <f t="shared" si="27"/>
        <v>34197</v>
      </c>
      <c r="N66" s="23">
        <f t="shared" si="27"/>
        <v>0</v>
      </c>
      <c r="O66" s="23">
        <f t="shared" si="27"/>
        <v>0</v>
      </c>
      <c r="P66" s="22" t="s">
        <v>195</v>
      </c>
      <c r="Q66" s="24" t="s">
        <v>30</v>
      </c>
      <c r="R66" s="25" t="s">
        <v>168</v>
      </c>
    </row>
    <row r="67" spans="1:18" ht="112.5" x14ac:dyDescent="0.25">
      <c r="A67" s="26" t="s">
        <v>196</v>
      </c>
      <c r="B67" s="27" t="s">
        <v>197</v>
      </c>
      <c r="C67" s="28" t="s">
        <v>193</v>
      </c>
      <c r="D67" s="28" t="s">
        <v>194</v>
      </c>
      <c r="E67" s="28" t="s">
        <v>34</v>
      </c>
      <c r="F67" s="29">
        <f t="shared" si="27"/>
        <v>34197</v>
      </c>
      <c r="G67" s="29">
        <f t="shared" si="27"/>
        <v>0</v>
      </c>
      <c r="H67" s="29">
        <f t="shared" si="27"/>
        <v>0</v>
      </c>
      <c r="I67" s="29">
        <f t="shared" si="27"/>
        <v>0</v>
      </c>
      <c r="J67" s="29">
        <f t="shared" si="27"/>
        <v>0</v>
      </c>
      <c r="K67" s="29">
        <f t="shared" si="27"/>
        <v>0</v>
      </c>
      <c r="L67" s="29">
        <f t="shared" si="27"/>
        <v>0</v>
      </c>
      <c r="M67" s="29">
        <f t="shared" si="27"/>
        <v>34197</v>
      </c>
      <c r="N67" s="29">
        <f t="shared" si="27"/>
        <v>0</v>
      </c>
      <c r="O67" s="29">
        <f t="shared" si="27"/>
        <v>0</v>
      </c>
      <c r="P67" s="28" t="s">
        <v>198</v>
      </c>
      <c r="Q67" s="30" t="s">
        <v>36</v>
      </c>
      <c r="R67" s="31" t="s">
        <v>168</v>
      </c>
    </row>
    <row r="68" spans="1:18" ht="46.5" x14ac:dyDescent="0.25">
      <c r="A68" s="32" t="s">
        <v>199</v>
      </c>
      <c r="B68" s="33" t="s">
        <v>200</v>
      </c>
      <c r="C68" s="34" t="s">
        <v>193</v>
      </c>
      <c r="D68" s="34" t="s">
        <v>194</v>
      </c>
      <c r="E68" s="34" t="s">
        <v>201</v>
      </c>
      <c r="F68" s="35">
        <f>SUM(F69:F71)+34197</f>
        <v>34197</v>
      </c>
      <c r="G68" s="35">
        <f t="shared" ref="G68:L68" si="28">SUM(G69:G71)</f>
        <v>0</v>
      </c>
      <c r="H68" s="35">
        <f t="shared" si="28"/>
        <v>0</v>
      </c>
      <c r="I68" s="35">
        <f t="shared" si="28"/>
        <v>0</v>
      </c>
      <c r="J68" s="35">
        <f t="shared" si="28"/>
        <v>0</v>
      </c>
      <c r="K68" s="35">
        <f t="shared" si="28"/>
        <v>0</v>
      </c>
      <c r="L68" s="35">
        <f t="shared" si="28"/>
        <v>0</v>
      </c>
      <c r="M68" s="35">
        <f>SUM(M69:M71)+34197</f>
        <v>34197</v>
      </c>
      <c r="N68" s="35">
        <f>SUM(N69:N71)</f>
        <v>0</v>
      </c>
      <c r="O68" s="35">
        <f>SUM(O69:O71)</f>
        <v>0</v>
      </c>
      <c r="P68" s="34" t="s">
        <v>202</v>
      </c>
      <c r="Q68" s="36" t="s">
        <v>36</v>
      </c>
      <c r="R68" s="37" t="s">
        <v>203</v>
      </c>
    </row>
    <row r="69" spans="1:18" ht="69.75" x14ac:dyDescent="0.25">
      <c r="A69" s="39"/>
      <c r="B69" s="40"/>
      <c r="C69" s="41"/>
      <c r="D69" s="41"/>
      <c r="E69" s="41"/>
      <c r="F69" s="42">
        <v>0</v>
      </c>
      <c r="G69" s="42">
        <v>0</v>
      </c>
      <c r="H69" s="42">
        <v>0</v>
      </c>
      <c r="I69" s="42">
        <v>0</v>
      </c>
      <c r="J69" s="42">
        <v>0</v>
      </c>
      <c r="K69" s="42">
        <v>0</v>
      </c>
      <c r="L69" s="42">
        <v>0</v>
      </c>
      <c r="M69" s="42">
        <v>0</v>
      </c>
      <c r="N69" s="42">
        <v>0</v>
      </c>
      <c r="O69" s="42">
        <v>0</v>
      </c>
      <c r="P69" s="41" t="s">
        <v>204</v>
      </c>
      <c r="Q69" s="43" t="s">
        <v>36</v>
      </c>
      <c r="R69" s="44" t="s">
        <v>203</v>
      </c>
    </row>
    <row r="70" spans="1:18" ht="46.5" x14ac:dyDescent="0.25">
      <c r="A70" s="39"/>
      <c r="B70" s="40"/>
      <c r="C70" s="41"/>
      <c r="D70" s="41"/>
      <c r="E70" s="41"/>
      <c r="F70" s="42">
        <v>0</v>
      </c>
      <c r="G70" s="42">
        <v>0</v>
      </c>
      <c r="H70" s="42">
        <v>0</v>
      </c>
      <c r="I70" s="42">
        <v>0</v>
      </c>
      <c r="J70" s="42">
        <v>0</v>
      </c>
      <c r="K70" s="42">
        <v>0</v>
      </c>
      <c r="L70" s="42">
        <v>0</v>
      </c>
      <c r="M70" s="42">
        <v>0</v>
      </c>
      <c r="N70" s="42">
        <v>0</v>
      </c>
      <c r="O70" s="42">
        <v>0</v>
      </c>
      <c r="P70" s="41" t="s">
        <v>205</v>
      </c>
      <c r="Q70" s="43" t="s">
        <v>36</v>
      </c>
      <c r="R70" s="44" t="s">
        <v>186</v>
      </c>
    </row>
    <row r="71" spans="1:18" ht="93" x14ac:dyDescent="0.25">
      <c r="A71" s="32" t="s">
        <v>206</v>
      </c>
      <c r="B71" s="33" t="s">
        <v>207</v>
      </c>
      <c r="C71" s="34"/>
      <c r="D71" s="34"/>
      <c r="E71" s="34"/>
      <c r="F71" s="38">
        <v>0</v>
      </c>
      <c r="G71" s="38">
        <v>0</v>
      </c>
      <c r="H71" s="38">
        <v>0</v>
      </c>
      <c r="I71" s="38">
        <v>0</v>
      </c>
      <c r="J71" s="38">
        <v>0</v>
      </c>
      <c r="K71" s="38">
        <v>0</v>
      </c>
      <c r="L71" s="38">
        <v>0</v>
      </c>
      <c r="M71" s="38">
        <v>0</v>
      </c>
      <c r="N71" s="38">
        <v>0</v>
      </c>
      <c r="O71" s="38">
        <v>0</v>
      </c>
      <c r="P71" s="34"/>
      <c r="Q71" s="36"/>
      <c r="R71" s="37"/>
    </row>
    <row r="72" spans="1:18" ht="45" x14ac:dyDescent="0.25">
      <c r="A72" s="20" t="s">
        <v>208</v>
      </c>
      <c r="B72" s="21" t="s">
        <v>209</v>
      </c>
      <c r="C72" s="22" t="s">
        <v>159</v>
      </c>
      <c r="D72" s="22" t="s">
        <v>160</v>
      </c>
      <c r="E72" s="22"/>
      <c r="F72" s="23">
        <f t="shared" ref="F72:O72" si="29">SUM(F73:F73)</f>
        <v>67500</v>
      </c>
      <c r="G72" s="23">
        <f t="shared" si="29"/>
        <v>67500</v>
      </c>
      <c r="H72" s="23">
        <f t="shared" si="29"/>
        <v>0</v>
      </c>
      <c r="I72" s="23">
        <f t="shared" si="29"/>
        <v>0</v>
      </c>
      <c r="J72" s="23">
        <f t="shared" si="29"/>
        <v>0</v>
      </c>
      <c r="K72" s="23">
        <f t="shared" si="29"/>
        <v>0</v>
      </c>
      <c r="L72" s="23">
        <f t="shared" si="29"/>
        <v>0</v>
      </c>
      <c r="M72" s="23">
        <f t="shared" si="29"/>
        <v>0</v>
      </c>
      <c r="N72" s="23">
        <f t="shared" si="29"/>
        <v>0</v>
      </c>
      <c r="O72" s="23">
        <f t="shared" si="29"/>
        <v>0</v>
      </c>
      <c r="P72" s="22" t="s">
        <v>210</v>
      </c>
      <c r="Q72" s="24" t="s">
        <v>30</v>
      </c>
      <c r="R72" s="25" t="s">
        <v>100</v>
      </c>
    </row>
    <row r="73" spans="1:18" ht="90" x14ac:dyDescent="0.25">
      <c r="A73" s="26" t="s">
        <v>211</v>
      </c>
      <c r="B73" s="27" t="s">
        <v>212</v>
      </c>
      <c r="C73" s="28" t="s">
        <v>213</v>
      </c>
      <c r="D73" s="28" t="s">
        <v>160</v>
      </c>
      <c r="E73" s="28" t="s">
        <v>34</v>
      </c>
      <c r="F73" s="29">
        <f t="shared" ref="F73:O73" si="30">F74+F76</f>
        <v>67500</v>
      </c>
      <c r="G73" s="29">
        <f t="shared" si="30"/>
        <v>67500</v>
      </c>
      <c r="H73" s="29">
        <f t="shared" si="30"/>
        <v>0</v>
      </c>
      <c r="I73" s="29">
        <f t="shared" si="30"/>
        <v>0</v>
      </c>
      <c r="J73" s="29">
        <f t="shared" si="30"/>
        <v>0</v>
      </c>
      <c r="K73" s="29">
        <f t="shared" si="30"/>
        <v>0</v>
      </c>
      <c r="L73" s="29">
        <f t="shared" si="30"/>
        <v>0</v>
      </c>
      <c r="M73" s="29">
        <f t="shared" si="30"/>
        <v>0</v>
      </c>
      <c r="N73" s="29">
        <f t="shared" si="30"/>
        <v>0</v>
      </c>
      <c r="O73" s="29">
        <f t="shared" si="30"/>
        <v>0</v>
      </c>
      <c r="P73" s="28" t="s">
        <v>214</v>
      </c>
      <c r="Q73" s="30" t="s">
        <v>36</v>
      </c>
      <c r="R73" s="31" t="s">
        <v>48</v>
      </c>
    </row>
    <row r="74" spans="1:18" ht="116.25" x14ac:dyDescent="0.25">
      <c r="A74" s="32" t="s">
        <v>215</v>
      </c>
      <c r="B74" s="33" t="s">
        <v>216</v>
      </c>
      <c r="C74" s="34" t="s">
        <v>159</v>
      </c>
      <c r="D74" s="34" t="s">
        <v>160</v>
      </c>
      <c r="E74" s="34" t="s">
        <v>41</v>
      </c>
      <c r="F74" s="35">
        <f>SUM(F75:F75)+27000</f>
        <v>27000</v>
      </c>
      <c r="G74" s="35">
        <f>SUM(G75:G75)+27000</f>
        <v>27000</v>
      </c>
      <c r="H74" s="35">
        <f t="shared" ref="H74:O74" si="31">SUM(H75:H75)</f>
        <v>0</v>
      </c>
      <c r="I74" s="35">
        <f t="shared" si="31"/>
        <v>0</v>
      </c>
      <c r="J74" s="35">
        <f t="shared" si="31"/>
        <v>0</v>
      </c>
      <c r="K74" s="35">
        <f t="shared" si="31"/>
        <v>0</v>
      </c>
      <c r="L74" s="35">
        <f t="shared" si="31"/>
        <v>0</v>
      </c>
      <c r="M74" s="35">
        <f t="shared" si="31"/>
        <v>0</v>
      </c>
      <c r="N74" s="35">
        <f t="shared" si="31"/>
        <v>0</v>
      </c>
      <c r="O74" s="35">
        <f t="shared" si="31"/>
        <v>0</v>
      </c>
      <c r="P74" s="34" t="s">
        <v>217</v>
      </c>
      <c r="Q74" s="36" t="s">
        <v>36</v>
      </c>
      <c r="R74" s="37" t="s">
        <v>48</v>
      </c>
    </row>
    <row r="75" spans="1:18" ht="69.75" x14ac:dyDescent="0.25">
      <c r="A75" s="32" t="s">
        <v>218</v>
      </c>
      <c r="B75" s="33" t="s">
        <v>219</v>
      </c>
      <c r="C75" s="34"/>
      <c r="D75" s="34"/>
      <c r="E75" s="34"/>
      <c r="F75" s="38">
        <v>0</v>
      </c>
      <c r="G75" s="38">
        <v>0</v>
      </c>
      <c r="H75" s="38">
        <v>0</v>
      </c>
      <c r="I75" s="38">
        <v>0</v>
      </c>
      <c r="J75" s="38">
        <v>0</v>
      </c>
      <c r="K75" s="38">
        <v>0</v>
      </c>
      <c r="L75" s="38">
        <v>0</v>
      </c>
      <c r="M75" s="38">
        <v>0</v>
      </c>
      <c r="N75" s="38">
        <v>0</v>
      </c>
      <c r="O75" s="38">
        <v>0</v>
      </c>
      <c r="P75" s="34"/>
      <c r="Q75" s="36"/>
      <c r="R75" s="37"/>
    </row>
    <row r="76" spans="1:18" ht="46.5" x14ac:dyDescent="0.25">
      <c r="A76" s="32" t="s">
        <v>220</v>
      </c>
      <c r="B76" s="33" t="s">
        <v>221</v>
      </c>
      <c r="C76" s="34" t="s">
        <v>24</v>
      </c>
      <c r="D76" s="34" t="s">
        <v>40</v>
      </c>
      <c r="E76" s="34" t="s">
        <v>41</v>
      </c>
      <c r="F76" s="35">
        <f>SUM(F77:F77)+40500</f>
        <v>40500</v>
      </c>
      <c r="G76" s="35">
        <f>SUM(G77:G77)+40500</f>
        <v>40500</v>
      </c>
      <c r="H76" s="35">
        <f t="shared" ref="H76:O76" si="32">SUM(H77:H77)</f>
        <v>0</v>
      </c>
      <c r="I76" s="35">
        <f t="shared" si="32"/>
        <v>0</v>
      </c>
      <c r="J76" s="35">
        <f t="shared" si="32"/>
        <v>0</v>
      </c>
      <c r="K76" s="35">
        <f t="shared" si="32"/>
        <v>0</v>
      </c>
      <c r="L76" s="35">
        <f t="shared" si="32"/>
        <v>0</v>
      </c>
      <c r="M76" s="35">
        <f t="shared" si="32"/>
        <v>0</v>
      </c>
      <c r="N76" s="35">
        <f t="shared" si="32"/>
        <v>0</v>
      </c>
      <c r="O76" s="35">
        <f t="shared" si="32"/>
        <v>0</v>
      </c>
      <c r="P76" s="34" t="s">
        <v>222</v>
      </c>
      <c r="Q76" s="36" t="s">
        <v>36</v>
      </c>
      <c r="R76" s="37" t="s">
        <v>223</v>
      </c>
    </row>
    <row r="77" spans="1:18" ht="46.5" x14ac:dyDescent="0.25">
      <c r="A77" s="32" t="s">
        <v>224</v>
      </c>
      <c r="B77" s="33" t="s">
        <v>225</v>
      </c>
      <c r="C77" s="34"/>
      <c r="D77" s="34"/>
      <c r="E77" s="34"/>
      <c r="F77" s="38">
        <v>0</v>
      </c>
      <c r="G77" s="38">
        <v>0</v>
      </c>
      <c r="H77" s="38">
        <v>0</v>
      </c>
      <c r="I77" s="38">
        <v>0</v>
      </c>
      <c r="J77" s="38">
        <v>0</v>
      </c>
      <c r="K77" s="38">
        <v>0</v>
      </c>
      <c r="L77" s="38">
        <v>0</v>
      </c>
      <c r="M77" s="38">
        <v>0</v>
      </c>
      <c r="N77" s="38">
        <v>0</v>
      </c>
      <c r="O77" s="38">
        <v>0</v>
      </c>
      <c r="P77" s="34"/>
      <c r="Q77" s="36"/>
      <c r="R77" s="37"/>
    </row>
    <row r="78" spans="1:18" ht="90" x14ac:dyDescent="0.25">
      <c r="A78" s="20" t="s">
        <v>226</v>
      </c>
      <c r="B78" s="21" t="s">
        <v>227</v>
      </c>
      <c r="C78" s="22" t="s">
        <v>24</v>
      </c>
      <c r="D78" s="22" t="s">
        <v>28</v>
      </c>
      <c r="E78" s="22"/>
      <c r="F78" s="23">
        <f t="shared" ref="F78:O79" si="33">SUM(F79:F79)</f>
        <v>9500</v>
      </c>
      <c r="G78" s="23">
        <f t="shared" si="33"/>
        <v>9500</v>
      </c>
      <c r="H78" s="23">
        <f t="shared" si="33"/>
        <v>0</v>
      </c>
      <c r="I78" s="23">
        <f t="shared" si="33"/>
        <v>0</v>
      </c>
      <c r="J78" s="23">
        <f t="shared" si="33"/>
        <v>0</v>
      </c>
      <c r="K78" s="23">
        <f t="shared" si="33"/>
        <v>0</v>
      </c>
      <c r="L78" s="23">
        <f t="shared" si="33"/>
        <v>0</v>
      </c>
      <c r="M78" s="23">
        <f t="shared" si="33"/>
        <v>0</v>
      </c>
      <c r="N78" s="23">
        <f t="shared" si="33"/>
        <v>0</v>
      </c>
      <c r="O78" s="23">
        <f t="shared" si="33"/>
        <v>0</v>
      </c>
      <c r="P78" s="22" t="s">
        <v>228</v>
      </c>
      <c r="Q78" s="24" t="s">
        <v>30</v>
      </c>
      <c r="R78" s="25" t="s">
        <v>229</v>
      </c>
    </row>
    <row r="79" spans="1:18" ht="67.5" x14ac:dyDescent="0.25">
      <c r="A79" s="26" t="s">
        <v>230</v>
      </c>
      <c r="B79" s="27" t="s">
        <v>231</v>
      </c>
      <c r="C79" s="28" t="s">
        <v>24</v>
      </c>
      <c r="D79" s="28" t="s">
        <v>28</v>
      </c>
      <c r="E79" s="28" t="s">
        <v>232</v>
      </c>
      <c r="F79" s="29">
        <f t="shared" si="33"/>
        <v>9500</v>
      </c>
      <c r="G79" s="29">
        <f t="shared" si="33"/>
        <v>9500</v>
      </c>
      <c r="H79" s="29">
        <f t="shared" si="33"/>
        <v>0</v>
      </c>
      <c r="I79" s="29">
        <f t="shared" si="33"/>
        <v>0</v>
      </c>
      <c r="J79" s="29">
        <f t="shared" si="33"/>
        <v>0</v>
      </c>
      <c r="K79" s="29">
        <f t="shared" si="33"/>
        <v>0</v>
      </c>
      <c r="L79" s="29">
        <f t="shared" si="33"/>
        <v>0</v>
      </c>
      <c r="M79" s="29">
        <f t="shared" si="33"/>
        <v>0</v>
      </c>
      <c r="N79" s="29">
        <f t="shared" si="33"/>
        <v>0</v>
      </c>
      <c r="O79" s="29">
        <f t="shared" si="33"/>
        <v>0</v>
      </c>
      <c r="P79" s="28" t="s">
        <v>233</v>
      </c>
      <c r="Q79" s="30" t="s">
        <v>30</v>
      </c>
      <c r="R79" s="31" t="s">
        <v>31</v>
      </c>
    </row>
    <row r="80" spans="1:18" ht="69.75" x14ac:dyDescent="0.25">
      <c r="A80" s="32" t="s">
        <v>234</v>
      </c>
      <c r="B80" s="33" t="s">
        <v>235</v>
      </c>
      <c r="C80" s="34" t="s">
        <v>24</v>
      </c>
      <c r="D80" s="34" t="s">
        <v>28</v>
      </c>
      <c r="E80" s="34" t="s">
        <v>236</v>
      </c>
      <c r="F80" s="35">
        <f>SUM(F81:F81)+9500</f>
        <v>9500</v>
      </c>
      <c r="G80" s="35">
        <f>SUM(G81:G81)+9500</f>
        <v>9500</v>
      </c>
      <c r="H80" s="35">
        <f t="shared" ref="H80:O80" si="34">SUM(H81:H81)</f>
        <v>0</v>
      </c>
      <c r="I80" s="35">
        <f t="shared" si="34"/>
        <v>0</v>
      </c>
      <c r="J80" s="35">
        <f t="shared" si="34"/>
        <v>0</v>
      </c>
      <c r="K80" s="35">
        <f t="shared" si="34"/>
        <v>0</v>
      </c>
      <c r="L80" s="35">
        <f t="shared" si="34"/>
        <v>0</v>
      </c>
      <c r="M80" s="35">
        <f t="shared" si="34"/>
        <v>0</v>
      </c>
      <c r="N80" s="35">
        <f t="shared" si="34"/>
        <v>0</v>
      </c>
      <c r="O80" s="35">
        <f t="shared" si="34"/>
        <v>0</v>
      </c>
      <c r="P80" s="34" t="s">
        <v>237</v>
      </c>
      <c r="Q80" s="36" t="s">
        <v>36</v>
      </c>
      <c r="R80" s="37" t="s">
        <v>238</v>
      </c>
    </row>
    <row r="81" spans="1:18" ht="46.5" x14ac:dyDescent="0.25">
      <c r="A81" s="32" t="s">
        <v>239</v>
      </c>
      <c r="B81" s="33" t="s">
        <v>240</v>
      </c>
      <c r="C81" s="34"/>
      <c r="D81" s="34"/>
      <c r="E81" s="34"/>
      <c r="F81" s="38">
        <v>0</v>
      </c>
      <c r="G81" s="38">
        <v>0</v>
      </c>
      <c r="H81" s="38">
        <v>0</v>
      </c>
      <c r="I81" s="38">
        <v>0</v>
      </c>
      <c r="J81" s="38">
        <v>0</v>
      </c>
      <c r="K81" s="38">
        <v>0</v>
      </c>
      <c r="L81" s="38">
        <v>0</v>
      </c>
      <c r="M81" s="38">
        <v>0</v>
      </c>
      <c r="N81" s="38">
        <v>0</v>
      </c>
      <c r="O81" s="38">
        <v>0</v>
      </c>
      <c r="P81" s="34"/>
      <c r="Q81" s="36"/>
      <c r="R81" s="37"/>
    </row>
    <row r="82" spans="1:18" ht="112.5" x14ac:dyDescent="0.25">
      <c r="A82" s="20" t="s">
        <v>241</v>
      </c>
      <c r="B82" s="21" t="s">
        <v>242</v>
      </c>
      <c r="C82" s="22" t="s">
        <v>24</v>
      </c>
      <c r="D82" s="22" t="s">
        <v>28</v>
      </c>
      <c r="E82" s="22"/>
      <c r="F82" s="23">
        <f t="shared" ref="F82:O82" si="35">SUM(F83:F83)</f>
        <v>2300</v>
      </c>
      <c r="G82" s="23">
        <f t="shared" si="35"/>
        <v>2300</v>
      </c>
      <c r="H82" s="23">
        <f t="shared" si="35"/>
        <v>0</v>
      </c>
      <c r="I82" s="23">
        <f t="shared" si="35"/>
        <v>0</v>
      </c>
      <c r="J82" s="23">
        <f t="shared" si="35"/>
        <v>0</v>
      </c>
      <c r="K82" s="23">
        <f t="shared" si="35"/>
        <v>0</v>
      </c>
      <c r="L82" s="23">
        <f t="shared" si="35"/>
        <v>0</v>
      </c>
      <c r="M82" s="23">
        <f t="shared" si="35"/>
        <v>0</v>
      </c>
      <c r="N82" s="23">
        <f t="shared" si="35"/>
        <v>0</v>
      </c>
      <c r="O82" s="23">
        <f t="shared" si="35"/>
        <v>0</v>
      </c>
      <c r="P82" s="22" t="s">
        <v>243</v>
      </c>
      <c r="Q82" s="24" t="s">
        <v>30</v>
      </c>
      <c r="R82" s="25" t="s">
        <v>100</v>
      </c>
    </row>
    <row r="83" spans="1:18" ht="67.5" x14ac:dyDescent="0.25">
      <c r="A83" s="26" t="s">
        <v>244</v>
      </c>
      <c r="B83" s="27" t="s">
        <v>245</v>
      </c>
      <c r="C83" s="28" t="s">
        <v>24</v>
      </c>
      <c r="D83" s="28" t="s">
        <v>28</v>
      </c>
      <c r="E83" s="28" t="s">
        <v>232</v>
      </c>
      <c r="F83" s="29">
        <f t="shared" ref="F83:O83" si="36">F84+F86</f>
        <v>2300</v>
      </c>
      <c r="G83" s="29">
        <f t="shared" si="36"/>
        <v>2300</v>
      </c>
      <c r="H83" s="29">
        <f t="shared" si="36"/>
        <v>0</v>
      </c>
      <c r="I83" s="29">
        <f t="shared" si="36"/>
        <v>0</v>
      </c>
      <c r="J83" s="29">
        <f t="shared" si="36"/>
        <v>0</v>
      </c>
      <c r="K83" s="29">
        <f t="shared" si="36"/>
        <v>0</v>
      </c>
      <c r="L83" s="29">
        <f t="shared" si="36"/>
        <v>0</v>
      </c>
      <c r="M83" s="29">
        <f t="shared" si="36"/>
        <v>0</v>
      </c>
      <c r="N83" s="29">
        <f t="shared" si="36"/>
        <v>0</v>
      </c>
      <c r="O83" s="29">
        <f t="shared" si="36"/>
        <v>0</v>
      </c>
      <c r="P83" s="28" t="s">
        <v>246</v>
      </c>
      <c r="Q83" s="30" t="s">
        <v>30</v>
      </c>
      <c r="R83" s="31" t="s">
        <v>247</v>
      </c>
    </row>
    <row r="84" spans="1:18" ht="69.75" x14ac:dyDescent="0.25">
      <c r="A84" s="32" t="s">
        <v>248</v>
      </c>
      <c r="B84" s="33" t="s">
        <v>249</v>
      </c>
      <c r="C84" s="34" t="s">
        <v>24</v>
      </c>
      <c r="D84" s="34" t="s">
        <v>40</v>
      </c>
      <c r="E84" s="34" t="s">
        <v>236</v>
      </c>
      <c r="F84" s="35">
        <f>SUM(F85:F85)+2000</f>
        <v>2000</v>
      </c>
      <c r="G84" s="35">
        <f>SUM(G85:G85)+2000</f>
        <v>2000</v>
      </c>
      <c r="H84" s="35">
        <f t="shared" ref="H84:O84" si="37">SUM(H85:H85)</f>
        <v>0</v>
      </c>
      <c r="I84" s="35">
        <f t="shared" si="37"/>
        <v>0</v>
      </c>
      <c r="J84" s="35">
        <f t="shared" si="37"/>
        <v>0</v>
      </c>
      <c r="K84" s="35">
        <f t="shared" si="37"/>
        <v>0</v>
      </c>
      <c r="L84" s="35">
        <f t="shared" si="37"/>
        <v>0</v>
      </c>
      <c r="M84" s="35">
        <f t="shared" si="37"/>
        <v>0</v>
      </c>
      <c r="N84" s="35">
        <f t="shared" si="37"/>
        <v>0</v>
      </c>
      <c r="O84" s="35">
        <f t="shared" si="37"/>
        <v>0</v>
      </c>
      <c r="P84" s="34" t="s">
        <v>250</v>
      </c>
      <c r="Q84" s="36" t="s">
        <v>36</v>
      </c>
      <c r="R84" s="37" t="s">
        <v>251</v>
      </c>
    </row>
    <row r="85" spans="1:18" ht="69.75" x14ac:dyDescent="0.25">
      <c r="A85" s="32" t="s">
        <v>252</v>
      </c>
      <c r="B85" s="33" t="s">
        <v>253</v>
      </c>
      <c r="C85" s="34"/>
      <c r="D85" s="34"/>
      <c r="E85" s="34"/>
      <c r="F85" s="38">
        <v>0</v>
      </c>
      <c r="G85" s="38">
        <v>0</v>
      </c>
      <c r="H85" s="38">
        <v>0</v>
      </c>
      <c r="I85" s="38">
        <v>0</v>
      </c>
      <c r="J85" s="38">
        <v>0</v>
      </c>
      <c r="K85" s="38">
        <v>0</v>
      </c>
      <c r="L85" s="38">
        <v>0</v>
      </c>
      <c r="M85" s="38">
        <v>0</v>
      </c>
      <c r="N85" s="38">
        <v>0</v>
      </c>
      <c r="O85" s="38">
        <v>0</v>
      </c>
      <c r="P85" s="34"/>
      <c r="Q85" s="36"/>
      <c r="R85" s="37"/>
    </row>
    <row r="86" spans="1:18" ht="69.75" x14ac:dyDescent="0.25">
      <c r="A86" s="32" t="s">
        <v>254</v>
      </c>
      <c r="B86" s="33" t="s">
        <v>255</v>
      </c>
      <c r="C86" s="34" t="s">
        <v>24</v>
      </c>
      <c r="D86" s="34" t="s">
        <v>141</v>
      </c>
      <c r="E86" s="34" t="s">
        <v>236</v>
      </c>
      <c r="F86" s="35">
        <f>SUM(F87:F87)+300</f>
        <v>300</v>
      </c>
      <c r="G86" s="35">
        <f>SUM(G87:G87)+300</f>
        <v>300</v>
      </c>
      <c r="H86" s="35">
        <f t="shared" ref="H86:O86" si="38">SUM(H87:H87)</f>
        <v>0</v>
      </c>
      <c r="I86" s="35">
        <f t="shared" si="38"/>
        <v>0</v>
      </c>
      <c r="J86" s="35">
        <f t="shared" si="38"/>
        <v>0</v>
      </c>
      <c r="K86" s="35">
        <f t="shared" si="38"/>
        <v>0</v>
      </c>
      <c r="L86" s="35">
        <f t="shared" si="38"/>
        <v>0</v>
      </c>
      <c r="M86" s="35">
        <f t="shared" si="38"/>
        <v>0</v>
      </c>
      <c r="N86" s="35">
        <f t="shared" si="38"/>
        <v>0</v>
      </c>
      <c r="O86" s="35">
        <f t="shared" si="38"/>
        <v>0</v>
      </c>
      <c r="P86" s="34" t="s">
        <v>256</v>
      </c>
      <c r="Q86" s="36" t="s">
        <v>36</v>
      </c>
      <c r="R86" s="37" t="s">
        <v>186</v>
      </c>
    </row>
    <row r="87" spans="1:18" ht="46.5" x14ac:dyDescent="0.25">
      <c r="A87" s="32" t="s">
        <v>257</v>
      </c>
      <c r="B87" s="33" t="s">
        <v>258</v>
      </c>
      <c r="C87" s="34"/>
      <c r="D87" s="34"/>
      <c r="E87" s="34"/>
      <c r="F87" s="38">
        <v>0</v>
      </c>
      <c r="G87" s="38">
        <v>0</v>
      </c>
      <c r="H87" s="38">
        <v>0</v>
      </c>
      <c r="I87" s="38">
        <v>0</v>
      </c>
      <c r="J87" s="38">
        <v>0</v>
      </c>
      <c r="K87" s="38">
        <v>0</v>
      </c>
      <c r="L87" s="38">
        <v>0</v>
      </c>
      <c r="M87" s="38">
        <v>0</v>
      </c>
      <c r="N87" s="38">
        <v>0</v>
      </c>
      <c r="O87" s="38">
        <v>0</v>
      </c>
      <c r="P87" s="34"/>
      <c r="Q87" s="36"/>
      <c r="R87" s="37"/>
    </row>
    <row r="88" spans="1:18" ht="67.5" x14ac:dyDescent="0.25">
      <c r="A88" s="14" t="s">
        <v>259</v>
      </c>
      <c r="B88" s="15" t="s">
        <v>260</v>
      </c>
      <c r="C88" s="16" t="s">
        <v>261</v>
      </c>
      <c r="D88" s="16" t="s">
        <v>262</v>
      </c>
      <c r="E88" s="16"/>
      <c r="F88" s="17">
        <f t="shared" ref="F88:O88" si="39">F89+F117+F121+F125+F145+F162+F166+F173+F177+F181+F205+F217+F227+F236</f>
        <v>3311796.88</v>
      </c>
      <c r="G88" s="17">
        <f t="shared" si="39"/>
        <v>1404830.15</v>
      </c>
      <c r="H88" s="17">
        <f t="shared" si="39"/>
        <v>0</v>
      </c>
      <c r="I88" s="17">
        <f t="shared" si="39"/>
        <v>0</v>
      </c>
      <c r="J88" s="17">
        <f t="shared" si="39"/>
        <v>0</v>
      </c>
      <c r="K88" s="17">
        <f t="shared" si="39"/>
        <v>0</v>
      </c>
      <c r="L88" s="17">
        <f t="shared" si="39"/>
        <v>1726633.6300000001</v>
      </c>
      <c r="M88" s="17">
        <f t="shared" si="39"/>
        <v>180333.1</v>
      </c>
      <c r="N88" s="17">
        <f t="shared" si="39"/>
        <v>0</v>
      </c>
      <c r="O88" s="17">
        <f t="shared" si="39"/>
        <v>0</v>
      </c>
      <c r="P88" s="16"/>
      <c r="Q88" s="18"/>
      <c r="R88" s="19"/>
    </row>
    <row r="89" spans="1:18" ht="45" x14ac:dyDescent="0.25">
      <c r="A89" s="20" t="s">
        <v>263</v>
      </c>
      <c r="B89" s="21" t="s">
        <v>264</v>
      </c>
      <c r="C89" s="22" t="s">
        <v>261</v>
      </c>
      <c r="D89" s="22" t="s">
        <v>265</v>
      </c>
      <c r="E89" s="22"/>
      <c r="F89" s="23">
        <f t="shared" ref="F89:O89" si="40">F90+F95+F110</f>
        <v>313841.12</v>
      </c>
      <c r="G89" s="23">
        <f t="shared" si="40"/>
        <v>222978</v>
      </c>
      <c r="H89" s="23">
        <f t="shared" si="40"/>
        <v>0</v>
      </c>
      <c r="I89" s="23">
        <f t="shared" si="40"/>
        <v>0</v>
      </c>
      <c r="J89" s="23">
        <f t="shared" si="40"/>
        <v>0</v>
      </c>
      <c r="K89" s="23">
        <f t="shared" si="40"/>
        <v>0</v>
      </c>
      <c r="L89" s="23">
        <f t="shared" si="40"/>
        <v>7989.57</v>
      </c>
      <c r="M89" s="23">
        <f t="shared" si="40"/>
        <v>82873.55</v>
      </c>
      <c r="N89" s="23">
        <f t="shared" si="40"/>
        <v>0</v>
      </c>
      <c r="O89" s="23">
        <f t="shared" si="40"/>
        <v>0</v>
      </c>
      <c r="P89" s="22" t="s">
        <v>266</v>
      </c>
      <c r="Q89" s="24" t="s">
        <v>30</v>
      </c>
      <c r="R89" s="25" t="s">
        <v>64</v>
      </c>
    </row>
    <row r="90" spans="1:18" ht="135" x14ac:dyDescent="0.25">
      <c r="A90" s="26" t="s">
        <v>267</v>
      </c>
      <c r="B90" s="27" t="s">
        <v>268</v>
      </c>
      <c r="C90" s="28" t="s">
        <v>261</v>
      </c>
      <c r="D90" s="28" t="s">
        <v>265</v>
      </c>
      <c r="E90" s="28" t="s">
        <v>34</v>
      </c>
      <c r="F90" s="29">
        <f t="shared" ref="F90:O90" si="41">SUM(F91:F91)</f>
        <v>13989.57</v>
      </c>
      <c r="G90" s="29">
        <f t="shared" si="41"/>
        <v>6000</v>
      </c>
      <c r="H90" s="29">
        <f t="shared" si="41"/>
        <v>0</v>
      </c>
      <c r="I90" s="29">
        <f t="shared" si="41"/>
        <v>0</v>
      </c>
      <c r="J90" s="29">
        <f t="shared" si="41"/>
        <v>0</v>
      </c>
      <c r="K90" s="29">
        <f t="shared" si="41"/>
        <v>0</v>
      </c>
      <c r="L90" s="29">
        <f t="shared" si="41"/>
        <v>7989.57</v>
      </c>
      <c r="M90" s="29">
        <f t="shared" si="41"/>
        <v>0</v>
      </c>
      <c r="N90" s="29">
        <f t="shared" si="41"/>
        <v>0</v>
      </c>
      <c r="O90" s="29">
        <f t="shared" si="41"/>
        <v>0</v>
      </c>
      <c r="P90" s="28" t="s">
        <v>269</v>
      </c>
      <c r="Q90" s="30" t="s">
        <v>36</v>
      </c>
      <c r="R90" s="31" t="s">
        <v>251</v>
      </c>
    </row>
    <row r="91" spans="1:18" ht="69.75" x14ac:dyDescent="0.25">
      <c r="A91" s="32" t="s">
        <v>270</v>
      </c>
      <c r="B91" s="33" t="s">
        <v>271</v>
      </c>
      <c r="C91" s="34" t="s">
        <v>261</v>
      </c>
      <c r="D91" s="34" t="s">
        <v>272</v>
      </c>
      <c r="E91" s="34" t="s">
        <v>41</v>
      </c>
      <c r="F91" s="35">
        <f>SUM(F92:F94)+13989.57</f>
        <v>13989.57</v>
      </c>
      <c r="G91" s="35">
        <f>SUM(G92:G94)+6000</f>
        <v>6000</v>
      </c>
      <c r="H91" s="35">
        <f>SUM(H92:H94)</f>
        <v>0</v>
      </c>
      <c r="I91" s="35">
        <f>SUM(I92:I94)</f>
        <v>0</v>
      </c>
      <c r="J91" s="35">
        <f>SUM(J92:J94)</f>
        <v>0</v>
      </c>
      <c r="K91" s="35">
        <f>SUM(K92:K94)</f>
        <v>0</v>
      </c>
      <c r="L91" s="35">
        <f>SUM(L92:L94)+7989.57</f>
        <v>7989.57</v>
      </c>
      <c r="M91" s="35">
        <f>SUM(M92:M94)</f>
        <v>0</v>
      </c>
      <c r="N91" s="35">
        <f>SUM(N92:N94)</f>
        <v>0</v>
      </c>
      <c r="O91" s="35">
        <f>SUM(O92:O94)</f>
        <v>0</v>
      </c>
      <c r="P91" s="34" t="s">
        <v>273</v>
      </c>
      <c r="Q91" s="36" t="s">
        <v>36</v>
      </c>
      <c r="R91" s="37" t="s">
        <v>48</v>
      </c>
    </row>
    <row r="92" spans="1:18" ht="46.5" x14ac:dyDescent="0.25">
      <c r="A92" s="39"/>
      <c r="B92" s="40"/>
      <c r="C92" s="41"/>
      <c r="D92" s="41"/>
      <c r="E92" s="41"/>
      <c r="F92" s="42">
        <v>0</v>
      </c>
      <c r="G92" s="42">
        <v>0</v>
      </c>
      <c r="H92" s="42">
        <v>0</v>
      </c>
      <c r="I92" s="42">
        <v>0</v>
      </c>
      <c r="J92" s="42">
        <v>0</v>
      </c>
      <c r="K92" s="42">
        <v>0</v>
      </c>
      <c r="L92" s="42">
        <v>0</v>
      </c>
      <c r="M92" s="42">
        <v>0</v>
      </c>
      <c r="N92" s="42">
        <v>0</v>
      </c>
      <c r="O92" s="42">
        <v>0</v>
      </c>
      <c r="P92" s="41" t="s">
        <v>274</v>
      </c>
      <c r="Q92" s="43" t="s">
        <v>36</v>
      </c>
      <c r="R92" s="44" t="s">
        <v>37</v>
      </c>
    </row>
    <row r="93" spans="1:18" ht="46.5" x14ac:dyDescent="0.25">
      <c r="A93" s="32" t="s">
        <v>275</v>
      </c>
      <c r="B93" s="33" t="s">
        <v>276</v>
      </c>
      <c r="C93" s="34"/>
      <c r="D93" s="34"/>
      <c r="E93" s="34"/>
      <c r="F93" s="38">
        <v>0</v>
      </c>
      <c r="G93" s="38">
        <v>0</v>
      </c>
      <c r="H93" s="38">
        <v>0</v>
      </c>
      <c r="I93" s="38">
        <v>0</v>
      </c>
      <c r="J93" s="38">
        <v>0</v>
      </c>
      <c r="K93" s="38">
        <v>0</v>
      </c>
      <c r="L93" s="38">
        <v>0</v>
      </c>
      <c r="M93" s="38">
        <v>0</v>
      </c>
      <c r="N93" s="38">
        <v>0</v>
      </c>
      <c r="O93" s="38">
        <v>0</v>
      </c>
      <c r="P93" s="34"/>
      <c r="Q93" s="36"/>
      <c r="R93" s="37"/>
    </row>
    <row r="94" spans="1:18" ht="46.5" x14ac:dyDescent="0.25">
      <c r="A94" s="32" t="s">
        <v>277</v>
      </c>
      <c r="B94" s="33" t="s">
        <v>278</v>
      </c>
      <c r="C94" s="34"/>
      <c r="D94" s="34"/>
      <c r="E94" s="34"/>
      <c r="F94" s="38">
        <v>0</v>
      </c>
      <c r="G94" s="38">
        <v>0</v>
      </c>
      <c r="H94" s="38">
        <v>0</v>
      </c>
      <c r="I94" s="38">
        <v>0</v>
      </c>
      <c r="J94" s="38">
        <v>0</v>
      </c>
      <c r="K94" s="38">
        <v>0</v>
      </c>
      <c r="L94" s="38">
        <v>0</v>
      </c>
      <c r="M94" s="38">
        <v>0</v>
      </c>
      <c r="N94" s="38">
        <v>0</v>
      </c>
      <c r="O94" s="38">
        <v>0</v>
      </c>
      <c r="P94" s="34"/>
      <c r="Q94" s="36"/>
      <c r="R94" s="37"/>
    </row>
    <row r="95" spans="1:18" ht="157.5" x14ac:dyDescent="0.25">
      <c r="A95" s="26" t="s">
        <v>279</v>
      </c>
      <c r="B95" s="27" t="s">
        <v>280</v>
      </c>
      <c r="C95" s="28" t="s">
        <v>261</v>
      </c>
      <c r="D95" s="28" t="s">
        <v>265</v>
      </c>
      <c r="E95" s="28" t="s">
        <v>232</v>
      </c>
      <c r="F95" s="29">
        <f t="shared" ref="F95:O95" si="42">F96+F98+F100+F102+F104+F106+F108</f>
        <v>202993.55</v>
      </c>
      <c r="G95" s="29">
        <f t="shared" si="42"/>
        <v>120120</v>
      </c>
      <c r="H95" s="29">
        <f t="shared" si="42"/>
        <v>0</v>
      </c>
      <c r="I95" s="29">
        <f t="shared" si="42"/>
        <v>0</v>
      </c>
      <c r="J95" s="29">
        <f t="shared" si="42"/>
        <v>0</v>
      </c>
      <c r="K95" s="29">
        <f t="shared" si="42"/>
        <v>0</v>
      </c>
      <c r="L95" s="29">
        <f t="shared" si="42"/>
        <v>0</v>
      </c>
      <c r="M95" s="29">
        <f t="shared" si="42"/>
        <v>82873.55</v>
      </c>
      <c r="N95" s="29">
        <f t="shared" si="42"/>
        <v>0</v>
      </c>
      <c r="O95" s="29">
        <f t="shared" si="42"/>
        <v>0</v>
      </c>
      <c r="P95" s="28" t="s">
        <v>281</v>
      </c>
      <c r="Q95" s="30" t="s">
        <v>282</v>
      </c>
      <c r="R95" s="31" t="s">
        <v>283</v>
      </c>
    </row>
    <row r="96" spans="1:18" ht="139.5" x14ac:dyDescent="0.25">
      <c r="A96" s="32" t="s">
        <v>284</v>
      </c>
      <c r="B96" s="33" t="s">
        <v>285</v>
      </c>
      <c r="C96" s="34" t="s">
        <v>261</v>
      </c>
      <c r="D96" s="34" t="s">
        <v>286</v>
      </c>
      <c r="E96" s="34" t="s">
        <v>287</v>
      </c>
      <c r="F96" s="35">
        <f>SUM(F97:F97)+120</f>
        <v>120</v>
      </c>
      <c r="G96" s="35">
        <f>SUM(G97:G97)+120</f>
        <v>120</v>
      </c>
      <c r="H96" s="35">
        <f t="shared" ref="H96:O96" si="43">SUM(H97:H97)</f>
        <v>0</v>
      </c>
      <c r="I96" s="35">
        <f t="shared" si="43"/>
        <v>0</v>
      </c>
      <c r="J96" s="35">
        <f t="shared" si="43"/>
        <v>0</v>
      </c>
      <c r="K96" s="35">
        <f t="shared" si="43"/>
        <v>0</v>
      </c>
      <c r="L96" s="35">
        <f t="shared" si="43"/>
        <v>0</v>
      </c>
      <c r="M96" s="35">
        <f t="shared" si="43"/>
        <v>0</v>
      </c>
      <c r="N96" s="35">
        <f t="shared" si="43"/>
        <v>0</v>
      </c>
      <c r="O96" s="35">
        <f t="shared" si="43"/>
        <v>0</v>
      </c>
      <c r="P96" s="34" t="s">
        <v>288</v>
      </c>
      <c r="Q96" s="36" t="s">
        <v>36</v>
      </c>
      <c r="R96" s="37" t="s">
        <v>48</v>
      </c>
    </row>
    <row r="97" spans="1:18" ht="46.5" x14ac:dyDescent="0.25">
      <c r="A97" s="32" t="s">
        <v>289</v>
      </c>
      <c r="B97" s="33" t="s">
        <v>290</v>
      </c>
      <c r="C97" s="34"/>
      <c r="D97" s="34"/>
      <c r="E97" s="34"/>
      <c r="F97" s="38">
        <v>0</v>
      </c>
      <c r="G97" s="38">
        <v>0</v>
      </c>
      <c r="H97" s="38">
        <v>0</v>
      </c>
      <c r="I97" s="38">
        <v>0</v>
      </c>
      <c r="J97" s="38">
        <v>0</v>
      </c>
      <c r="K97" s="38">
        <v>0</v>
      </c>
      <c r="L97" s="38">
        <v>0</v>
      </c>
      <c r="M97" s="38">
        <v>0</v>
      </c>
      <c r="N97" s="38">
        <v>0</v>
      </c>
      <c r="O97" s="38">
        <v>0</v>
      </c>
      <c r="P97" s="34"/>
      <c r="Q97" s="36"/>
      <c r="R97" s="37"/>
    </row>
    <row r="98" spans="1:18" ht="139.5" x14ac:dyDescent="0.25">
      <c r="A98" s="32" t="s">
        <v>291</v>
      </c>
      <c r="B98" s="33" t="s">
        <v>292</v>
      </c>
      <c r="C98" s="34" t="s">
        <v>261</v>
      </c>
      <c r="D98" s="34" t="s">
        <v>286</v>
      </c>
      <c r="E98" s="34" t="s">
        <v>287</v>
      </c>
      <c r="F98" s="35">
        <f t="shared" ref="F98:O98" si="44">SUM(F99:F99)</f>
        <v>0</v>
      </c>
      <c r="G98" s="35">
        <f t="shared" si="44"/>
        <v>0</v>
      </c>
      <c r="H98" s="35">
        <f t="shared" si="44"/>
        <v>0</v>
      </c>
      <c r="I98" s="35">
        <f t="shared" si="44"/>
        <v>0</v>
      </c>
      <c r="J98" s="35">
        <f t="shared" si="44"/>
        <v>0</v>
      </c>
      <c r="K98" s="35">
        <f t="shared" si="44"/>
        <v>0</v>
      </c>
      <c r="L98" s="35">
        <f t="shared" si="44"/>
        <v>0</v>
      </c>
      <c r="M98" s="35">
        <f t="shared" si="44"/>
        <v>0</v>
      </c>
      <c r="N98" s="35">
        <f t="shared" si="44"/>
        <v>0</v>
      </c>
      <c r="O98" s="35">
        <f t="shared" si="44"/>
        <v>0</v>
      </c>
      <c r="P98" s="34" t="s">
        <v>288</v>
      </c>
      <c r="Q98" s="36" t="s">
        <v>36</v>
      </c>
      <c r="R98" s="37" t="s">
        <v>48</v>
      </c>
    </row>
    <row r="99" spans="1:18" ht="46.5" x14ac:dyDescent="0.25">
      <c r="A99" s="32" t="s">
        <v>293</v>
      </c>
      <c r="B99" s="33" t="s">
        <v>290</v>
      </c>
      <c r="C99" s="34"/>
      <c r="D99" s="34"/>
      <c r="E99" s="34"/>
      <c r="F99" s="38">
        <v>0</v>
      </c>
      <c r="G99" s="38">
        <v>0</v>
      </c>
      <c r="H99" s="38">
        <v>0</v>
      </c>
      <c r="I99" s="38">
        <v>0</v>
      </c>
      <c r="J99" s="38">
        <v>0</v>
      </c>
      <c r="K99" s="38">
        <v>0</v>
      </c>
      <c r="L99" s="38">
        <v>0</v>
      </c>
      <c r="M99" s="38">
        <v>0</v>
      </c>
      <c r="N99" s="38">
        <v>0</v>
      </c>
      <c r="O99" s="38">
        <v>0</v>
      </c>
      <c r="P99" s="34"/>
      <c r="Q99" s="36"/>
      <c r="R99" s="37"/>
    </row>
    <row r="100" spans="1:18" ht="116.25" x14ac:dyDescent="0.25">
      <c r="A100" s="32" t="s">
        <v>294</v>
      </c>
      <c r="B100" s="33" t="s">
        <v>295</v>
      </c>
      <c r="C100" s="34" t="s">
        <v>261</v>
      </c>
      <c r="D100" s="34" t="s">
        <v>286</v>
      </c>
      <c r="E100" s="34" t="s">
        <v>287</v>
      </c>
      <c r="F100" s="35">
        <f>SUM(F101:F101)+82873.55</f>
        <v>82873.55</v>
      </c>
      <c r="G100" s="35">
        <f t="shared" ref="G100:L100" si="45">SUM(G101:G101)</f>
        <v>0</v>
      </c>
      <c r="H100" s="35">
        <f t="shared" si="45"/>
        <v>0</v>
      </c>
      <c r="I100" s="35">
        <f t="shared" si="45"/>
        <v>0</v>
      </c>
      <c r="J100" s="35">
        <f t="shared" si="45"/>
        <v>0</v>
      </c>
      <c r="K100" s="35">
        <f t="shared" si="45"/>
        <v>0</v>
      </c>
      <c r="L100" s="35">
        <f t="shared" si="45"/>
        <v>0</v>
      </c>
      <c r="M100" s="35">
        <f>SUM(M101:M101)+82873.55</f>
        <v>82873.55</v>
      </c>
      <c r="N100" s="35">
        <f>SUM(N101:N101)</f>
        <v>0</v>
      </c>
      <c r="O100" s="35">
        <f>SUM(O101:O101)</f>
        <v>0</v>
      </c>
      <c r="P100" s="34" t="s">
        <v>288</v>
      </c>
      <c r="Q100" s="36" t="s">
        <v>36</v>
      </c>
      <c r="R100" s="37" t="s">
        <v>48</v>
      </c>
    </row>
    <row r="101" spans="1:18" ht="46.5" x14ac:dyDescent="0.25">
      <c r="A101" s="32" t="s">
        <v>296</v>
      </c>
      <c r="B101" s="33" t="s">
        <v>290</v>
      </c>
      <c r="C101" s="34"/>
      <c r="D101" s="34"/>
      <c r="E101" s="34"/>
      <c r="F101" s="38">
        <v>0</v>
      </c>
      <c r="G101" s="38">
        <v>0</v>
      </c>
      <c r="H101" s="38">
        <v>0</v>
      </c>
      <c r="I101" s="38">
        <v>0</v>
      </c>
      <c r="J101" s="38">
        <v>0</v>
      </c>
      <c r="K101" s="38">
        <v>0</v>
      </c>
      <c r="L101" s="38">
        <v>0</v>
      </c>
      <c r="M101" s="38">
        <v>0</v>
      </c>
      <c r="N101" s="38">
        <v>0</v>
      </c>
      <c r="O101" s="38">
        <v>0</v>
      </c>
      <c r="P101" s="34"/>
      <c r="Q101" s="36"/>
      <c r="R101" s="37"/>
    </row>
    <row r="102" spans="1:18" ht="93" x14ac:dyDescent="0.25">
      <c r="A102" s="32" t="s">
        <v>297</v>
      </c>
      <c r="B102" s="33" t="s">
        <v>298</v>
      </c>
      <c r="C102" s="34" t="s">
        <v>261</v>
      </c>
      <c r="D102" s="34" t="s">
        <v>286</v>
      </c>
      <c r="E102" s="34" t="s">
        <v>287</v>
      </c>
      <c r="F102" s="35">
        <f t="shared" ref="F102:O102" si="46">SUM(F103:F103)</f>
        <v>0</v>
      </c>
      <c r="G102" s="35">
        <f t="shared" si="46"/>
        <v>0</v>
      </c>
      <c r="H102" s="35">
        <f t="shared" si="46"/>
        <v>0</v>
      </c>
      <c r="I102" s="35">
        <f t="shared" si="46"/>
        <v>0</v>
      </c>
      <c r="J102" s="35">
        <f t="shared" si="46"/>
        <v>0</v>
      </c>
      <c r="K102" s="35">
        <f t="shared" si="46"/>
        <v>0</v>
      </c>
      <c r="L102" s="35">
        <f t="shared" si="46"/>
        <v>0</v>
      </c>
      <c r="M102" s="35">
        <f t="shared" si="46"/>
        <v>0</v>
      </c>
      <c r="N102" s="35">
        <f t="shared" si="46"/>
        <v>0</v>
      </c>
      <c r="O102" s="35">
        <f t="shared" si="46"/>
        <v>0</v>
      </c>
      <c r="P102" s="34" t="s">
        <v>288</v>
      </c>
      <c r="Q102" s="36" t="s">
        <v>36</v>
      </c>
      <c r="R102" s="37" t="s">
        <v>48</v>
      </c>
    </row>
    <row r="103" spans="1:18" ht="46.5" x14ac:dyDescent="0.25">
      <c r="A103" s="32" t="s">
        <v>299</v>
      </c>
      <c r="B103" s="33" t="s">
        <v>290</v>
      </c>
      <c r="C103" s="34"/>
      <c r="D103" s="34"/>
      <c r="E103" s="34"/>
      <c r="F103" s="38">
        <v>0</v>
      </c>
      <c r="G103" s="38">
        <v>0</v>
      </c>
      <c r="H103" s="38">
        <v>0</v>
      </c>
      <c r="I103" s="38">
        <v>0</v>
      </c>
      <c r="J103" s="38">
        <v>0</v>
      </c>
      <c r="K103" s="38">
        <v>0</v>
      </c>
      <c r="L103" s="38">
        <v>0</v>
      </c>
      <c r="M103" s="38">
        <v>0</v>
      </c>
      <c r="N103" s="38">
        <v>0</v>
      </c>
      <c r="O103" s="38">
        <v>0</v>
      </c>
      <c r="P103" s="34"/>
      <c r="Q103" s="36"/>
      <c r="R103" s="37"/>
    </row>
    <row r="104" spans="1:18" ht="139.5" x14ac:dyDescent="0.25">
      <c r="A104" s="32" t="s">
        <v>300</v>
      </c>
      <c r="B104" s="33" t="s">
        <v>301</v>
      </c>
      <c r="C104" s="34" t="s">
        <v>261</v>
      </c>
      <c r="D104" s="34" t="s">
        <v>302</v>
      </c>
      <c r="E104" s="34" t="s">
        <v>287</v>
      </c>
      <c r="F104" s="35">
        <f t="shared" ref="F104:O104" si="47">SUM(F105:F105)</f>
        <v>0</v>
      </c>
      <c r="G104" s="35">
        <f t="shared" si="47"/>
        <v>0</v>
      </c>
      <c r="H104" s="35">
        <f t="shared" si="47"/>
        <v>0</v>
      </c>
      <c r="I104" s="35">
        <f t="shared" si="47"/>
        <v>0</v>
      </c>
      <c r="J104" s="35">
        <f t="shared" si="47"/>
        <v>0</v>
      </c>
      <c r="K104" s="35">
        <f t="shared" si="47"/>
        <v>0</v>
      </c>
      <c r="L104" s="35">
        <f t="shared" si="47"/>
        <v>0</v>
      </c>
      <c r="M104" s="35">
        <f t="shared" si="47"/>
        <v>0</v>
      </c>
      <c r="N104" s="35">
        <f t="shared" si="47"/>
        <v>0</v>
      </c>
      <c r="O104" s="35">
        <f t="shared" si="47"/>
        <v>0</v>
      </c>
      <c r="P104" s="34" t="s">
        <v>303</v>
      </c>
      <c r="Q104" s="36" t="s">
        <v>30</v>
      </c>
      <c r="R104" s="37" t="s">
        <v>168</v>
      </c>
    </row>
    <row r="105" spans="1:18" ht="46.5" x14ac:dyDescent="0.25">
      <c r="A105" s="32" t="s">
        <v>304</v>
      </c>
      <c r="B105" s="33" t="s">
        <v>305</v>
      </c>
      <c r="C105" s="34"/>
      <c r="D105" s="34"/>
      <c r="E105" s="34"/>
      <c r="F105" s="38">
        <v>0</v>
      </c>
      <c r="G105" s="38">
        <v>0</v>
      </c>
      <c r="H105" s="38">
        <v>0</v>
      </c>
      <c r="I105" s="38">
        <v>0</v>
      </c>
      <c r="J105" s="38">
        <v>0</v>
      </c>
      <c r="K105" s="38">
        <v>0</v>
      </c>
      <c r="L105" s="38">
        <v>0</v>
      </c>
      <c r="M105" s="38">
        <v>0</v>
      </c>
      <c r="N105" s="38">
        <v>0</v>
      </c>
      <c r="O105" s="38">
        <v>0</v>
      </c>
      <c r="P105" s="34"/>
      <c r="Q105" s="36"/>
      <c r="R105" s="37"/>
    </row>
    <row r="106" spans="1:18" ht="93" x14ac:dyDescent="0.25">
      <c r="A106" s="32" t="s">
        <v>306</v>
      </c>
      <c r="B106" s="33" t="s">
        <v>307</v>
      </c>
      <c r="C106" s="34" t="s">
        <v>261</v>
      </c>
      <c r="D106" s="34" t="s">
        <v>265</v>
      </c>
      <c r="E106" s="34" t="s">
        <v>236</v>
      </c>
      <c r="F106" s="35">
        <f>SUM(F107:F107)+120000</f>
        <v>120000</v>
      </c>
      <c r="G106" s="35">
        <f>SUM(G107:G107)+120000</f>
        <v>120000</v>
      </c>
      <c r="H106" s="35">
        <f t="shared" ref="H106:O106" si="48">SUM(H107:H107)</f>
        <v>0</v>
      </c>
      <c r="I106" s="35">
        <f t="shared" si="48"/>
        <v>0</v>
      </c>
      <c r="J106" s="35">
        <f t="shared" si="48"/>
        <v>0</v>
      </c>
      <c r="K106" s="35">
        <f t="shared" si="48"/>
        <v>0</v>
      </c>
      <c r="L106" s="35">
        <f t="shared" si="48"/>
        <v>0</v>
      </c>
      <c r="M106" s="35">
        <f t="shared" si="48"/>
        <v>0</v>
      </c>
      <c r="N106" s="35">
        <f t="shared" si="48"/>
        <v>0</v>
      </c>
      <c r="O106" s="35">
        <f t="shared" si="48"/>
        <v>0</v>
      </c>
      <c r="P106" s="34" t="s">
        <v>308</v>
      </c>
      <c r="Q106" s="36" t="s">
        <v>36</v>
      </c>
      <c r="R106" s="37" t="s">
        <v>48</v>
      </c>
    </row>
    <row r="107" spans="1:18" ht="46.5" x14ac:dyDescent="0.25">
      <c r="A107" s="32" t="s">
        <v>309</v>
      </c>
      <c r="B107" s="33" t="s">
        <v>310</v>
      </c>
      <c r="C107" s="34"/>
      <c r="D107" s="34"/>
      <c r="E107" s="34"/>
      <c r="F107" s="38">
        <v>0</v>
      </c>
      <c r="G107" s="38">
        <v>0</v>
      </c>
      <c r="H107" s="38">
        <v>0</v>
      </c>
      <c r="I107" s="38">
        <v>0</v>
      </c>
      <c r="J107" s="38">
        <v>0</v>
      </c>
      <c r="K107" s="38">
        <v>0</v>
      </c>
      <c r="L107" s="38">
        <v>0</v>
      </c>
      <c r="M107" s="38">
        <v>0</v>
      </c>
      <c r="N107" s="38">
        <v>0</v>
      </c>
      <c r="O107" s="38">
        <v>0</v>
      </c>
      <c r="P107" s="34"/>
      <c r="Q107" s="36"/>
      <c r="R107" s="37"/>
    </row>
    <row r="108" spans="1:18" ht="93" x14ac:dyDescent="0.25">
      <c r="A108" s="32" t="s">
        <v>311</v>
      </c>
      <c r="B108" s="33" t="s">
        <v>312</v>
      </c>
      <c r="C108" s="34" t="s">
        <v>313</v>
      </c>
      <c r="D108" s="34" t="s">
        <v>265</v>
      </c>
      <c r="E108" s="34"/>
      <c r="F108" s="35">
        <f t="shared" ref="F108:O108" si="49">SUM(F109:F109)</f>
        <v>0</v>
      </c>
      <c r="G108" s="35">
        <f t="shared" si="49"/>
        <v>0</v>
      </c>
      <c r="H108" s="35">
        <f t="shared" si="49"/>
        <v>0</v>
      </c>
      <c r="I108" s="35">
        <f t="shared" si="49"/>
        <v>0</v>
      </c>
      <c r="J108" s="35">
        <f t="shared" si="49"/>
        <v>0</v>
      </c>
      <c r="K108" s="35">
        <f t="shared" si="49"/>
        <v>0</v>
      </c>
      <c r="L108" s="35">
        <f t="shared" si="49"/>
        <v>0</v>
      </c>
      <c r="M108" s="35">
        <f t="shared" si="49"/>
        <v>0</v>
      </c>
      <c r="N108" s="35">
        <f t="shared" si="49"/>
        <v>0</v>
      </c>
      <c r="O108" s="35">
        <f t="shared" si="49"/>
        <v>0</v>
      </c>
      <c r="P108" s="34" t="s">
        <v>314</v>
      </c>
      <c r="Q108" s="36" t="s">
        <v>36</v>
      </c>
      <c r="R108" s="37" t="s">
        <v>48</v>
      </c>
    </row>
    <row r="109" spans="1:18" ht="46.5" x14ac:dyDescent="0.25">
      <c r="A109" s="32" t="s">
        <v>315</v>
      </c>
      <c r="B109" s="33" t="s">
        <v>316</v>
      </c>
      <c r="C109" s="34"/>
      <c r="D109" s="34"/>
      <c r="E109" s="34"/>
      <c r="F109" s="38">
        <v>0</v>
      </c>
      <c r="G109" s="38">
        <v>0</v>
      </c>
      <c r="H109" s="38">
        <v>0</v>
      </c>
      <c r="I109" s="38">
        <v>0</v>
      </c>
      <c r="J109" s="38">
        <v>0</v>
      </c>
      <c r="K109" s="38">
        <v>0</v>
      </c>
      <c r="L109" s="38">
        <v>0</v>
      </c>
      <c r="M109" s="38">
        <v>0</v>
      </c>
      <c r="N109" s="38">
        <v>0</v>
      </c>
      <c r="O109" s="38">
        <v>0</v>
      </c>
      <c r="P109" s="34"/>
      <c r="Q109" s="36"/>
      <c r="R109" s="37"/>
    </row>
    <row r="110" spans="1:18" ht="45" x14ac:dyDescent="0.25">
      <c r="A110" s="26" t="s">
        <v>317</v>
      </c>
      <c r="B110" s="27" t="s">
        <v>318</v>
      </c>
      <c r="C110" s="28" t="s">
        <v>319</v>
      </c>
      <c r="D110" s="28" t="s">
        <v>320</v>
      </c>
      <c r="E110" s="28" t="s">
        <v>34</v>
      </c>
      <c r="F110" s="29">
        <f t="shared" ref="F110:O110" si="50">F111+F113+F115</f>
        <v>96858</v>
      </c>
      <c r="G110" s="29">
        <f t="shared" si="50"/>
        <v>96858</v>
      </c>
      <c r="H110" s="29">
        <f t="shared" si="50"/>
        <v>0</v>
      </c>
      <c r="I110" s="29">
        <f t="shared" si="50"/>
        <v>0</v>
      </c>
      <c r="J110" s="29">
        <f t="shared" si="50"/>
        <v>0</v>
      </c>
      <c r="K110" s="29">
        <f t="shared" si="50"/>
        <v>0</v>
      </c>
      <c r="L110" s="29">
        <f t="shared" si="50"/>
        <v>0</v>
      </c>
      <c r="M110" s="29">
        <f t="shared" si="50"/>
        <v>0</v>
      </c>
      <c r="N110" s="29">
        <f t="shared" si="50"/>
        <v>0</v>
      </c>
      <c r="O110" s="29">
        <f t="shared" si="50"/>
        <v>0</v>
      </c>
      <c r="P110" s="28" t="s">
        <v>321</v>
      </c>
      <c r="Q110" s="30" t="s">
        <v>36</v>
      </c>
      <c r="R110" s="31" t="s">
        <v>62</v>
      </c>
    </row>
    <row r="111" spans="1:18" ht="46.5" x14ac:dyDescent="0.25">
      <c r="A111" s="32" t="s">
        <v>322</v>
      </c>
      <c r="B111" s="33" t="s">
        <v>323</v>
      </c>
      <c r="C111" s="34" t="s">
        <v>319</v>
      </c>
      <c r="D111" s="34" t="s">
        <v>320</v>
      </c>
      <c r="E111" s="34" t="s">
        <v>41</v>
      </c>
      <c r="F111" s="35">
        <f>SUM(F112:F112)+80000</f>
        <v>80000</v>
      </c>
      <c r="G111" s="35">
        <f>SUM(G112:G112)+80000</f>
        <v>80000</v>
      </c>
      <c r="H111" s="35">
        <f t="shared" ref="H111:O111" si="51">SUM(H112:H112)</f>
        <v>0</v>
      </c>
      <c r="I111" s="35">
        <f t="shared" si="51"/>
        <v>0</v>
      </c>
      <c r="J111" s="35">
        <f t="shared" si="51"/>
        <v>0</v>
      </c>
      <c r="K111" s="35">
        <f t="shared" si="51"/>
        <v>0</v>
      </c>
      <c r="L111" s="35">
        <f t="shared" si="51"/>
        <v>0</v>
      </c>
      <c r="M111" s="35">
        <f t="shared" si="51"/>
        <v>0</v>
      </c>
      <c r="N111" s="35">
        <f t="shared" si="51"/>
        <v>0</v>
      </c>
      <c r="O111" s="35">
        <f t="shared" si="51"/>
        <v>0</v>
      </c>
      <c r="P111" s="34" t="s">
        <v>324</v>
      </c>
      <c r="Q111" s="36" t="s">
        <v>36</v>
      </c>
      <c r="R111" s="37" t="s">
        <v>37</v>
      </c>
    </row>
    <row r="112" spans="1:18" ht="46.5" x14ac:dyDescent="0.25">
      <c r="A112" s="32" t="s">
        <v>325</v>
      </c>
      <c r="B112" s="33" t="s">
        <v>326</v>
      </c>
      <c r="C112" s="34"/>
      <c r="D112" s="34"/>
      <c r="E112" s="34"/>
      <c r="F112" s="38">
        <v>0</v>
      </c>
      <c r="G112" s="38">
        <v>0</v>
      </c>
      <c r="H112" s="38">
        <v>0</v>
      </c>
      <c r="I112" s="38">
        <v>0</v>
      </c>
      <c r="J112" s="38">
        <v>0</v>
      </c>
      <c r="K112" s="38">
        <v>0</v>
      </c>
      <c r="L112" s="38">
        <v>0</v>
      </c>
      <c r="M112" s="38">
        <v>0</v>
      </c>
      <c r="N112" s="38">
        <v>0</v>
      </c>
      <c r="O112" s="38">
        <v>0</v>
      </c>
      <c r="P112" s="34"/>
      <c r="Q112" s="36"/>
      <c r="R112" s="37"/>
    </row>
    <row r="113" spans="1:18" ht="93" x14ac:dyDescent="0.25">
      <c r="A113" s="32" t="s">
        <v>327</v>
      </c>
      <c r="B113" s="33" t="s">
        <v>328</v>
      </c>
      <c r="C113" s="34" t="s">
        <v>319</v>
      </c>
      <c r="D113" s="34" t="s">
        <v>320</v>
      </c>
      <c r="E113" s="34" t="s">
        <v>41</v>
      </c>
      <c r="F113" s="35">
        <f>SUM(F114:F114)+5000</f>
        <v>5000</v>
      </c>
      <c r="G113" s="35">
        <f>SUM(G114:G114)+5000</f>
        <v>5000</v>
      </c>
      <c r="H113" s="35">
        <f t="shared" ref="H113:O113" si="52">SUM(H114:H114)</f>
        <v>0</v>
      </c>
      <c r="I113" s="35">
        <f t="shared" si="52"/>
        <v>0</v>
      </c>
      <c r="J113" s="35">
        <f t="shared" si="52"/>
        <v>0</v>
      </c>
      <c r="K113" s="35">
        <f t="shared" si="52"/>
        <v>0</v>
      </c>
      <c r="L113" s="35">
        <f t="shared" si="52"/>
        <v>0</v>
      </c>
      <c r="M113" s="35">
        <f t="shared" si="52"/>
        <v>0</v>
      </c>
      <c r="N113" s="35">
        <f t="shared" si="52"/>
        <v>0</v>
      </c>
      <c r="O113" s="35">
        <f t="shared" si="52"/>
        <v>0</v>
      </c>
      <c r="P113" s="34" t="s">
        <v>329</v>
      </c>
      <c r="Q113" s="36" t="s">
        <v>36</v>
      </c>
      <c r="R113" s="37" t="s">
        <v>48</v>
      </c>
    </row>
    <row r="114" spans="1:18" ht="46.5" x14ac:dyDescent="0.25">
      <c r="A114" s="32" t="s">
        <v>330</v>
      </c>
      <c r="B114" s="33" t="s">
        <v>331</v>
      </c>
      <c r="C114" s="34"/>
      <c r="D114" s="34"/>
      <c r="E114" s="34"/>
      <c r="F114" s="38">
        <v>0</v>
      </c>
      <c r="G114" s="38">
        <v>0</v>
      </c>
      <c r="H114" s="38">
        <v>0</v>
      </c>
      <c r="I114" s="38">
        <v>0</v>
      </c>
      <c r="J114" s="38">
        <v>0</v>
      </c>
      <c r="K114" s="38">
        <v>0</v>
      </c>
      <c r="L114" s="38">
        <v>0</v>
      </c>
      <c r="M114" s="38">
        <v>0</v>
      </c>
      <c r="N114" s="38">
        <v>0</v>
      </c>
      <c r="O114" s="38">
        <v>0</v>
      </c>
      <c r="P114" s="34"/>
      <c r="Q114" s="36"/>
      <c r="R114" s="37"/>
    </row>
    <row r="115" spans="1:18" ht="139.5" x14ac:dyDescent="0.25">
      <c r="A115" s="32" t="s">
        <v>332</v>
      </c>
      <c r="B115" s="33" t="s">
        <v>333</v>
      </c>
      <c r="C115" s="34" t="s">
        <v>319</v>
      </c>
      <c r="D115" s="34" t="s">
        <v>320</v>
      </c>
      <c r="E115" s="34" t="s">
        <v>41</v>
      </c>
      <c r="F115" s="35">
        <f>SUM(F116:F116)+11858</f>
        <v>11858</v>
      </c>
      <c r="G115" s="35">
        <f>SUM(G116:G116)+11858</f>
        <v>11858</v>
      </c>
      <c r="H115" s="35">
        <f t="shared" ref="H115:O115" si="53">SUM(H116:H116)</f>
        <v>0</v>
      </c>
      <c r="I115" s="35">
        <f t="shared" si="53"/>
        <v>0</v>
      </c>
      <c r="J115" s="35">
        <f t="shared" si="53"/>
        <v>0</v>
      </c>
      <c r="K115" s="35">
        <f t="shared" si="53"/>
        <v>0</v>
      </c>
      <c r="L115" s="35">
        <f t="shared" si="53"/>
        <v>0</v>
      </c>
      <c r="M115" s="35">
        <f t="shared" si="53"/>
        <v>0</v>
      </c>
      <c r="N115" s="35">
        <f t="shared" si="53"/>
        <v>0</v>
      </c>
      <c r="O115" s="35">
        <f t="shared" si="53"/>
        <v>0</v>
      </c>
      <c r="P115" s="34" t="s">
        <v>334</v>
      </c>
      <c r="Q115" s="36" t="s">
        <v>36</v>
      </c>
      <c r="R115" s="37" t="s">
        <v>186</v>
      </c>
    </row>
    <row r="116" spans="1:18" ht="46.5" x14ac:dyDescent="0.25">
      <c r="A116" s="32" t="s">
        <v>335</v>
      </c>
      <c r="B116" s="33" t="s">
        <v>336</v>
      </c>
      <c r="C116" s="34"/>
      <c r="D116" s="34"/>
      <c r="E116" s="34"/>
      <c r="F116" s="38">
        <v>0</v>
      </c>
      <c r="G116" s="38">
        <v>0</v>
      </c>
      <c r="H116" s="38">
        <v>0</v>
      </c>
      <c r="I116" s="38">
        <v>0</v>
      </c>
      <c r="J116" s="38">
        <v>0</v>
      </c>
      <c r="K116" s="38">
        <v>0</v>
      </c>
      <c r="L116" s="38">
        <v>0</v>
      </c>
      <c r="M116" s="38">
        <v>0</v>
      </c>
      <c r="N116" s="38">
        <v>0</v>
      </c>
      <c r="O116" s="38">
        <v>0</v>
      </c>
      <c r="P116" s="34"/>
      <c r="Q116" s="36"/>
      <c r="R116" s="37"/>
    </row>
    <row r="117" spans="1:18" ht="90" x14ac:dyDescent="0.25">
      <c r="A117" s="20" t="s">
        <v>337</v>
      </c>
      <c r="B117" s="21" t="s">
        <v>338</v>
      </c>
      <c r="C117" s="22" t="s">
        <v>261</v>
      </c>
      <c r="D117" s="22" t="s">
        <v>265</v>
      </c>
      <c r="E117" s="22"/>
      <c r="F117" s="23">
        <f t="shared" ref="F117:O118" si="54">SUM(F118:F118)</f>
        <v>50000</v>
      </c>
      <c r="G117" s="23">
        <f t="shared" si="54"/>
        <v>50000</v>
      </c>
      <c r="H117" s="23">
        <f t="shared" si="54"/>
        <v>0</v>
      </c>
      <c r="I117" s="23">
        <f t="shared" si="54"/>
        <v>0</v>
      </c>
      <c r="J117" s="23">
        <f t="shared" si="54"/>
        <v>0</v>
      </c>
      <c r="K117" s="23">
        <f t="shared" si="54"/>
        <v>0</v>
      </c>
      <c r="L117" s="23">
        <f t="shared" si="54"/>
        <v>0</v>
      </c>
      <c r="M117" s="23">
        <f t="shared" si="54"/>
        <v>0</v>
      </c>
      <c r="N117" s="23">
        <f t="shared" si="54"/>
        <v>0</v>
      </c>
      <c r="O117" s="23">
        <f t="shared" si="54"/>
        <v>0</v>
      </c>
      <c r="P117" s="22" t="s">
        <v>339</v>
      </c>
      <c r="Q117" s="24" t="s">
        <v>30</v>
      </c>
      <c r="R117" s="25" t="s">
        <v>168</v>
      </c>
    </row>
    <row r="118" spans="1:18" ht="45" x14ac:dyDescent="0.25">
      <c r="A118" s="26" t="s">
        <v>340</v>
      </c>
      <c r="B118" s="27" t="s">
        <v>341</v>
      </c>
      <c r="C118" s="28" t="s">
        <v>261</v>
      </c>
      <c r="D118" s="28" t="s">
        <v>265</v>
      </c>
      <c r="E118" s="28" t="s">
        <v>34</v>
      </c>
      <c r="F118" s="29">
        <f t="shared" si="54"/>
        <v>50000</v>
      </c>
      <c r="G118" s="29">
        <f t="shared" si="54"/>
        <v>50000</v>
      </c>
      <c r="H118" s="29">
        <f t="shared" si="54"/>
        <v>0</v>
      </c>
      <c r="I118" s="29">
        <f t="shared" si="54"/>
        <v>0</v>
      </c>
      <c r="J118" s="29">
        <f t="shared" si="54"/>
        <v>0</v>
      </c>
      <c r="K118" s="29">
        <f t="shared" si="54"/>
        <v>0</v>
      </c>
      <c r="L118" s="29">
        <f t="shared" si="54"/>
        <v>0</v>
      </c>
      <c r="M118" s="29">
        <f t="shared" si="54"/>
        <v>0</v>
      </c>
      <c r="N118" s="29">
        <f t="shared" si="54"/>
        <v>0</v>
      </c>
      <c r="O118" s="29">
        <f t="shared" si="54"/>
        <v>0</v>
      </c>
      <c r="P118" s="28" t="s">
        <v>342</v>
      </c>
      <c r="Q118" s="30" t="s">
        <v>36</v>
      </c>
      <c r="R118" s="31" t="s">
        <v>48</v>
      </c>
    </row>
    <row r="119" spans="1:18" ht="69.75" x14ac:dyDescent="0.25">
      <c r="A119" s="32" t="s">
        <v>343</v>
      </c>
      <c r="B119" s="33" t="s">
        <v>344</v>
      </c>
      <c r="C119" s="34" t="s">
        <v>261</v>
      </c>
      <c r="D119" s="34" t="s">
        <v>302</v>
      </c>
      <c r="E119" s="34" t="s">
        <v>345</v>
      </c>
      <c r="F119" s="35">
        <f>SUM(F120:F120)+50000</f>
        <v>50000</v>
      </c>
      <c r="G119" s="35">
        <f>SUM(G120:G120)+50000</f>
        <v>50000</v>
      </c>
      <c r="H119" s="35">
        <f t="shared" ref="H119:O119" si="55">SUM(H120:H120)</f>
        <v>0</v>
      </c>
      <c r="I119" s="35">
        <f t="shared" si="55"/>
        <v>0</v>
      </c>
      <c r="J119" s="35">
        <f t="shared" si="55"/>
        <v>0</v>
      </c>
      <c r="K119" s="35">
        <f t="shared" si="55"/>
        <v>0</v>
      </c>
      <c r="L119" s="35">
        <f t="shared" si="55"/>
        <v>0</v>
      </c>
      <c r="M119" s="35">
        <f t="shared" si="55"/>
        <v>0</v>
      </c>
      <c r="N119" s="35">
        <f t="shared" si="55"/>
        <v>0</v>
      </c>
      <c r="O119" s="35">
        <f t="shared" si="55"/>
        <v>0</v>
      </c>
      <c r="P119" s="34" t="s">
        <v>346</v>
      </c>
      <c r="Q119" s="36" t="s">
        <v>36</v>
      </c>
      <c r="R119" s="37" t="s">
        <v>48</v>
      </c>
    </row>
    <row r="120" spans="1:18" ht="69.75" x14ac:dyDescent="0.25">
      <c r="A120" s="32" t="s">
        <v>347</v>
      </c>
      <c r="B120" s="33" t="s">
        <v>348</v>
      </c>
      <c r="C120" s="34"/>
      <c r="D120" s="34"/>
      <c r="E120" s="34"/>
      <c r="F120" s="38">
        <v>0</v>
      </c>
      <c r="G120" s="38">
        <v>0</v>
      </c>
      <c r="H120" s="38">
        <v>0</v>
      </c>
      <c r="I120" s="38">
        <v>0</v>
      </c>
      <c r="J120" s="38">
        <v>0</v>
      </c>
      <c r="K120" s="38">
        <v>0</v>
      </c>
      <c r="L120" s="38">
        <v>0</v>
      </c>
      <c r="M120" s="38">
        <v>0</v>
      </c>
      <c r="N120" s="38">
        <v>0</v>
      </c>
      <c r="O120" s="38">
        <v>0</v>
      </c>
      <c r="P120" s="34"/>
      <c r="Q120" s="36"/>
      <c r="R120" s="37"/>
    </row>
    <row r="121" spans="1:18" ht="45" x14ac:dyDescent="0.25">
      <c r="A121" s="20" t="s">
        <v>349</v>
      </c>
      <c r="B121" s="21" t="s">
        <v>350</v>
      </c>
      <c r="C121" s="22" t="s">
        <v>261</v>
      </c>
      <c r="D121" s="22" t="s">
        <v>265</v>
      </c>
      <c r="E121" s="22"/>
      <c r="F121" s="23">
        <f t="shared" ref="F121:O122" si="56">SUM(F122:F122)</f>
        <v>156105.92000000001</v>
      </c>
      <c r="G121" s="23">
        <f t="shared" si="56"/>
        <v>2000</v>
      </c>
      <c r="H121" s="23">
        <f t="shared" si="56"/>
        <v>0</v>
      </c>
      <c r="I121" s="23">
        <f t="shared" si="56"/>
        <v>0</v>
      </c>
      <c r="J121" s="23">
        <f t="shared" si="56"/>
        <v>0</v>
      </c>
      <c r="K121" s="23">
        <f t="shared" si="56"/>
        <v>0</v>
      </c>
      <c r="L121" s="23">
        <f t="shared" si="56"/>
        <v>154105.92000000001</v>
      </c>
      <c r="M121" s="23">
        <f t="shared" si="56"/>
        <v>0</v>
      </c>
      <c r="N121" s="23">
        <f t="shared" si="56"/>
        <v>0</v>
      </c>
      <c r="O121" s="23">
        <f t="shared" si="56"/>
        <v>0</v>
      </c>
      <c r="P121" s="22" t="s">
        <v>351</v>
      </c>
      <c r="Q121" s="24" t="s">
        <v>30</v>
      </c>
      <c r="R121" s="25" t="s">
        <v>352</v>
      </c>
    </row>
    <row r="122" spans="1:18" ht="90" x14ac:dyDescent="0.25">
      <c r="A122" s="26" t="s">
        <v>353</v>
      </c>
      <c r="B122" s="27" t="s">
        <v>354</v>
      </c>
      <c r="C122" s="28" t="s">
        <v>261</v>
      </c>
      <c r="D122" s="28" t="s">
        <v>265</v>
      </c>
      <c r="E122" s="28" t="s">
        <v>34</v>
      </c>
      <c r="F122" s="29">
        <f t="shared" si="56"/>
        <v>156105.92000000001</v>
      </c>
      <c r="G122" s="29">
        <f t="shared" si="56"/>
        <v>2000</v>
      </c>
      <c r="H122" s="29">
        <f t="shared" si="56"/>
        <v>0</v>
      </c>
      <c r="I122" s="29">
        <f t="shared" si="56"/>
        <v>0</v>
      </c>
      <c r="J122" s="29">
        <f t="shared" si="56"/>
        <v>0</v>
      </c>
      <c r="K122" s="29">
        <f t="shared" si="56"/>
        <v>0</v>
      </c>
      <c r="L122" s="29">
        <f t="shared" si="56"/>
        <v>154105.92000000001</v>
      </c>
      <c r="M122" s="29">
        <f t="shared" si="56"/>
        <v>0</v>
      </c>
      <c r="N122" s="29">
        <f t="shared" si="56"/>
        <v>0</v>
      </c>
      <c r="O122" s="29">
        <f t="shared" si="56"/>
        <v>0</v>
      </c>
      <c r="P122" s="28" t="s">
        <v>355</v>
      </c>
      <c r="Q122" s="30" t="s">
        <v>356</v>
      </c>
      <c r="R122" s="31" t="s">
        <v>357</v>
      </c>
    </row>
    <row r="123" spans="1:18" ht="93" x14ac:dyDescent="0.25">
      <c r="A123" s="32" t="s">
        <v>358</v>
      </c>
      <c r="B123" s="33" t="s">
        <v>359</v>
      </c>
      <c r="C123" s="34" t="s">
        <v>261</v>
      </c>
      <c r="D123" s="34" t="s">
        <v>286</v>
      </c>
      <c r="E123" s="34" t="s">
        <v>41</v>
      </c>
      <c r="F123" s="35">
        <f>SUM(F124:F124)+156105.92</f>
        <v>156105.92000000001</v>
      </c>
      <c r="G123" s="35">
        <f>SUM(G124:G124)+2000</f>
        <v>2000</v>
      </c>
      <c r="H123" s="35">
        <f>SUM(H124:H124)</f>
        <v>0</v>
      </c>
      <c r="I123" s="35">
        <f>SUM(I124:I124)</f>
        <v>0</v>
      </c>
      <c r="J123" s="35">
        <f>SUM(J124:J124)</f>
        <v>0</v>
      </c>
      <c r="K123" s="35">
        <f>SUM(K124:K124)</f>
        <v>0</v>
      </c>
      <c r="L123" s="35">
        <f>SUM(L124:L124)+154105.92</f>
        <v>154105.92000000001</v>
      </c>
      <c r="M123" s="35">
        <f>SUM(M124:M124)</f>
        <v>0</v>
      </c>
      <c r="N123" s="35">
        <f>SUM(N124:N124)</f>
        <v>0</v>
      </c>
      <c r="O123" s="35">
        <f>SUM(O124:O124)</f>
        <v>0</v>
      </c>
      <c r="P123" s="34" t="s">
        <v>303</v>
      </c>
      <c r="Q123" s="36" t="s">
        <v>30</v>
      </c>
      <c r="R123" s="37" t="s">
        <v>31</v>
      </c>
    </row>
    <row r="124" spans="1:18" ht="46.5" x14ac:dyDescent="0.25">
      <c r="A124" s="32" t="s">
        <v>360</v>
      </c>
      <c r="B124" s="33" t="s">
        <v>361</v>
      </c>
      <c r="C124" s="34"/>
      <c r="D124" s="34"/>
      <c r="E124" s="34"/>
      <c r="F124" s="38">
        <v>0</v>
      </c>
      <c r="G124" s="38">
        <v>0</v>
      </c>
      <c r="H124" s="38">
        <v>0</v>
      </c>
      <c r="I124" s="38">
        <v>0</v>
      </c>
      <c r="J124" s="38">
        <v>0</v>
      </c>
      <c r="K124" s="38">
        <v>0</v>
      </c>
      <c r="L124" s="38">
        <v>0</v>
      </c>
      <c r="M124" s="38">
        <v>0</v>
      </c>
      <c r="N124" s="38">
        <v>0</v>
      </c>
      <c r="O124" s="38">
        <v>0</v>
      </c>
      <c r="P124" s="34"/>
      <c r="Q124" s="36"/>
      <c r="R124" s="37"/>
    </row>
    <row r="125" spans="1:18" ht="67.5" x14ac:dyDescent="0.25">
      <c r="A125" s="20" t="s">
        <v>362</v>
      </c>
      <c r="B125" s="21" t="s">
        <v>363</v>
      </c>
      <c r="C125" s="22" t="s">
        <v>364</v>
      </c>
      <c r="D125" s="22" t="s">
        <v>365</v>
      </c>
      <c r="E125" s="22"/>
      <c r="F125" s="23">
        <f t="shared" ref="F125:O125" si="57">SUM(F126:F126)</f>
        <v>39292</v>
      </c>
      <c r="G125" s="23">
        <f t="shared" si="57"/>
        <v>21500</v>
      </c>
      <c r="H125" s="23">
        <f t="shared" si="57"/>
        <v>0</v>
      </c>
      <c r="I125" s="23">
        <f t="shared" si="57"/>
        <v>0</v>
      </c>
      <c r="J125" s="23">
        <f t="shared" si="57"/>
        <v>0</v>
      </c>
      <c r="K125" s="23">
        <f t="shared" si="57"/>
        <v>0</v>
      </c>
      <c r="L125" s="23">
        <f t="shared" si="57"/>
        <v>15122</v>
      </c>
      <c r="M125" s="23">
        <f t="shared" si="57"/>
        <v>2670</v>
      </c>
      <c r="N125" s="23">
        <f t="shared" si="57"/>
        <v>0</v>
      </c>
      <c r="O125" s="23">
        <f t="shared" si="57"/>
        <v>0</v>
      </c>
      <c r="P125" s="22" t="s">
        <v>366</v>
      </c>
      <c r="Q125" s="24" t="s">
        <v>30</v>
      </c>
      <c r="R125" s="25" t="s">
        <v>72</v>
      </c>
    </row>
    <row r="126" spans="1:18" ht="90" x14ac:dyDescent="0.25">
      <c r="A126" s="26" t="s">
        <v>367</v>
      </c>
      <c r="B126" s="27" t="s">
        <v>368</v>
      </c>
      <c r="C126" s="28" t="s">
        <v>364</v>
      </c>
      <c r="D126" s="28" t="s">
        <v>365</v>
      </c>
      <c r="E126" s="28" t="s">
        <v>34</v>
      </c>
      <c r="F126" s="29">
        <f t="shared" ref="F126:O126" si="58">F127+F128+F130+F132+F134+F136+F140</f>
        <v>39292</v>
      </c>
      <c r="G126" s="29">
        <f t="shared" si="58"/>
        <v>21500</v>
      </c>
      <c r="H126" s="29">
        <f t="shared" si="58"/>
        <v>0</v>
      </c>
      <c r="I126" s="29">
        <f t="shared" si="58"/>
        <v>0</v>
      </c>
      <c r="J126" s="29">
        <f t="shared" si="58"/>
        <v>0</v>
      </c>
      <c r="K126" s="29">
        <f t="shared" si="58"/>
        <v>0</v>
      </c>
      <c r="L126" s="29">
        <f t="shared" si="58"/>
        <v>15122</v>
      </c>
      <c r="M126" s="29">
        <f t="shared" si="58"/>
        <v>2670</v>
      </c>
      <c r="N126" s="29">
        <f t="shared" si="58"/>
        <v>0</v>
      </c>
      <c r="O126" s="29">
        <f t="shared" si="58"/>
        <v>0</v>
      </c>
      <c r="P126" s="28" t="s">
        <v>369</v>
      </c>
      <c r="Q126" s="30" t="s">
        <v>36</v>
      </c>
      <c r="R126" s="31" t="s">
        <v>251</v>
      </c>
    </row>
    <row r="127" spans="1:18" ht="46.5" x14ac:dyDescent="0.25">
      <c r="A127" s="39"/>
      <c r="B127" s="40"/>
      <c r="C127" s="41"/>
      <c r="D127" s="41"/>
      <c r="E127" s="41"/>
      <c r="F127" s="42">
        <v>0</v>
      </c>
      <c r="G127" s="42">
        <v>0</v>
      </c>
      <c r="H127" s="42">
        <v>0</v>
      </c>
      <c r="I127" s="42">
        <v>0</v>
      </c>
      <c r="J127" s="42">
        <v>0</v>
      </c>
      <c r="K127" s="42">
        <v>0</v>
      </c>
      <c r="L127" s="42">
        <v>0</v>
      </c>
      <c r="M127" s="42">
        <v>0</v>
      </c>
      <c r="N127" s="42">
        <v>0</v>
      </c>
      <c r="O127" s="42">
        <v>0</v>
      </c>
      <c r="P127" s="41" t="s">
        <v>370</v>
      </c>
      <c r="Q127" s="43" t="s">
        <v>36</v>
      </c>
      <c r="R127" s="44" t="s">
        <v>371</v>
      </c>
    </row>
    <row r="128" spans="1:18" ht="139.5" x14ac:dyDescent="0.25">
      <c r="A128" s="32" t="s">
        <v>372</v>
      </c>
      <c r="B128" s="33" t="s">
        <v>373</v>
      </c>
      <c r="C128" s="34" t="s">
        <v>364</v>
      </c>
      <c r="D128" s="34" t="s">
        <v>374</v>
      </c>
      <c r="E128" s="34" t="s">
        <v>41</v>
      </c>
      <c r="F128" s="35">
        <f t="shared" ref="F128:O128" si="59">SUM(F129:F129)</f>
        <v>0</v>
      </c>
      <c r="G128" s="35">
        <f t="shared" si="59"/>
        <v>0</v>
      </c>
      <c r="H128" s="35">
        <f t="shared" si="59"/>
        <v>0</v>
      </c>
      <c r="I128" s="35">
        <f t="shared" si="59"/>
        <v>0</v>
      </c>
      <c r="J128" s="35">
        <f t="shared" si="59"/>
        <v>0</v>
      </c>
      <c r="K128" s="35">
        <f t="shared" si="59"/>
        <v>0</v>
      </c>
      <c r="L128" s="35">
        <f t="shared" si="59"/>
        <v>0</v>
      </c>
      <c r="M128" s="35">
        <f t="shared" si="59"/>
        <v>0</v>
      </c>
      <c r="N128" s="35">
        <f t="shared" si="59"/>
        <v>0</v>
      </c>
      <c r="O128" s="35">
        <f t="shared" si="59"/>
        <v>0</v>
      </c>
      <c r="P128" s="34" t="s">
        <v>375</v>
      </c>
      <c r="Q128" s="36" t="s">
        <v>356</v>
      </c>
      <c r="R128" s="37" t="s">
        <v>376</v>
      </c>
    </row>
    <row r="129" spans="1:18" ht="139.5" x14ac:dyDescent="0.25">
      <c r="A129" s="32" t="s">
        <v>377</v>
      </c>
      <c r="B129" s="33" t="s">
        <v>378</v>
      </c>
      <c r="C129" s="34"/>
      <c r="D129" s="34"/>
      <c r="E129" s="34"/>
      <c r="F129" s="38">
        <v>0</v>
      </c>
      <c r="G129" s="38">
        <v>0</v>
      </c>
      <c r="H129" s="38">
        <v>0</v>
      </c>
      <c r="I129" s="38">
        <v>0</v>
      </c>
      <c r="J129" s="38">
        <v>0</v>
      </c>
      <c r="K129" s="38">
        <v>0</v>
      </c>
      <c r="L129" s="38">
        <v>0</v>
      </c>
      <c r="M129" s="38">
        <v>0</v>
      </c>
      <c r="N129" s="38">
        <v>0</v>
      </c>
      <c r="O129" s="38">
        <v>0</v>
      </c>
      <c r="P129" s="34"/>
      <c r="Q129" s="36"/>
      <c r="R129" s="37"/>
    </row>
    <row r="130" spans="1:18" ht="116.25" x14ac:dyDescent="0.25">
      <c r="A130" s="32" t="s">
        <v>379</v>
      </c>
      <c r="B130" s="33" t="s">
        <v>380</v>
      </c>
      <c r="C130" s="34" t="s">
        <v>364</v>
      </c>
      <c r="D130" s="34" t="s">
        <v>374</v>
      </c>
      <c r="E130" s="34" t="s">
        <v>41</v>
      </c>
      <c r="F130" s="35">
        <f t="shared" ref="F130:O130" si="60">SUM(F131:F131)</f>
        <v>0</v>
      </c>
      <c r="G130" s="35">
        <f t="shared" si="60"/>
        <v>0</v>
      </c>
      <c r="H130" s="35">
        <f t="shared" si="60"/>
        <v>0</v>
      </c>
      <c r="I130" s="35">
        <f t="shared" si="60"/>
        <v>0</v>
      </c>
      <c r="J130" s="35">
        <f t="shared" si="60"/>
        <v>0</v>
      </c>
      <c r="K130" s="35">
        <f t="shared" si="60"/>
        <v>0</v>
      </c>
      <c r="L130" s="35">
        <f t="shared" si="60"/>
        <v>0</v>
      </c>
      <c r="M130" s="35">
        <f t="shared" si="60"/>
        <v>0</v>
      </c>
      <c r="N130" s="35">
        <f t="shared" si="60"/>
        <v>0</v>
      </c>
      <c r="O130" s="35">
        <f t="shared" si="60"/>
        <v>0</v>
      </c>
      <c r="P130" s="34" t="s">
        <v>375</v>
      </c>
      <c r="Q130" s="36" t="s">
        <v>356</v>
      </c>
      <c r="R130" s="37" t="s">
        <v>381</v>
      </c>
    </row>
    <row r="131" spans="1:18" ht="139.5" x14ac:dyDescent="0.25">
      <c r="A131" s="32" t="s">
        <v>382</v>
      </c>
      <c r="B131" s="33" t="s">
        <v>383</v>
      </c>
      <c r="C131" s="34"/>
      <c r="D131" s="34"/>
      <c r="E131" s="34"/>
      <c r="F131" s="38">
        <v>0</v>
      </c>
      <c r="G131" s="38">
        <v>0</v>
      </c>
      <c r="H131" s="38">
        <v>0</v>
      </c>
      <c r="I131" s="38">
        <v>0</v>
      </c>
      <c r="J131" s="38">
        <v>0</v>
      </c>
      <c r="K131" s="38">
        <v>0</v>
      </c>
      <c r="L131" s="38">
        <v>0</v>
      </c>
      <c r="M131" s="38">
        <v>0</v>
      </c>
      <c r="N131" s="38">
        <v>0</v>
      </c>
      <c r="O131" s="38">
        <v>0</v>
      </c>
      <c r="P131" s="34"/>
      <c r="Q131" s="36"/>
      <c r="R131" s="37"/>
    </row>
    <row r="132" spans="1:18" ht="139.5" x14ac:dyDescent="0.25">
      <c r="A132" s="32" t="s">
        <v>384</v>
      </c>
      <c r="B132" s="33" t="s">
        <v>385</v>
      </c>
      <c r="C132" s="34" t="s">
        <v>364</v>
      </c>
      <c r="D132" s="34" t="s">
        <v>374</v>
      </c>
      <c r="E132" s="34" t="s">
        <v>41</v>
      </c>
      <c r="F132" s="35">
        <f t="shared" ref="F132:O132" si="61">SUM(F133:F133)</f>
        <v>0</v>
      </c>
      <c r="G132" s="35">
        <f t="shared" si="61"/>
        <v>0</v>
      </c>
      <c r="H132" s="35">
        <f t="shared" si="61"/>
        <v>0</v>
      </c>
      <c r="I132" s="35">
        <f t="shared" si="61"/>
        <v>0</v>
      </c>
      <c r="J132" s="35">
        <f t="shared" si="61"/>
        <v>0</v>
      </c>
      <c r="K132" s="35">
        <f t="shared" si="61"/>
        <v>0</v>
      </c>
      <c r="L132" s="35">
        <f t="shared" si="61"/>
        <v>0</v>
      </c>
      <c r="M132" s="35">
        <f t="shared" si="61"/>
        <v>0</v>
      </c>
      <c r="N132" s="35">
        <f t="shared" si="61"/>
        <v>0</v>
      </c>
      <c r="O132" s="35">
        <f t="shared" si="61"/>
        <v>0</v>
      </c>
      <c r="P132" s="34" t="s">
        <v>375</v>
      </c>
      <c r="Q132" s="36" t="s">
        <v>356</v>
      </c>
      <c r="R132" s="37" t="s">
        <v>386</v>
      </c>
    </row>
    <row r="133" spans="1:18" ht="139.5" x14ac:dyDescent="0.25">
      <c r="A133" s="32" t="s">
        <v>387</v>
      </c>
      <c r="B133" s="33" t="s">
        <v>388</v>
      </c>
      <c r="C133" s="34"/>
      <c r="D133" s="34"/>
      <c r="E133" s="34"/>
      <c r="F133" s="38">
        <v>0</v>
      </c>
      <c r="G133" s="38">
        <v>0</v>
      </c>
      <c r="H133" s="38">
        <v>0</v>
      </c>
      <c r="I133" s="38">
        <v>0</v>
      </c>
      <c r="J133" s="38">
        <v>0</v>
      </c>
      <c r="K133" s="38">
        <v>0</v>
      </c>
      <c r="L133" s="38">
        <v>0</v>
      </c>
      <c r="M133" s="38">
        <v>0</v>
      </c>
      <c r="N133" s="38">
        <v>0</v>
      </c>
      <c r="O133" s="38">
        <v>0</v>
      </c>
      <c r="P133" s="34"/>
      <c r="Q133" s="36"/>
      <c r="R133" s="37"/>
    </row>
    <row r="134" spans="1:18" ht="116.25" x14ac:dyDescent="0.25">
      <c r="A134" s="32" t="s">
        <v>389</v>
      </c>
      <c r="B134" s="33" t="s">
        <v>390</v>
      </c>
      <c r="C134" s="34" t="s">
        <v>364</v>
      </c>
      <c r="D134" s="34" t="s">
        <v>374</v>
      </c>
      <c r="E134" s="34" t="s">
        <v>41</v>
      </c>
      <c r="F134" s="35">
        <f t="shared" ref="F134:O134" si="62">SUM(F135:F135)</f>
        <v>0</v>
      </c>
      <c r="G134" s="35">
        <f t="shared" si="62"/>
        <v>0</v>
      </c>
      <c r="H134" s="35">
        <f t="shared" si="62"/>
        <v>0</v>
      </c>
      <c r="I134" s="35">
        <f t="shared" si="62"/>
        <v>0</v>
      </c>
      <c r="J134" s="35">
        <f t="shared" si="62"/>
        <v>0</v>
      </c>
      <c r="K134" s="35">
        <f t="shared" si="62"/>
        <v>0</v>
      </c>
      <c r="L134" s="35">
        <f t="shared" si="62"/>
        <v>0</v>
      </c>
      <c r="M134" s="35">
        <f t="shared" si="62"/>
        <v>0</v>
      </c>
      <c r="N134" s="35">
        <f t="shared" si="62"/>
        <v>0</v>
      </c>
      <c r="O134" s="35">
        <f t="shared" si="62"/>
        <v>0</v>
      </c>
      <c r="P134" s="34" t="s">
        <v>375</v>
      </c>
      <c r="Q134" s="36" t="s">
        <v>356</v>
      </c>
      <c r="R134" s="37" t="s">
        <v>391</v>
      </c>
    </row>
    <row r="135" spans="1:18" ht="139.5" x14ac:dyDescent="0.25">
      <c r="A135" s="32" t="s">
        <v>392</v>
      </c>
      <c r="B135" s="33" t="s">
        <v>393</v>
      </c>
      <c r="C135" s="34"/>
      <c r="D135" s="34"/>
      <c r="E135" s="34"/>
      <c r="F135" s="38">
        <v>0</v>
      </c>
      <c r="G135" s="38">
        <v>0</v>
      </c>
      <c r="H135" s="38">
        <v>0</v>
      </c>
      <c r="I135" s="38">
        <v>0</v>
      </c>
      <c r="J135" s="38">
        <v>0</v>
      </c>
      <c r="K135" s="38">
        <v>0</v>
      </c>
      <c r="L135" s="38">
        <v>0</v>
      </c>
      <c r="M135" s="38">
        <v>0</v>
      </c>
      <c r="N135" s="38">
        <v>0</v>
      </c>
      <c r="O135" s="38">
        <v>0</v>
      </c>
      <c r="P135" s="34"/>
      <c r="Q135" s="36"/>
      <c r="R135" s="37"/>
    </row>
    <row r="136" spans="1:18" ht="139.5" x14ac:dyDescent="0.25">
      <c r="A136" s="32" t="s">
        <v>394</v>
      </c>
      <c r="B136" s="33" t="s">
        <v>395</v>
      </c>
      <c r="C136" s="34" t="s">
        <v>364</v>
      </c>
      <c r="D136" s="34" t="s">
        <v>374</v>
      </c>
      <c r="E136" s="34" t="s">
        <v>232</v>
      </c>
      <c r="F136" s="35">
        <f>SUM(F137:F139)+23292</f>
        <v>23292</v>
      </c>
      <c r="G136" s="35">
        <f>SUM(G137:G139)+5500</f>
        <v>5500</v>
      </c>
      <c r="H136" s="35">
        <f>SUM(H137:H139)</f>
        <v>0</v>
      </c>
      <c r="I136" s="35">
        <f>SUM(I137:I139)</f>
        <v>0</v>
      </c>
      <c r="J136" s="35">
        <f>SUM(J137:J139)</f>
        <v>0</v>
      </c>
      <c r="K136" s="35">
        <f>SUM(K137:K139)</f>
        <v>0</v>
      </c>
      <c r="L136" s="35">
        <f>SUM(L137:L139)+15122</f>
        <v>15122</v>
      </c>
      <c r="M136" s="35">
        <f>SUM(M137:M139)+2670</f>
        <v>2670</v>
      </c>
      <c r="N136" s="35">
        <f>SUM(N137:N139)</f>
        <v>0</v>
      </c>
      <c r="O136" s="35">
        <f>SUM(O137:O139)</f>
        <v>0</v>
      </c>
      <c r="P136" s="34" t="s">
        <v>396</v>
      </c>
      <c r="Q136" s="36" t="s">
        <v>356</v>
      </c>
      <c r="R136" s="37" t="s">
        <v>397</v>
      </c>
    </row>
    <row r="137" spans="1:18" ht="46.5" x14ac:dyDescent="0.25">
      <c r="A137" s="39"/>
      <c r="B137" s="40"/>
      <c r="C137" s="41"/>
      <c r="D137" s="41"/>
      <c r="E137" s="41"/>
      <c r="F137" s="42">
        <v>0</v>
      </c>
      <c r="G137" s="42">
        <v>0</v>
      </c>
      <c r="H137" s="42">
        <v>0</v>
      </c>
      <c r="I137" s="42">
        <v>0</v>
      </c>
      <c r="J137" s="42">
        <v>0</v>
      </c>
      <c r="K137" s="42">
        <v>0</v>
      </c>
      <c r="L137" s="42">
        <v>0</v>
      </c>
      <c r="M137" s="42">
        <v>0</v>
      </c>
      <c r="N137" s="42">
        <v>0</v>
      </c>
      <c r="O137" s="42">
        <v>0</v>
      </c>
      <c r="P137" s="41" t="s">
        <v>398</v>
      </c>
      <c r="Q137" s="43" t="s">
        <v>36</v>
      </c>
      <c r="R137" s="44" t="s">
        <v>48</v>
      </c>
    </row>
    <row r="138" spans="1:18" ht="46.5" x14ac:dyDescent="0.25">
      <c r="A138" s="32" t="s">
        <v>399</v>
      </c>
      <c r="B138" s="33" t="s">
        <v>400</v>
      </c>
      <c r="C138" s="34"/>
      <c r="D138" s="34"/>
      <c r="E138" s="34"/>
      <c r="F138" s="38">
        <v>0</v>
      </c>
      <c r="G138" s="38">
        <v>0</v>
      </c>
      <c r="H138" s="38">
        <v>0</v>
      </c>
      <c r="I138" s="38">
        <v>0</v>
      </c>
      <c r="J138" s="38">
        <v>0</v>
      </c>
      <c r="K138" s="38">
        <v>0</v>
      </c>
      <c r="L138" s="38">
        <v>0</v>
      </c>
      <c r="M138" s="38">
        <v>0</v>
      </c>
      <c r="N138" s="38">
        <v>0</v>
      </c>
      <c r="O138" s="38">
        <v>0</v>
      </c>
      <c r="P138" s="34"/>
      <c r="Q138" s="36"/>
      <c r="R138" s="37"/>
    </row>
    <row r="139" spans="1:18" ht="139.5" x14ac:dyDescent="0.25">
      <c r="A139" s="32" t="s">
        <v>401</v>
      </c>
      <c r="B139" s="33" t="s">
        <v>402</v>
      </c>
      <c r="C139" s="34"/>
      <c r="D139" s="34"/>
      <c r="E139" s="34"/>
      <c r="F139" s="38">
        <v>0</v>
      </c>
      <c r="G139" s="38">
        <v>0</v>
      </c>
      <c r="H139" s="38">
        <v>0</v>
      </c>
      <c r="I139" s="38">
        <v>0</v>
      </c>
      <c r="J139" s="38">
        <v>0</v>
      </c>
      <c r="K139" s="38">
        <v>0</v>
      </c>
      <c r="L139" s="38">
        <v>0</v>
      </c>
      <c r="M139" s="38">
        <v>0</v>
      </c>
      <c r="N139" s="38">
        <v>0</v>
      </c>
      <c r="O139" s="38">
        <v>0</v>
      </c>
      <c r="P139" s="34"/>
      <c r="Q139" s="36"/>
      <c r="R139" s="37"/>
    </row>
    <row r="140" spans="1:18" ht="116.25" x14ac:dyDescent="0.25">
      <c r="A140" s="32" t="s">
        <v>403</v>
      </c>
      <c r="B140" s="33" t="s">
        <v>404</v>
      </c>
      <c r="C140" s="34" t="s">
        <v>364</v>
      </c>
      <c r="D140" s="34" t="s">
        <v>374</v>
      </c>
      <c r="E140" s="34" t="s">
        <v>41</v>
      </c>
      <c r="F140" s="35">
        <f>SUM(F141:F144)+16000</f>
        <v>16000</v>
      </c>
      <c r="G140" s="35">
        <f>SUM(G141:G144)+16000</f>
        <v>16000</v>
      </c>
      <c r="H140" s="35">
        <f t="shared" ref="H140:O140" si="63">SUM(H141:H144)</f>
        <v>0</v>
      </c>
      <c r="I140" s="35">
        <f t="shared" si="63"/>
        <v>0</v>
      </c>
      <c r="J140" s="35">
        <f t="shared" si="63"/>
        <v>0</v>
      </c>
      <c r="K140" s="35">
        <f t="shared" si="63"/>
        <v>0</v>
      </c>
      <c r="L140" s="35">
        <f t="shared" si="63"/>
        <v>0</v>
      </c>
      <c r="M140" s="35">
        <f t="shared" si="63"/>
        <v>0</v>
      </c>
      <c r="N140" s="35">
        <f t="shared" si="63"/>
        <v>0</v>
      </c>
      <c r="O140" s="35">
        <f t="shared" si="63"/>
        <v>0</v>
      </c>
      <c r="P140" s="34" t="s">
        <v>405</v>
      </c>
      <c r="Q140" s="36" t="s">
        <v>36</v>
      </c>
      <c r="R140" s="37" t="s">
        <v>48</v>
      </c>
    </row>
    <row r="141" spans="1:18" ht="46.5" x14ac:dyDescent="0.25">
      <c r="A141" s="39"/>
      <c r="B141" s="40"/>
      <c r="C141" s="41"/>
      <c r="D141" s="41"/>
      <c r="E141" s="41"/>
      <c r="F141" s="42">
        <v>0</v>
      </c>
      <c r="G141" s="42">
        <v>0</v>
      </c>
      <c r="H141" s="42">
        <v>0</v>
      </c>
      <c r="I141" s="42">
        <v>0</v>
      </c>
      <c r="J141" s="42">
        <v>0</v>
      </c>
      <c r="K141" s="42">
        <v>0</v>
      </c>
      <c r="L141" s="42">
        <v>0</v>
      </c>
      <c r="M141" s="42">
        <v>0</v>
      </c>
      <c r="N141" s="42">
        <v>0</v>
      </c>
      <c r="O141" s="42">
        <v>0</v>
      </c>
      <c r="P141" s="41" t="s">
        <v>398</v>
      </c>
      <c r="Q141" s="43" t="s">
        <v>36</v>
      </c>
      <c r="R141" s="44" t="s">
        <v>48</v>
      </c>
    </row>
    <row r="142" spans="1:18" x14ac:dyDescent="0.25">
      <c r="A142" s="39"/>
      <c r="B142" s="40"/>
      <c r="C142" s="41"/>
      <c r="D142" s="41"/>
      <c r="E142" s="41"/>
      <c r="F142" s="42">
        <v>0</v>
      </c>
      <c r="G142" s="42">
        <v>0</v>
      </c>
      <c r="H142" s="42">
        <v>0</v>
      </c>
      <c r="I142" s="42">
        <v>0</v>
      </c>
      <c r="J142" s="42">
        <v>0</v>
      </c>
      <c r="K142" s="42">
        <v>0</v>
      </c>
      <c r="L142" s="42">
        <v>0</v>
      </c>
      <c r="M142" s="42">
        <v>0</v>
      </c>
      <c r="N142" s="42">
        <v>0</v>
      </c>
      <c r="O142" s="42">
        <v>0</v>
      </c>
      <c r="P142" s="41" t="s">
        <v>406</v>
      </c>
      <c r="Q142" s="43" t="s">
        <v>356</v>
      </c>
      <c r="R142" s="44" t="s">
        <v>407</v>
      </c>
    </row>
    <row r="143" spans="1:18" ht="116.25" x14ac:dyDescent="0.25">
      <c r="A143" s="32" t="s">
        <v>408</v>
      </c>
      <c r="B143" s="33" t="s">
        <v>409</v>
      </c>
      <c r="C143" s="34"/>
      <c r="D143" s="34"/>
      <c r="E143" s="34"/>
      <c r="F143" s="38">
        <v>0</v>
      </c>
      <c r="G143" s="38">
        <v>0</v>
      </c>
      <c r="H143" s="38">
        <v>0</v>
      </c>
      <c r="I143" s="38">
        <v>0</v>
      </c>
      <c r="J143" s="38">
        <v>0</v>
      </c>
      <c r="K143" s="38">
        <v>0</v>
      </c>
      <c r="L143" s="38">
        <v>0</v>
      </c>
      <c r="M143" s="38">
        <v>0</v>
      </c>
      <c r="N143" s="38">
        <v>0</v>
      </c>
      <c r="O143" s="38">
        <v>0</v>
      </c>
      <c r="P143" s="34"/>
      <c r="Q143" s="36"/>
      <c r="R143" s="37"/>
    </row>
    <row r="144" spans="1:18" ht="139.5" x14ac:dyDescent="0.25">
      <c r="A144" s="32" t="s">
        <v>410</v>
      </c>
      <c r="B144" s="33" t="s">
        <v>411</v>
      </c>
      <c r="C144" s="34"/>
      <c r="D144" s="34"/>
      <c r="E144" s="34"/>
      <c r="F144" s="38">
        <v>0</v>
      </c>
      <c r="G144" s="38">
        <v>0</v>
      </c>
      <c r="H144" s="38">
        <v>0</v>
      </c>
      <c r="I144" s="38">
        <v>0</v>
      </c>
      <c r="J144" s="38">
        <v>0</v>
      </c>
      <c r="K144" s="38">
        <v>0</v>
      </c>
      <c r="L144" s="38">
        <v>0</v>
      </c>
      <c r="M144" s="38">
        <v>0</v>
      </c>
      <c r="N144" s="38">
        <v>0</v>
      </c>
      <c r="O144" s="38">
        <v>0</v>
      </c>
      <c r="P144" s="34"/>
      <c r="Q144" s="36"/>
      <c r="R144" s="37"/>
    </row>
    <row r="145" spans="1:18" ht="90" x14ac:dyDescent="0.25">
      <c r="A145" s="20" t="s">
        <v>412</v>
      </c>
      <c r="B145" s="21" t="s">
        <v>413</v>
      </c>
      <c r="C145" s="22" t="s">
        <v>261</v>
      </c>
      <c r="D145" s="22" t="s">
        <v>265</v>
      </c>
      <c r="E145" s="22"/>
      <c r="F145" s="23">
        <f t="shared" ref="F145:O145" si="64">F146+F151</f>
        <v>500705.74</v>
      </c>
      <c r="G145" s="23">
        <f t="shared" si="64"/>
        <v>2500</v>
      </c>
      <c r="H145" s="23">
        <f t="shared" si="64"/>
        <v>0</v>
      </c>
      <c r="I145" s="23">
        <f t="shared" si="64"/>
        <v>0</v>
      </c>
      <c r="J145" s="23">
        <f t="shared" si="64"/>
        <v>0</v>
      </c>
      <c r="K145" s="23">
        <f t="shared" si="64"/>
        <v>0</v>
      </c>
      <c r="L145" s="23">
        <f t="shared" si="64"/>
        <v>460913.46</v>
      </c>
      <c r="M145" s="23">
        <f t="shared" si="64"/>
        <v>37292.28</v>
      </c>
      <c r="N145" s="23">
        <f t="shared" si="64"/>
        <v>0</v>
      </c>
      <c r="O145" s="23">
        <f t="shared" si="64"/>
        <v>0</v>
      </c>
      <c r="P145" s="22" t="s">
        <v>414</v>
      </c>
      <c r="Q145" s="24" t="s">
        <v>30</v>
      </c>
      <c r="R145" s="25" t="s">
        <v>60</v>
      </c>
    </row>
    <row r="146" spans="1:18" ht="90" x14ac:dyDescent="0.25">
      <c r="A146" s="26" t="s">
        <v>415</v>
      </c>
      <c r="B146" s="27" t="s">
        <v>416</v>
      </c>
      <c r="C146" s="28" t="s">
        <v>261</v>
      </c>
      <c r="D146" s="28" t="s">
        <v>265</v>
      </c>
      <c r="E146" s="28" t="s">
        <v>34</v>
      </c>
      <c r="F146" s="29">
        <f t="shared" ref="F146:O146" si="65">F147+F149</f>
        <v>499605.74</v>
      </c>
      <c r="G146" s="29">
        <f t="shared" si="65"/>
        <v>1400</v>
      </c>
      <c r="H146" s="29">
        <f t="shared" si="65"/>
        <v>0</v>
      </c>
      <c r="I146" s="29">
        <f t="shared" si="65"/>
        <v>0</v>
      </c>
      <c r="J146" s="29">
        <f t="shared" si="65"/>
        <v>0</v>
      </c>
      <c r="K146" s="29">
        <f t="shared" si="65"/>
        <v>0</v>
      </c>
      <c r="L146" s="29">
        <f t="shared" si="65"/>
        <v>460913.46</v>
      </c>
      <c r="M146" s="29">
        <f t="shared" si="65"/>
        <v>37292.28</v>
      </c>
      <c r="N146" s="29">
        <f t="shared" si="65"/>
        <v>0</v>
      </c>
      <c r="O146" s="29">
        <f t="shared" si="65"/>
        <v>0</v>
      </c>
      <c r="P146" s="28" t="s">
        <v>417</v>
      </c>
      <c r="Q146" s="30" t="s">
        <v>36</v>
      </c>
      <c r="R146" s="31" t="s">
        <v>37</v>
      </c>
    </row>
    <row r="147" spans="1:18" ht="93" x14ac:dyDescent="0.25">
      <c r="A147" s="32" t="s">
        <v>418</v>
      </c>
      <c r="B147" s="33" t="s">
        <v>419</v>
      </c>
      <c r="C147" s="34" t="s">
        <v>261</v>
      </c>
      <c r="D147" s="34" t="s">
        <v>302</v>
      </c>
      <c r="E147" s="34" t="s">
        <v>41</v>
      </c>
      <c r="F147" s="35">
        <f>SUM(F148:F148)+32610.02</f>
        <v>32610.02</v>
      </c>
      <c r="G147" s="35">
        <f>SUM(G148:G148)</f>
        <v>0</v>
      </c>
      <c r="H147" s="35">
        <f>SUM(H148:H148)</f>
        <v>0</v>
      </c>
      <c r="I147" s="35">
        <f>SUM(I148:I148)</f>
        <v>0</v>
      </c>
      <c r="J147" s="35">
        <f>SUM(J148:J148)</f>
        <v>0</v>
      </c>
      <c r="K147" s="35">
        <f>SUM(K148:K148)</f>
        <v>0</v>
      </c>
      <c r="L147" s="35">
        <f>SUM(L148:L148)+32610.01</f>
        <v>32610.01</v>
      </c>
      <c r="M147" s="35">
        <f>SUM(M148:M148)+0.01</f>
        <v>0.01</v>
      </c>
      <c r="N147" s="35">
        <f>SUM(N148:N148)</f>
        <v>0</v>
      </c>
      <c r="O147" s="35">
        <f>SUM(O148:O148)</f>
        <v>0</v>
      </c>
      <c r="P147" s="34" t="s">
        <v>420</v>
      </c>
      <c r="Q147" s="36" t="s">
        <v>36</v>
      </c>
      <c r="R147" s="37" t="s">
        <v>48</v>
      </c>
    </row>
    <row r="148" spans="1:18" ht="46.5" x14ac:dyDescent="0.25">
      <c r="A148" s="32" t="s">
        <v>421</v>
      </c>
      <c r="B148" s="33" t="s">
        <v>422</v>
      </c>
      <c r="C148" s="34"/>
      <c r="D148" s="34"/>
      <c r="E148" s="34"/>
      <c r="F148" s="38">
        <v>0</v>
      </c>
      <c r="G148" s="38">
        <v>0</v>
      </c>
      <c r="H148" s="38">
        <v>0</v>
      </c>
      <c r="I148" s="38">
        <v>0</v>
      </c>
      <c r="J148" s="38">
        <v>0</v>
      </c>
      <c r="K148" s="38">
        <v>0</v>
      </c>
      <c r="L148" s="38">
        <v>0</v>
      </c>
      <c r="M148" s="38">
        <v>0</v>
      </c>
      <c r="N148" s="38">
        <v>0</v>
      </c>
      <c r="O148" s="38">
        <v>0</v>
      </c>
      <c r="P148" s="34"/>
      <c r="Q148" s="36"/>
      <c r="R148" s="37"/>
    </row>
    <row r="149" spans="1:18" ht="69.75" x14ac:dyDescent="0.25">
      <c r="A149" s="32" t="s">
        <v>423</v>
      </c>
      <c r="B149" s="33" t="s">
        <v>424</v>
      </c>
      <c r="C149" s="34" t="s">
        <v>261</v>
      </c>
      <c r="D149" s="34" t="s">
        <v>302</v>
      </c>
      <c r="E149" s="34" t="s">
        <v>41</v>
      </c>
      <c r="F149" s="35">
        <f>SUM(F150:F150)+466995.72</f>
        <v>466995.72</v>
      </c>
      <c r="G149" s="35">
        <f>SUM(G150:G150)+1400</f>
        <v>1400</v>
      </c>
      <c r="H149" s="35">
        <f>SUM(H150:H150)</f>
        <v>0</v>
      </c>
      <c r="I149" s="35">
        <f>SUM(I150:I150)</f>
        <v>0</v>
      </c>
      <c r="J149" s="35">
        <f>SUM(J150:J150)</f>
        <v>0</v>
      </c>
      <c r="K149" s="35">
        <f>SUM(K150:K150)</f>
        <v>0</v>
      </c>
      <c r="L149" s="35">
        <f>SUM(L150:L150)+428303.45</f>
        <v>428303.45</v>
      </c>
      <c r="M149" s="35">
        <f>SUM(M150:M150)+37292.27</f>
        <v>37292.269999999997</v>
      </c>
      <c r="N149" s="35">
        <f>SUM(N150:N150)</f>
        <v>0</v>
      </c>
      <c r="O149" s="35">
        <f>SUM(O150:O150)</f>
        <v>0</v>
      </c>
      <c r="P149" s="34" t="s">
        <v>420</v>
      </c>
      <c r="Q149" s="36" t="s">
        <v>36</v>
      </c>
      <c r="R149" s="37" t="s">
        <v>48</v>
      </c>
    </row>
    <row r="150" spans="1:18" ht="46.5" x14ac:dyDescent="0.25">
      <c r="A150" s="32" t="s">
        <v>425</v>
      </c>
      <c r="B150" s="33" t="s">
        <v>422</v>
      </c>
      <c r="C150" s="34"/>
      <c r="D150" s="34"/>
      <c r="E150" s="34"/>
      <c r="F150" s="38">
        <v>0</v>
      </c>
      <c r="G150" s="38">
        <v>0</v>
      </c>
      <c r="H150" s="38">
        <v>0</v>
      </c>
      <c r="I150" s="38">
        <v>0</v>
      </c>
      <c r="J150" s="38">
        <v>0</v>
      </c>
      <c r="K150" s="38">
        <v>0</v>
      </c>
      <c r="L150" s="38">
        <v>0</v>
      </c>
      <c r="M150" s="38">
        <v>0</v>
      </c>
      <c r="N150" s="38">
        <v>0</v>
      </c>
      <c r="O150" s="38">
        <v>0</v>
      </c>
      <c r="P150" s="34"/>
      <c r="Q150" s="36"/>
      <c r="R150" s="37"/>
    </row>
    <row r="151" spans="1:18" ht="90" x14ac:dyDescent="0.25">
      <c r="A151" s="26" t="s">
        <v>426</v>
      </c>
      <c r="B151" s="27" t="s">
        <v>427</v>
      </c>
      <c r="C151" s="28" t="s">
        <v>261</v>
      </c>
      <c r="D151" s="28" t="s">
        <v>265</v>
      </c>
      <c r="E151" s="28" t="s">
        <v>34</v>
      </c>
      <c r="F151" s="29">
        <f t="shared" ref="F151:O151" si="66">F152+F154+F156+F158+F160</f>
        <v>1100</v>
      </c>
      <c r="G151" s="29">
        <f t="shared" si="66"/>
        <v>1100</v>
      </c>
      <c r="H151" s="29">
        <f t="shared" si="66"/>
        <v>0</v>
      </c>
      <c r="I151" s="29">
        <f t="shared" si="66"/>
        <v>0</v>
      </c>
      <c r="J151" s="29">
        <f t="shared" si="66"/>
        <v>0</v>
      </c>
      <c r="K151" s="29">
        <f t="shared" si="66"/>
        <v>0</v>
      </c>
      <c r="L151" s="29">
        <f t="shared" si="66"/>
        <v>0</v>
      </c>
      <c r="M151" s="29">
        <f t="shared" si="66"/>
        <v>0</v>
      </c>
      <c r="N151" s="29">
        <f t="shared" si="66"/>
        <v>0</v>
      </c>
      <c r="O151" s="29">
        <f t="shared" si="66"/>
        <v>0</v>
      </c>
      <c r="P151" s="28" t="s">
        <v>417</v>
      </c>
      <c r="Q151" s="30" t="s">
        <v>36</v>
      </c>
      <c r="R151" s="31" t="s">
        <v>428</v>
      </c>
    </row>
    <row r="152" spans="1:18" ht="93" x14ac:dyDescent="0.25">
      <c r="A152" s="32" t="s">
        <v>429</v>
      </c>
      <c r="B152" s="33" t="s">
        <v>430</v>
      </c>
      <c r="C152" s="34" t="s">
        <v>261</v>
      </c>
      <c r="D152" s="34" t="s">
        <v>286</v>
      </c>
      <c r="E152" s="34" t="s">
        <v>41</v>
      </c>
      <c r="F152" s="35">
        <f>SUM(F153:F153)+250</f>
        <v>250</v>
      </c>
      <c r="G152" s="35">
        <f>SUM(G153:G153)+250</f>
        <v>250</v>
      </c>
      <c r="H152" s="35">
        <f t="shared" ref="H152:O152" si="67">SUM(H153:H153)</f>
        <v>0</v>
      </c>
      <c r="I152" s="35">
        <f t="shared" si="67"/>
        <v>0</v>
      </c>
      <c r="J152" s="35">
        <f t="shared" si="67"/>
        <v>0</v>
      </c>
      <c r="K152" s="35">
        <f t="shared" si="67"/>
        <v>0</v>
      </c>
      <c r="L152" s="35">
        <f t="shared" si="67"/>
        <v>0</v>
      </c>
      <c r="M152" s="35">
        <f t="shared" si="67"/>
        <v>0</v>
      </c>
      <c r="N152" s="35">
        <f t="shared" si="67"/>
        <v>0</v>
      </c>
      <c r="O152" s="35">
        <f t="shared" si="67"/>
        <v>0</v>
      </c>
      <c r="P152" s="34" t="s">
        <v>431</v>
      </c>
      <c r="Q152" s="36" t="s">
        <v>36</v>
      </c>
      <c r="R152" s="37" t="s">
        <v>48</v>
      </c>
    </row>
    <row r="153" spans="1:18" ht="69.75" x14ac:dyDescent="0.25">
      <c r="A153" s="32" t="s">
        <v>432</v>
      </c>
      <c r="B153" s="33" t="s">
        <v>433</v>
      </c>
      <c r="C153" s="34"/>
      <c r="D153" s="34"/>
      <c r="E153" s="34"/>
      <c r="F153" s="38">
        <v>0</v>
      </c>
      <c r="G153" s="38">
        <v>0</v>
      </c>
      <c r="H153" s="38">
        <v>0</v>
      </c>
      <c r="I153" s="38">
        <v>0</v>
      </c>
      <c r="J153" s="38">
        <v>0</v>
      </c>
      <c r="K153" s="38">
        <v>0</v>
      </c>
      <c r="L153" s="38">
        <v>0</v>
      </c>
      <c r="M153" s="38">
        <v>0</v>
      </c>
      <c r="N153" s="38">
        <v>0</v>
      </c>
      <c r="O153" s="38">
        <v>0</v>
      </c>
      <c r="P153" s="34"/>
      <c r="Q153" s="36"/>
      <c r="R153" s="37"/>
    </row>
    <row r="154" spans="1:18" ht="93" x14ac:dyDescent="0.25">
      <c r="A154" s="32" t="s">
        <v>434</v>
      </c>
      <c r="B154" s="33" t="s">
        <v>435</v>
      </c>
      <c r="C154" s="34" t="s">
        <v>261</v>
      </c>
      <c r="D154" s="34" t="s">
        <v>302</v>
      </c>
      <c r="E154" s="34" t="s">
        <v>41</v>
      </c>
      <c r="F154" s="35">
        <f>SUM(F155:F155)+250</f>
        <v>250</v>
      </c>
      <c r="G154" s="35">
        <f>SUM(G155:G155)+250</f>
        <v>250</v>
      </c>
      <c r="H154" s="35">
        <f t="shared" ref="H154:O154" si="68">SUM(H155:H155)</f>
        <v>0</v>
      </c>
      <c r="I154" s="35">
        <f t="shared" si="68"/>
        <v>0</v>
      </c>
      <c r="J154" s="35">
        <f t="shared" si="68"/>
        <v>0</v>
      </c>
      <c r="K154" s="35">
        <f t="shared" si="68"/>
        <v>0</v>
      </c>
      <c r="L154" s="35">
        <f t="shared" si="68"/>
        <v>0</v>
      </c>
      <c r="M154" s="35">
        <f t="shared" si="68"/>
        <v>0</v>
      </c>
      <c r="N154" s="35">
        <f t="shared" si="68"/>
        <v>0</v>
      </c>
      <c r="O154" s="35">
        <f t="shared" si="68"/>
        <v>0</v>
      </c>
      <c r="P154" s="34" t="s">
        <v>431</v>
      </c>
      <c r="Q154" s="36" t="s">
        <v>36</v>
      </c>
      <c r="R154" s="37" t="s">
        <v>48</v>
      </c>
    </row>
    <row r="155" spans="1:18" ht="69.75" x14ac:dyDescent="0.25">
      <c r="A155" s="32" t="s">
        <v>436</v>
      </c>
      <c r="B155" s="33" t="s">
        <v>437</v>
      </c>
      <c r="C155" s="34"/>
      <c r="D155" s="34"/>
      <c r="E155" s="34"/>
      <c r="F155" s="38">
        <v>0</v>
      </c>
      <c r="G155" s="38">
        <v>0</v>
      </c>
      <c r="H155" s="38">
        <v>0</v>
      </c>
      <c r="I155" s="38">
        <v>0</v>
      </c>
      <c r="J155" s="38">
        <v>0</v>
      </c>
      <c r="K155" s="38">
        <v>0</v>
      </c>
      <c r="L155" s="38">
        <v>0</v>
      </c>
      <c r="M155" s="38">
        <v>0</v>
      </c>
      <c r="N155" s="38">
        <v>0</v>
      </c>
      <c r="O155" s="38">
        <v>0</v>
      </c>
      <c r="P155" s="34"/>
      <c r="Q155" s="36"/>
      <c r="R155" s="37"/>
    </row>
    <row r="156" spans="1:18" ht="93" x14ac:dyDescent="0.25">
      <c r="A156" s="32" t="s">
        <v>438</v>
      </c>
      <c r="B156" s="33" t="s">
        <v>439</v>
      </c>
      <c r="C156" s="34" t="s">
        <v>261</v>
      </c>
      <c r="D156" s="34" t="s">
        <v>302</v>
      </c>
      <c r="E156" s="34" t="s">
        <v>41</v>
      </c>
      <c r="F156" s="35">
        <f>SUM(F157:F157)+200</f>
        <v>200</v>
      </c>
      <c r="G156" s="35">
        <f>SUM(G157:G157)+200</f>
        <v>200</v>
      </c>
      <c r="H156" s="35">
        <f t="shared" ref="H156:O156" si="69">SUM(H157:H157)</f>
        <v>0</v>
      </c>
      <c r="I156" s="35">
        <f t="shared" si="69"/>
        <v>0</v>
      </c>
      <c r="J156" s="35">
        <f t="shared" si="69"/>
        <v>0</v>
      </c>
      <c r="K156" s="35">
        <f t="shared" si="69"/>
        <v>0</v>
      </c>
      <c r="L156" s="35">
        <f t="shared" si="69"/>
        <v>0</v>
      </c>
      <c r="M156" s="35">
        <f t="shared" si="69"/>
        <v>0</v>
      </c>
      <c r="N156" s="35">
        <f t="shared" si="69"/>
        <v>0</v>
      </c>
      <c r="O156" s="35">
        <f t="shared" si="69"/>
        <v>0</v>
      </c>
      <c r="P156" s="34" t="s">
        <v>431</v>
      </c>
      <c r="Q156" s="36" t="s">
        <v>36</v>
      </c>
      <c r="R156" s="37" t="s">
        <v>48</v>
      </c>
    </row>
    <row r="157" spans="1:18" ht="69.75" x14ac:dyDescent="0.25">
      <c r="A157" s="32" t="s">
        <v>440</v>
      </c>
      <c r="B157" s="33" t="s">
        <v>441</v>
      </c>
      <c r="C157" s="34"/>
      <c r="D157" s="34"/>
      <c r="E157" s="34"/>
      <c r="F157" s="38">
        <v>0</v>
      </c>
      <c r="G157" s="38">
        <v>0</v>
      </c>
      <c r="H157" s="38">
        <v>0</v>
      </c>
      <c r="I157" s="38">
        <v>0</v>
      </c>
      <c r="J157" s="38">
        <v>0</v>
      </c>
      <c r="K157" s="38">
        <v>0</v>
      </c>
      <c r="L157" s="38">
        <v>0</v>
      </c>
      <c r="M157" s="38">
        <v>0</v>
      </c>
      <c r="N157" s="38">
        <v>0</v>
      </c>
      <c r="O157" s="38">
        <v>0</v>
      </c>
      <c r="P157" s="34"/>
      <c r="Q157" s="36"/>
      <c r="R157" s="37"/>
    </row>
    <row r="158" spans="1:18" ht="93" x14ac:dyDescent="0.25">
      <c r="A158" s="32" t="s">
        <v>442</v>
      </c>
      <c r="B158" s="33" t="s">
        <v>443</v>
      </c>
      <c r="C158" s="34" t="s">
        <v>261</v>
      </c>
      <c r="D158" s="34" t="s">
        <v>302</v>
      </c>
      <c r="E158" s="34" t="s">
        <v>41</v>
      </c>
      <c r="F158" s="35">
        <f>SUM(F159:F159)+200</f>
        <v>200</v>
      </c>
      <c r="G158" s="35">
        <f>SUM(G159:G159)+200</f>
        <v>200</v>
      </c>
      <c r="H158" s="35">
        <f t="shared" ref="H158:O158" si="70">SUM(H159:H159)</f>
        <v>0</v>
      </c>
      <c r="I158" s="35">
        <f t="shared" si="70"/>
        <v>0</v>
      </c>
      <c r="J158" s="35">
        <f t="shared" si="70"/>
        <v>0</v>
      </c>
      <c r="K158" s="35">
        <f t="shared" si="70"/>
        <v>0</v>
      </c>
      <c r="L158" s="35">
        <f t="shared" si="70"/>
        <v>0</v>
      </c>
      <c r="M158" s="35">
        <f t="shared" si="70"/>
        <v>0</v>
      </c>
      <c r="N158" s="35">
        <f t="shared" si="70"/>
        <v>0</v>
      </c>
      <c r="O158" s="35">
        <f t="shared" si="70"/>
        <v>0</v>
      </c>
      <c r="P158" s="34" t="s">
        <v>431</v>
      </c>
      <c r="Q158" s="36" t="s">
        <v>36</v>
      </c>
      <c r="R158" s="37" t="s">
        <v>48</v>
      </c>
    </row>
    <row r="159" spans="1:18" ht="69.75" x14ac:dyDescent="0.25">
      <c r="A159" s="32" t="s">
        <v>444</v>
      </c>
      <c r="B159" s="33" t="s">
        <v>445</v>
      </c>
      <c r="C159" s="34"/>
      <c r="D159" s="34"/>
      <c r="E159" s="34"/>
      <c r="F159" s="38">
        <v>0</v>
      </c>
      <c r="G159" s="38">
        <v>0</v>
      </c>
      <c r="H159" s="38">
        <v>0</v>
      </c>
      <c r="I159" s="38">
        <v>0</v>
      </c>
      <c r="J159" s="38">
        <v>0</v>
      </c>
      <c r="K159" s="38">
        <v>0</v>
      </c>
      <c r="L159" s="38">
        <v>0</v>
      </c>
      <c r="M159" s="38">
        <v>0</v>
      </c>
      <c r="N159" s="38">
        <v>0</v>
      </c>
      <c r="O159" s="38">
        <v>0</v>
      </c>
      <c r="P159" s="34"/>
      <c r="Q159" s="36"/>
      <c r="R159" s="37"/>
    </row>
    <row r="160" spans="1:18" ht="93" x14ac:dyDescent="0.25">
      <c r="A160" s="32" t="s">
        <v>446</v>
      </c>
      <c r="B160" s="33" t="s">
        <v>447</v>
      </c>
      <c r="C160" s="34" t="s">
        <v>261</v>
      </c>
      <c r="D160" s="34" t="s">
        <v>448</v>
      </c>
      <c r="E160" s="34" t="s">
        <v>41</v>
      </c>
      <c r="F160" s="35">
        <f>SUM(F161:F161)+200</f>
        <v>200</v>
      </c>
      <c r="G160" s="35">
        <f>SUM(G161:G161)+200</f>
        <v>200</v>
      </c>
      <c r="H160" s="35">
        <f t="shared" ref="H160:O160" si="71">SUM(H161:H161)</f>
        <v>0</v>
      </c>
      <c r="I160" s="35">
        <f t="shared" si="71"/>
        <v>0</v>
      </c>
      <c r="J160" s="35">
        <f t="shared" si="71"/>
        <v>0</v>
      </c>
      <c r="K160" s="35">
        <f t="shared" si="71"/>
        <v>0</v>
      </c>
      <c r="L160" s="35">
        <f t="shared" si="71"/>
        <v>0</v>
      </c>
      <c r="M160" s="35">
        <f t="shared" si="71"/>
        <v>0</v>
      </c>
      <c r="N160" s="35">
        <f t="shared" si="71"/>
        <v>0</v>
      </c>
      <c r="O160" s="35">
        <f t="shared" si="71"/>
        <v>0</v>
      </c>
      <c r="P160" s="34" t="s">
        <v>431</v>
      </c>
      <c r="Q160" s="36" t="s">
        <v>36</v>
      </c>
      <c r="R160" s="37" t="s">
        <v>48</v>
      </c>
    </row>
    <row r="161" spans="1:18" ht="69.75" x14ac:dyDescent="0.25">
      <c r="A161" s="32" t="s">
        <v>449</v>
      </c>
      <c r="B161" s="33" t="s">
        <v>450</v>
      </c>
      <c r="C161" s="34"/>
      <c r="D161" s="34"/>
      <c r="E161" s="34"/>
      <c r="F161" s="38">
        <v>0</v>
      </c>
      <c r="G161" s="38">
        <v>0</v>
      </c>
      <c r="H161" s="38">
        <v>0</v>
      </c>
      <c r="I161" s="38">
        <v>0</v>
      </c>
      <c r="J161" s="38">
        <v>0</v>
      </c>
      <c r="K161" s="38">
        <v>0</v>
      </c>
      <c r="L161" s="38">
        <v>0</v>
      </c>
      <c r="M161" s="38">
        <v>0</v>
      </c>
      <c r="N161" s="38">
        <v>0</v>
      </c>
      <c r="O161" s="38">
        <v>0</v>
      </c>
      <c r="P161" s="34"/>
      <c r="Q161" s="36"/>
      <c r="R161" s="37"/>
    </row>
    <row r="162" spans="1:18" ht="67.5" x14ac:dyDescent="0.25">
      <c r="A162" s="20" t="s">
        <v>451</v>
      </c>
      <c r="B162" s="21" t="s">
        <v>452</v>
      </c>
      <c r="C162" s="22" t="s">
        <v>261</v>
      </c>
      <c r="D162" s="22" t="s">
        <v>265</v>
      </c>
      <c r="E162" s="22"/>
      <c r="F162" s="23">
        <f t="shared" ref="F162:O163" si="72">SUM(F163:F163)</f>
        <v>200000</v>
      </c>
      <c r="G162" s="23">
        <f t="shared" si="72"/>
        <v>200000</v>
      </c>
      <c r="H162" s="23">
        <f t="shared" si="72"/>
        <v>0</v>
      </c>
      <c r="I162" s="23">
        <f t="shared" si="72"/>
        <v>0</v>
      </c>
      <c r="J162" s="23">
        <f t="shared" si="72"/>
        <v>0</v>
      </c>
      <c r="K162" s="23">
        <f t="shared" si="72"/>
        <v>0</v>
      </c>
      <c r="L162" s="23">
        <f t="shared" si="72"/>
        <v>0</v>
      </c>
      <c r="M162" s="23">
        <f t="shared" si="72"/>
        <v>0</v>
      </c>
      <c r="N162" s="23">
        <f t="shared" si="72"/>
        <v>0</v>
      </c>
      <c r="O162" s="23">
        <f t="shared" si="72"/>
        <v>0</v>
      </c>
      <c r="P162" s="22" t="s">
        <v>453</v>
      </c>
      <c r="Q162" s="24" t="s">
        <v>30</v>
      </c>
      <c r="R162" s="25" t="s">
        <v>60</v>
      </c>
    </row>
    <row r="163" spans="1:18" ht="90" x14ac:dyDescent="0.25">
      <c r="A163" s="26" t="s">
        <v>454</v>
      </c>
      <c r="B163" s="27" t="s">
        <v>455</v>
      </c>
      <c r="C163" s="28" t="s">
        <v>261</v>
      </c>
      <c r="D163" s="28" t="s">
        <v>265</v>
      </c>
      <c r="E163" s="28" t="s">
        <v>34</v>
      </c>
      <c r="F163" s="29">
        <f t="shared" si="72"/>
        <v>200000</v>
      </c>
      <c r="G163" s="29">
        <f t="shared" si="72"/>
        <v>200000</v>
      </c>
      <c r="H163" s="29">
        <f t="shared" si="72"/>
        <v>0</v>
      </c>
      <c r="I163" s="29">
        <f t="shared" si="72"/>
        <v>0</v>
      </c>
      <c r="J163" s="29">
        <f t="shared" si="72"/>
        <v>0</v>
      </c>
      <c r="K163" s="29">
        <f t="shared" si="72"/>
        <v>0</v>
      </c>
      <c r="L163" s="29">
        <f t="shared" si="72"/>
        <v>0</v>
      </c>
      <c r="M163" s="29">
        <f t="shared" si="72"/>
        <v>0</v>
      </c>
      <c r="N163" s="29">
        <f t="shared" si="72"/>
        <v>0</v>
      </c>
      <c r="O163" s="29">
        <f t="shared" si="72"/>
        <v>0</v>
      </c>
      <c r="P163" s="28" t="s">
        <v>456</v>
      </c>
      <c r="Q163" s="30" t="s">
        <v>36</v>
      </c>
      <c r="R163" s="31" t="s">
        <v>48</v>
      </c>
    </row>
    <row r="164" spans="1:18" ht="69.75" x14ac:dyDescent="0.25">
      <c r="A164" s="32" t="s">
        <v>457</v>
      </c>
      <c r="B164" s="33" t="s">
        <v>458</v>
      </c>
      <c r="C164" s="34" t="s">
        <v>261</v>
      </c>
      <c r="D164" s="34" t="s">
        <v>448</v>
      </c>
      <c r="E164" s="34" t="s">
        <v>236</v>
      </c>
      <c r="F164" s="35">
        <f>SUM(F165:F165)+200000</f>
        <v>200000</v>
      </c>
      <c r="G164" s="35">
        <f>SUM(G165:G165)+200000</f>
        <v>200000</v>
      </c>
      <c r="H164" s="35">
        <f t="shared" ref="H164:O164" si="73">SUM(H165:H165)</f>
        <v>0</v>
      </c>
      <c r="I164" s="35">
        <f t="shared" si="73"/>
        <v>0</v>
      </c>
      <c r="J164" s="35">
        <f t="shared" si="73"/>
        <v>0</v>
      </c>
      <c r="K164" s="35">
        <f t="shared" si="73"/>
        <v>0</v>
      </c>
      <c r="L164" s="35">
        <f t="shared" si="73"/>
        <v>0</v>
      </c>
      <c r="M164" s="35">
        <f t="shared" si="73"/>
        <v>0</v>
      </c>
      <c r="N164" s="35">
        <f t="shared" si="73"/>
        <v>0</v>
      </c>
      <c r="O164" s="35">
        <f t="shared" si="73"/>
        <v>0</v>
      </c>
      <c r="P164" s="34" t="s">
        <v>308</v>
      </c>
      <c r="Q164" s="36" t="s">
        <v>36</v>
      </c>
      <c r="R164" s="37" t="s">
        <v>48</v>
      </c>
    </row>
    <row r="165" spans="1:18" ht="46.5" x14ac:dyDescent="0.25">
      <c r="A165" s="32" t="s">
        <v>459</v>
      </c>
      <c r="B165" s="33" t="s">
        <v>460</v>
      </c>
      <c r="C165" s="34"/>
      <c r="D165" s="34"/>
      <c r="E165" s="34"/>
      <c r="F165" s="38">
        <v>0</v>
      </c>
      <c r="G165" s="38">
        <v>0</v>
      </c>
      <c r="H165" s="38">
        <v>0</v>
      </c>
      <c r="I165" s="38">
        <v>0</v>
      </c>
      <c r="J165" s="38">
        <v>0</v>
      </c>
      <c r="K165" s="38">
        <v>0</v>
      </c>
      <c r="L165" s="38">
        <v>0</v>
      </c>
      <c r="M165" s="38">
        <v>0</v>
      </c>
      <c r="N165" s="38">
        <v>0</v>
      </c>
      <c r="O165" s="38">
        <v>0</v>
      </c>
      <c r="P165" s="34"/>
      <c r="Q165" s="36"/>
      <c r="R165" s="37"/>
    </row>
    <row r="166" spans="1:18" ht="67.5" x14ac:dyDescent="0.25">
      <c r="A166" s="20" t="s">
        <v>461</v>
      </c>
      <c r="B166" s="21" t="s">
        <v>462</v>
      </c>
      <c r="C166" s="22" t="s">
        <v>261</v>
      </c>
      <c r="D166" s="22" t="s">
        <v>265</v>
      </c>
      <c r="E166" s="22"/>
      <c r="F166" s="23">
        <f t="shared" ref="F166:O166" si="74">F167+F170</f>
        <v>153460</v>
      </c>
      <c r="G166" s="23">
        <f t="shared" si="74"/>
        <v>153460</v>
      </c>
      <c r="H166" s="23">
        <f t="shared" si="74"/>
        <v>0</v>
      </c>
      <c r="I166" s="23">
        <f t="shared" si="74"/>
        <v>0</v>
      </c>
      <c r="J166" s="23">
        <f t="shared" si="74"/>
        <v>0</v>
      </c>
      <c r="K166" s="23">
        <f t="shared" si="74"/>
        <v>0</v>
      </c>
      <c r="L166" s="23">
        <f t="shared" si="74"/>
        <v>0</v>
      </c>
      <c r="M166" s="23">
        <f t="shared" si="74"/>
        <v>0</v>
      </c>
      <c r="N166" s="23">
        <f t="shared" si="74"/>
        <v>0</v>
      </c>
      <c r="O166" s="23">
        <f t="shared" si="74"/>
        <v>0</v>
      </c>
      <c r="P166" s="22" t="s">
        <v>463</v>
      </c>
      <c r="Q166" s="24" t="s">
        <v>36</v>
      </c>
      <c r="R166" s="25" t="s">
        <v>186</v>
      </c>
    </row>
    <row r="167" spans="1:18" ht="90" x14ac:dyDescent="0.25">
      <c r="A167" s="26" t="s">
        <v>464</v>
      </c>
      <c r="B167" s="27" t="s">
        <v>465</v>
      </c>
      <c r="C167" s="28" t="s">
        <v>261</v>
      </c>
      <c r="D167" s="28" t="s">
        <v>265</v>
      </c>
      <c r="E167" s="28" t="s">
        <v>34</v>
      </c>
      <c r="F167" s="29">
        <f t="shared" ref="F167:O167" si="75">SUM(F168:F168)</f>
        <v>150000</v>
      </c>
      <c r="G167" s="29">
        <f t="shared" si="75"/>
        <v>150000</v>
      </c>
      <c r="H167" s="29">
        <f t="shared" si="75"/>
        <v>0</v>
      </c>
      <c r="I167" s="29">
        <f t="shared" si="75"/>
        <v>0</v>
      </c>
      <c r="J167" s="29">
        <f t="shared" si="75"/>
        <v>0</v>
      </c>
      <c r="K167" s="29">
        <f t="shared" si="75"/>
        <v>0</v>
      </c>
      <c r="L167" s="29">
        <f t="shared" si="75"/>
        <v>0</v>
      </c>
      <c r="M167" s="29">
        <f t="shared" si="75"/>
        <v>0</v>
      </c>
      <c r="N167" s="29">
        <f t="shared" si="75"/>
        <v>0</v>
      </c>
      <c r="O167" s="29">
        <f t="shared" si="75"/>
        <v>0</v>
      </c>
      <c r="P167" s="28" t="s">
        <v>466</v>
      </c>
      <c r="Q167" s="30" t="s">
        <v>36</v>
      </c>
      <c r="R167" s="31" t="s">
        <v>186</v>
      </c>
    </row>
    <row r="168" spans="1:18" ht="69.75" x14ac:dyDescent="0.25">
      <c r="A168" s="32" t="s">
        <v>467</v>
      </c>
      <c r="B168" s="33" t="s">
        <v>468</v>
      </c>
      <c r="C168" s="34" t="s">
        <v>261</v>
      </c>
      <c r="D168" s="34" t="s">
        <v>265</v>
      </c>
      <c r="E168" s="34" t="s">
        <v>41</v>
      </c>
      <c r="F168" s="35">
        <f>SUM(F169:F169)+150000</f>
        <v>150000</v>
      </c>
      <c r="G168" s="35">
        <f>SUM(G169:G169)+150000</f>
        <v>150000</v>
      </c>
      <c r="H168" s="35">
        <f t="shared" ref="H168:O168" si="76">SUM(H169:H169)</f>
        <v>0</v>
      </c>
      <c r="I168" s="35">
        <f t="shared" si="76"/>
        <v>0</v>
      </c>
      <c r="J168" s="35">
        <f t="shared" si="76"/>
        <v>0</v>
      </c>
      <c r="K168" s="35">
        <f t="shared" si="76"/>
        <v>0</v>
      </c>
      <c r="L168" s="35">
        <f t="shared" si="76"/>
        <v>0</v>
      </c>
      <c r="M168" s="35">
        <f t="shared" si="76"/>
        <v>0</v>
      </c>
      <c r="N168" s="35">
        <f t="shared" si="76"/>
        <v>0</v>
      </c>
      <c r="O168" s="35">
        <f t="shared" si="76"/>
        <v>0</v>
      </c>
      <c r="P168" s="34" t="s">
        <v>469</v>
      </c>
      <c r="Q168" s="36" t="s">
        <v>36</v>
      </c>
      <c r="R168" s="37" t="s">
        <v>186</v>
      </c>
    </row>
    <row r="169" spans="1:18" ht="69.75" x14ac:dyDescent="0.25">
      <c r="A169" s="32" t="s">
        <v>470</v>
      </c>
      <c r="B169" s="33" t="s">
        <v>471</v>
      </c>
      <c r="C169" s="34"/>
      <c r="D169" s="34"/>
      <c r="E169" s="34"/>
      <c r="F169" s="38">
        <v>0</v>
      </c>
      <c r="G169" s="38">
        <v>0</v>
      </c>
      <c r="H169" s="38">
        <v>0</v>
      </c>
      <c r="I169" s="38">
        <v>0</v>
      </c>
      <c r="J169" s="38">
        <v>0</v>
      </c>
      <c r="K169" s="38">
        <v>0</v>
      </c>
      <c r="L169" s="38">
        <v>0</v>
      </c>
      <c r="M169" s="38">
        <v>0</v>
      </c>
      <c r="N169" s="38">
        <v>0</v>
      </c>
      <c r="O169" s="38">
        <v>0</v>
      </c>
      <c r="P169" s="34"/>
      <c r="Q169" s="36"/>
      <c r="R169" s="37"/>
    </row>
    <row r="170" spans="1:18" ht="112.5" x14ac:dyDescent="0.25">
      <c r="A170" s="26" t="s">
        <v>472</v>
      </c>
      <c r="B170" s="27" t="s">
        <v>473</v>
      </c>
      <c r="C170" s="28" t="s">
        <v>261</v>
      </c>
      <c r="D170" s="28" t="s">
        <v>265</v>
      </c>
      <c r="E170" s="28" t="s">
        <v>34</v>
      </c>
      <c r="F170" s="29">
        <f t="shared" ref="F170:O170" si="77">SUM(F171:F171)</f>
        <v>3460</v>
      </c>
      <c r="G170" s="29">
        <f t="shared" si="77"/>
        <v>3460</v>
      </c>
      <c r="H170" s="29">
        <f t="shared" si="77"/>
        <v>0</v>
      </c>
      <c r="I170" s="29">
        <f t="shared" si="77"/>
        <v>0</v>
      </c>
      <c r="J170" s="29">
        <f t="shared" si="77"/>
        <v>0</v>
      </c>
      <c r="K170" s="29">
        <f t="shared" si="77"/>
        <v>0</v>
      </c>
      <c r="L170" s="29">
        <f t="shared" si="77"/>
        <v>0</v>
      </c>
      <c r="M170" s="29">
        <f t="shared" si="77"/>
        <v>0</v>
      </c>
      <c r="N170" s="29">
        <f t="shared" si="77"/>
        <v>0</v>
      </c>
      <c r="O170" s="29">
        <f t="shared" si="77"/>
        <v>0</v>
      </c>
      <c r="P170" s="28" t="s">
        <v>474</v>
      </c>
      <c r="Q170" s="30" t="s">
        <v>36</v>
      </c>
      <c r="R170" s="31" t="s">
        <v>428</v>
      </c>
    </row>
    <row r="171" spans="1:18" ht="69.75" x14ac:dyDescent="0.25">
      <c r="A171" s="32" t="s">
        <v>475</v>
      </c>
      <c r="B171" s="33" t="s">
        <v>476</v>
      </c>
      <c r="C171" s="34" t="s">
        <v>261</v>
      </c>
      <c r="D171" s="34" t="s">
        <v>265</v>
      </c>
      <c r="E171" s="34" t="s">
        <v>41</v>
      </c>
      <c r="F171" s="35">
        <f>SUM(F172:F172)+3460</f>
        <v>3460</v>
      </c>
      <c r="G171" s="35">
        <f>SUM(G172:G172)+3460</f>
        <v>3460</v>
      </c>
      <c r="H171" s="35">
        <f t="shared" ref="H171:O171" si="78">SUM(H172:H172)</f>
        <v>0</v>
      </c>
      <c r="I171" s="35">
        <f t="shared" si="78"/>
        <v>0</v>
      </c>
      <c r="J171" s="35">
        <f t="shared" si="78"/>
        <v>0</v>
      </c>
      <c r="K171" s="35">
        <f t="shared" si="78"/>
        <v>0</v>
      </c>
      <c r="L171" s="35">
        <f t="shared" si="78"/>
        <v>0</v>
      </c>
      <c r="M171" s="35">
        <f t="shared" si="78"/>
        <v>0</v>
      </c>
      <c r="N171" s="35">
        <f t="shared" si="78"/>
        <v>0</v>
      </c>
      <c r="O171" s="35">
        <f t="shared" si="78"/>
        <v>0</v>
      </c>
      <c r="P171" s="34" t="s">
        <v>469</v>
      </c>
      <c r="Q171" s="36" t="s">
        <v>36</v>
      </c>
      <c r="R171" s="37" t="s">
        <v>48</v>
      </c>
    </row>
    <row r="172" spans="1:18" ht="69.75" x14ac:dyDescent="0.25">
      <c r="A172" s="32" t="s">
        <v>477</v>
      </c>
      <c r="B172" s="33" t="s">
        <v>478</v>
      </c>
      <c r="C172" s="34"/>
      <c r="D172" s="34"/>
      <c r="E172" s="34"/>
      <c r="F172" s="38">
        <v>0</v>
      </c>
      <c r="G172" s="38">
        <v>0</v>
      </c>
      <c r="H172" s="38">
        <v>0</v>
      </c>
      <c r="I172" s="38">
        <v>0</v>
      </c>
      <c r="J172" s="38">
        <v>0</v>
      </c>
      <c r="K172" s="38">
        <v>0</v>
      </c>
      <c r="L172" s="38">
        <v>0</v>
      </c>
      <c r="M172" s="38">
        <v>0</v>
      </c>
      <c r="N172" s="38">
        <v>0</v>
      </c>
      <c r="O172" s="38">
        <v>0</v>
      </c>
      <c r="P172" s="34"/>
      <c r="Q172" s="36"/>
      <c r="R172" s="37"/>
    </row>
    <row r="173" spans="1:18" ht="45" x14ac:dyDescent="0.25">
      <c r="A173" s="20" t="s">
        <v>479</v>
      </c>
      <c r="B173" s="21" t="s">
        <v>480</v>
      </c>
      <c r="C173" s="22" t="s">
        <v>261</v>
      </c>
      <c r="D173" s="22" t="s">
        <v>265</v>
      </c>
      <c r="E173" s="22"/>
      <c r="F173" s="23">
        <f t="shared" ref="F173:O174" si="79">SUM(F174:F174)</f>
        <v>10000</v>
      </c>
      <c r="G173" s="23">
        <f t="shared" si="79"/>
        <v>10000</v>
      </c>
      <c r="H173" s="23">
        <f t="shared" si="79"/>
        <v>0</v>
      </c>
      <c r="I173" s="23">
        <f t="shared" si="79"/>
        <v>0</v>
      </c>
      <c r="J173" s="23">
        <f t="shared" si="79"/>
        <v>0</v>
      </c>
      <c r="K173" s="23">
        <f t="shared" si="79"/>
        <v>0</v>
      </c>
      <c r="L173" s="23">
        <f t="shared" si="79"/>
        <v>0</v>
      </c>
      <c r="M173" s="23">
        <f t="shared" si="79"/>
        <v>0</v>
      </c>
      <c r="N173" s="23">
        <f t="shared" si="79"/>
        <v>0</v>
      </c>
      <c r="O173" s="23">
        <f t="shared" si="79"/>
        <v>0</v>
      </c>
      <c r="P173" s="22" t="s">
        <v>481</v>
      </c>
      <c r="Q173" s="24" t="s">
        <v>30</v>
      </c>
      <c r="R173" s="25" t="s">
        <v>482</v>
      </c>
    </row>
    <row r="174" spans="1:18" ht="45" x14ac:dyDescent="0.25">
      <c r="A174" s="26" t="s">
        <v>483</v>
      </c>
      <c r="B174" s="27" t="s">
        <v>484</v>
      </c>
      <c r="C174" s="28" t="s">
        <v>261</v>
      </c>
      <c r="D174" s="28" t="s">
        <v>265</v>
      </c>
      <c r="E174" s="28" t="s">
        <v>34</v>
      </c>
      <c r="F174" s="29">
        <f t="shared" si="79"/>
        <v>10000</v>
      </c>
      <c r="G174" s="29">
        <f t="shared" si="79"/>
        <v>10000</v>
      </c>
      <c r="H174" s="29">
        <f t="shared" si="79"/>
        <v>0</v>
      </c>
      <c r="I174" s="29">
        <f t="shared" si="79"/>
        <v>0</v>
      </c>
      <c r="J174" s="29">
        <f t="shared" si="79"/>
        <v>0</v>
      </c>
      <c r="K174" s="29">
        <f t="shared" si="79"/>
        <v>0</v>
      </c>
      <c r="L174" s="29">
        <f t="shared" si="79"/>
        <v>0</v>
      </c>
      <c r="M174" s="29">
        <f t="shared" si="79"/>
        <v>0</v>
      </c>
      <c r="N174" s="29">
        <f t="shared" si="79"/>
        <v>0</v>
      </c>
      <c r="O174" s="29">
        <f t="shared" si="79"/>
        <v>0</v>
      </c>
      <c r="P174" s="28" t="s">
        <v>485</v>
      </c>
      <c r="Q174" s="30" t="s">
        <v>36</v>
      </c>
      <c r="R174" s="31" t="s">
        <v>48</v>
      </c>
    </row>
    <row r="175" spans="1:18" ht="46.5" x14ac:dyDescent="0.25">
      <c r="A175" s="32" t="s">
        <v>486</v>
      </c>
      <c r="B175" s="33" t="s">
        <v>487</v>
      </c>
      <c r="C175" s="34" t="s">
        <v>261</v>
      </c>
      <c r="D175" s="34" t="s">
        <v>265</v>
      </c>
      <c r="E175" s="34" t="s">
        <v>41</v>
      </c>
      <c r="F175" s="35">
        <f>SUM(F176:F176)+10000</f>
        <v>10000</v>
      </c>
      <c r="G175" s="35">
        <f>SUM(G176:G176)+10000</f>
        <v>10000</v>
      </c>
      <c r="H175" s="35">
        <f t="shared" ref="H175:O175" si="80">SUM(H176:H176)</f>
        <v>0</v>
      </c>
      <c r="I175" s="35">
        <f t="shared" si="80"/>
        <v>0</v>
      </c>
      <c r="J175" s="35">
        <f t="shared" si="80"/>
        <v>0</v>
      </c>
      <c r="K175" s="35">
        <f t="shared" si="80"/>
        <v>0</v>
      </c>
      <c r="L175" s="35">
        <f t="shared" si="80"/>
        <v>0</v>
      </c>
      <c r="M175" s="35">
        <f t="shared" si="80"/>
        <v>0</v>
      </c>
      <c r="N175" s="35">
        <f t="shared" si="80"/>
        <v>0</v>
      </c>
      <c r="O175" s="35">
        <f t="shared" si="80"/>
        <v>0</v>
      </c>
      <c r="P175" s="34" t="s">
        <v>274</v>
      </c>
      <c r="Q175" s="36" t="s">
        <v>36</v>
      </c>
      <c r="R175" s="37" t="s">
        <v>48</v>
      </c>
    </row>
    <row r="176" spans="1:18" ht="46.5" x14ac:dyDescent="0.25">
      <c r="A176" s="32" t="s">
        <v>488</v>
      </c>
      <c r="B176" s="33" t="s">
        <v>489</v>
      </c>
      <c r="C176" s="34"/>
      <c r="D176" s="34"/>
      <c r="E176" s="34"/>
      <c r="F176" s="38">
        <v>0</v>
      </c>
      <c r="G176" s="38">
        <v>0</v>
      </c>
      <c r="H176" s="38">
        <v>0</v>
      </c>
      <c r="I176" s="38">
        <v>0</v>
      </c>
      <c r="J176" s="38">
        <v>0</v>
      </c>
      <c r="K176" s="38">
        <v>0</v>
      </c>
      <c r="L176" s="38">
        <v>0</v>
      </c>
      <c r="M176" s="38">
        <v>0</v>
      </c>
      <c r="N176" s="38">
        <v>0</v>
      </c>
      <c r="O176" s="38">
        <v>0</v>
      </c>
      <c r="P176" s="34"/>
      <c r="Q176" s="36"/>
      <c r="R176" s="37"/>
    </row>
    <row r="177" spans="1:18" ht="112.5" x14ac:dyDescent="0.25">
      <c r="A177" s="20" t="s">
        <v>490</v>
      </c>
      <c r="B177" s="21" t="s">
        <v>491</v>
      </c>
      <c r="C177" s="22" t="s">
        <v>261</v>
      </c>
      <c r="D177" s="22" t="s">
        <v>265</v>
      </c>
      <c r="E177" s="22"/>
      <c r="F177" s="23">
        <f t="shared" ref="F177:O178" si="81">SUM(F178:F178)</f>
        <v>20000</v>
      </c>
      <c r="G177" s="23">
        <f t="shared" si="81"/>
        <v>20000</v>
      </c>
      <c r="H177" s="23">
        <f t="shared" si="81"/>
        <v>0</v>
      </c>
      <c r="I177" s="23">
        <f t="shared" si="81"/>
        <v>0</v>
      </c>
      <c r="J177" s="23">
        <f t="shared" si="81"/>
        <v>0</v>
      </c>
      <c r="K177" s="23">
        <f t="shared" si="81"/>
        <v>0</v>
      </c>
      <c r="L177" s="23">
        <f t="shared" si="81"/>
        <v>0</v>
      </c>
      <c r="M177" s="23">
        <f t="shared" si="81"/>
        <v>0</v>
      </c>
      <c r="N177" s="23">
        <f t="shared" si="81"/>
        <v>0</v>
      </c>
      <c r="O177" s="23">
        <f t="shared" si="81"/>
        <v>0</v>
      </c>
      <c r="P177" s="22" t="s">
        <v>492</v>
      </c>
      <c r="Q177" s="24" t="s">
        <v>30</v>
      </c>
      <c r="R177" s="25" t="s">
        <v>493</v>
      </c>
    </row>
    <row r="178" spans="1:18" ht="90" x14ac:dyDescent="0.25">
      <c r="A178" s="26" t="s">
        <v>494</v>
      </c>
      <c r="B178" s="27" t="s">
        <v>495</v>
      </c>
      <c r="C178" s="28" t="s">
        <v>261</v>
      </c>
      <c r="D178" s="28" t="s">
        <v>265</v>
      </c>
      <c r="E178" s="28" t="s">
        <v>34</v>
      </c>
      <c r="F178" s="29">
        <f t="shared" si="81"/>
        <v>20000</v>
      </c>
      <c r="G178" s="29">
        <f t="shared" si="81"/>
        <v>20000</v>
      </c>
      <c r="H178" s="29">
        <f t="shared" si="81"/>
        <v>0</v>
      </c>
      <c r="I178" s="29">
        <f t="shared" si="81"/>
        <v>0</v>
      </c>
      <c r="J178" s="29">
        <f t="shared" si="81"/>
        <v>0</v>
      </c>
      <c r="K178" s="29">
        <f t="shared" si="81"/>
        <v>0</v>
      </c>
      <c r="L178" s="29">
        <f t="shared" si="81"/>
        <v>0</v>
      </c>
      <c r="M178" s="29">
        <f t="shared" si="81"/>
        <v>0</v>
      </c>
      <c r="N178" s="29">
        <f t="shared" si="81"/>
        <v>0</v>
      </c>
      <c r="O178" s="29">
        <f t="shared" si="81"/>
        <v>0</v>
      </c>
      <c r="P178" s="28" t="s">
        <v>496</v>
      </c>
      <c r="Q178" s="30" t="s">
        <v>36</v>
      </c>
      <c r="R178" s="31" t="s">
        <v>48</v>
      </c>
    </row>
    <row r="179" spans="1:18" ht="116.25" x14ac:dyDescent="0.25">
      <c r="A179" s="32" t="s">
        <v>497</v>
      </c>
      <c r="B179" s="33" t="s">
        <v>498</v>
      </c>
      <c r="C179" s="34" t="s">
        <v>261</v>
      </c>
      <c r="D179" s="34" t="s">
        <v>302</v>
      </c>
      <c r="E179" s="34" t="s">
        <v>34</v>
      </c>
      <c r="F179" s="35">
        <f>SUM(F180:F180)+20000</f>
        <v>20000</v>
      </c>
      <c r="G179" s="35">
        <f>SUM(G180:G180)+20000</f>
        <v>20000</v>
      </c>
      <c r="H179" s="35">
        <f t="shared" ref="H179:O179" si="82">SUM(H180:H180)</f>
        <v>0</v>
      </c>
      <c r="I179" s="35">
        <f t="shared" si="82"/>
        <v>0</v>
      </c>
      <c r="J179" s="35">
        <f t="shared" si="82"/>
        <v>0</v>
      </c>
      <c r="K179" s="35">
        <f t="shared" si="82"/>
        <v>0</v>
      </c>
      <c r="L179" s="35">
        <f t="shared" si="82"/>
        <v>0</v>
      </c>
      <c r="M179" s="35">
        <f t="shared" si="82"/>
        <v>0</v>
      </c>
      <c r="N179" s="35">
        <f t="shared" si="82"/>
        <v>0</v>
      </c>
      <c r="O179" s="35">
        <f t="shared" si="82"/>
        <v>0</v>
      </c>
      <c r="P179" s="34" t="s">
        <v>499</v>
      </c>
      <c r="Q179" s="36" t="s">
        <v>36</v>
      </c>
      <c r="R179" s="37" t="s">
        <v>48</v>
      </c>
    </row>
    <row r="180" spans="1:18" ht="93" x14ac:dyDescent="0.25">
      <c r="A180" s="32" t="s">
        <v>500</v>
      </c>
      <c r="B180" s="33" t="s">
        <v>501</v>
      </c>
      <c r="C180" s="34"/>
      <c r="D180" s="34"/>
      <c r="E180" s="34"/>
      <c r="F180" s="38">
        <v>0</v>
      </c>
      <c r="G180" s="38">
        <v>0</v>
      </c>
      <c r="H180" s="38">
        <v>0</v>
      </c>
      <c r="I180" s="38">
        <v>0</v>
      </c>
      <c r="J180" s="38">
        <v>0</v>
      </c>
      <c r="K180" s="38">
        <v>0</v>
      </c>
      <c r="L180" s="38">
        <v>0</v>
      </c>
      <c r="M180" s="38">
        <v>0</v>
      </c>
      <c r="N180" s="38">
        <v>0</v>
      </c>
      <c r="O180" s="38">
        <v>0</v>
      </c>
      <c r="P180" s="34"/>
      <c r="Q180" s="36"/>
      <c r="R180" s="37"/>
    </row>
    <row r="181" spans="1:18" ht="90" x14ac:dyDescent="0.25">
      <c r="A181" s="20" t="s">
        <v>502</v>
      </c>
      <c r="B181" s="21" t="s">
        <v>503</v>
      </c>
      <c r="C181" s="22" t="s">
        <v>261</v>
      </c>
      <c r="D181" s="22" t="s">
        <v>265</v>
      </c>
      <c r="E181" s="22"/>
      <c r="F181" s="23">
        <f t="shared" ref="F181:O181" si="83">F182+F195</f>
        <v>577528.16</v>
      </c>
      <c r="G181" s="23">
        <f t="shared" si="83"/>
        <v>166037</v>
      </c>
      <c r="H181" s="23">
        <f t="shared" si="83"/>
        <v>0</v>
      </c>
      <c r="I181" s="23">
        <f t="shared" si="83"/>
        <v>0</v>
      </c>
      <c r="J181" s="23">
        <f t="shared" si="83"/>
        <v>0</v>
      </c>
      <c r="K181" s="23">
        <f t="shared" si="83"/>
        <v>0</v>
      </c>
      <c r="L181" s="23">
        <f t="shared" si="83"/>
        <v>353993.89</v>
      </c>
      <c r="M181" s="23">
        <f t="shared" si="83"/>
        <v>57497.270000000004</v>
      </c>
      <c r="N181" s="23">
        <f t="shared" si="83"/>
        <v>0</v>
      </c>
      <c r="O181" s="23">
        <f t="shared" si="83"/>
        <v>0</v>
      </c>
      <c r="P181" s="22" t="s">
        <v>504</v>
      </c>
      <c r="Q181" s="24" t="s">
        <v>30</v>
      </c>
      <c r="R181" s="25" t="s">
        <v>352</v>
      </c>
    </row>
    <row r="182" spans="1:18" ht="135" x14ac:dyDescent="0.25">
      <c r="A182" s="26" t="s">
        <v>505</v>
      </c>
      <c r="B182" s="27" t="s">
        <v>506</v>
      </c>
      <c r="C182" s="28" t="s">
        <v>261</v>
      </c>
      <c r="D182" s="28" t="s">
        <v>265</v>
      </c>
      <c r="E182" s="28" t="s">
        <v>232</v>
      </c>
      <c r="F182" s="29">
        <f t="shared" ref="F182:O182" si="84">F183+F185+F187+F189+F191+F193</f>
        <v>238000</v>
      </c>
      <c r="G182" s="29">
        <f t="shared" si="84"/>
        <v>153000</v>
      </c>
      <c r="H182" s="29">
        <f t="shared" si="84"/>
        <v>0</v>
      </c>
      <c r="I182" s="29">
        <f t="shared" si="84"/>
        <v>0</v>
      </c>
      <c r="J182" s="29">
        <f t="shared" si="84"/>
        <v>0</v>
      </c>
      <c r="K182" s="29">
        <f t="shared" si="84"/>
        <v>0</v>
      </c>
      <c r="L182" s="29">
        <f t="shared" si="84"/>
        <v>85000</v>
      </c>
      <c r="M182" s="29">
        <f t="shared" si="84"/>
        <v>0</v>
      </c>
      <c r="N182" s="29">
        <f t="shared" si="84"/>
        <v>0</v>
      </c>
      <c r="O182" s="29">
        <f t="shared" si="84"/>
        <v>0</v>
      </c>
      <c r="P182" s="28" t="s">
        <v>507</v>
      </c>
      <c r="Q182" s="30" t="s">
        <v>30</v>
      </c>
      <c r="R182" s="31" t="s">
        <v>352</v>
      </c>
    </row>
    <row r="183" spans="1:18" ht="116.25" x14ac:dyDescent="0.25">
      <c r="A183" s="32" t="s">
        <v>508</v>
      </c>
      <c r="B183" s="33" t="s">
        <v>509</v>
      </c>
      <c r="C183" s="34" t="s">
        <v>261</v>
      </c>
      <c r="D183" s="34" t="s">
        <v>302</v>
      </c>
      <c r="E183" s="34" t="s">
        <v>345</v>
      </c>
      <c r="F183" s="35">
        <f>SUM(F184:F184)+80000</f>
        <v>80000</v>
      </c>
      <c r="G183" s="35">
        <f>SUM(G184:G184)+80000</f>
        <v>80000</v>
      </c>
      <c r="H183" s="35">
        <f t="shared" ref="H183:O183" si="85">SUM(H184:H184)</f>
        <v>0</v>
      </c>
      <c r="I183" s="35">
        <f t="shared" si="85"/>
        <v>0</v>
      </c>
      <c r="J183" s="35">
        <f t="shared" si="85"/>
        <v>0</v>
      </c>
      <c r="K183" s="35">
        <f t="shared" si="85"/>
        <v>0</v>
      </c>
      <c r="L183" s="35">
        <f t="shared" si="85"/>
        <v>0</v>
      </c>
      <c r="M183" s="35">
        <f t="shared" si="85"/>
        <v>0</v>
      </c>
      <c r="N183" s="35">
        <f t="shared" si="85"/>
        <v>0</v>
      </c>
      <c r="O183" s="35">
        <f t="shared" si="85"/>
        <v>0</v>
      </c>
      <c r="P183" s="34" t="s">
        <v>308</v>
      </c>
      <c r="Q183" s="36" t="s">
        <v>36</v>
      </c>
      <c r="R183" s="37" t="s">
        <v>48</v>
      </c>
    </row>
    <row r="184" spans="1:18" ht="46.5" x14ac:dyDescent="0.25">
      <c r="A184" s="32" t="s">
        <v>510</v>
      </c>
      <c r="B184" s="33" t="s">
        <v>460</v>
      </c>
      <c r="C184" s="34"/>
      <c r="D184" s="34"/>
      <c r="E184" s="34"/>
      <c r="F184" s="38">
        <v>0</v>
      </c>
      <c r="G184" s="38">
        <v>0</v>
      </c>
      <c r="H184" s="38">
        <v>0</v>
      </c>
      <c r="I184" s="38">
        <v>0</v>
      </c>
      <c r="J184" s="38">
        <v>0</v>
      </c>
      <c r="K184" s="38">
        <v>0</v>
      </c>
      <c r="L184" s="38">
        <v>0</v>
      </c>
      <c r="M184" s="38">
        <v>0</v>
      </c>
      <c r="N184" s="38">
        <v>0</v>
      </c>
      <c r="O184" s="38">
        <v>0</v>
      </c>
      <c r="P184" s="34"/>
      <c r="Q184" s="36"/>
      <c r="R184" s="37"/>
    </row>
    <row r="185" spans="1:18" ht="69.75" x14ac:dyDescent="0.25">
      <c r="A185" s="32" t="s">
        <v>511</v>
      </c>
      <c r="B185" s="33" t="s">
        <v>512</v>
      </c>
      <c r="C185" s="34" t="s">
        <v>261</v>
      </c>
      <c r="D185" s="34" t="s">
        <v>302</v>
      </c>
      <c r="E185" s="34" t="s">
        <v>345</v>
      </c>
      <c r="F185" s="35">
        <f>SUM(F186:F186)+98000</f>
        <v>98000</v>
      </c>
      <c r="G185" s="35">
        <f>SUM(G186:G186)+13000</f>
        <v>13000</v>
      </c>
      <c r="H185" s="35">
        <f>SUM(H186:H186)</f>
        <v>0</v>
      </c>
      <c r="I185" s="35">
        <f>SUM(I186:I186)</f>
        <v>0</v>
      </c>
      <c r="J185" s="35">
        <f>SUM(J186:J186)</f>
        <v>0</v>
      </c>
      <c r="K185" s="35">
        <f>SUM(K186:K186)</f>
        <v>0</v>
      </c>
      <c r="L185" s="35">
        <f>SUM(L186:L186)+85000</f>
        <v>85000</v>
      </c>
      <c r="M185" s="35">
        <f>SUM(M186:M186)</f>
        <v>0</v>
      </c>
      <c r="N185" s="35">
        <f>SUM(N186:N186)</f>
        <v>0</v>
      </c>
      <c r="O185" s="35">
        <f>SUM(O186:O186)</f>
        <v>0</v>
      </c>
      <c r="P185" s="34" t="s">
        <v>513</v>
      </c>
      <c r="Q185" s="36" t="s">
        <v>36</v>
      </c>
      <c r="R185" s="37" t="s">
        <v>48</v>
      </c>
    </row>
    <row r="186" spans="1:18" ht="46.5" x14ac:dyDescent="0.25">
      <c r="A186" s="32" t="s">
        <v>514</v>
      </c>
      <c r="B186" s="33" t="s">
        <v>460</v>
      </c>
      <c r="C186" s="34"/>
      <c r="D186" s="34"/>
      <c r="E186" s="34"/>
      <c r="F186" s="38">
        <v>0</v>
      </c>
      <c r="G186" s="38">
        <v>0</v>
      </c>
      <c r="H186" s="38">
        <v>0</v>
      </c>
      <c r="I186" s="38">
        <v>0</v>
      </c>
      <c r="J186" s="38">
        <v>0</v>
      </c>
      <c r="K186" s="38">
        <v>0</v>
      </c>
      <c r="L186" s="38">
        <v>0</v>
      </c>
      <c r="M186" s="38">
        <v>0</v>
      </c>
      <c r="N186" s="38">
        <v>0</v>
      </c>
      <c r="O186" s="38">
        <v>0</v>
      </c>
      <c r="P186" s="34"/>
      <c r="Q186" s="36"/>
      <c r="R186" s="37"/>
    </row>
    <row r="187" spans="1:18" ht="46.5" x14ac:dyDescent="0.25">
      <c r="A187" s="32" t="s">
        <v>515</v>
      </c>
      <c r="B187" s="33" t="s">
        <v>516</v>
      </c>
      <c r="C187" s="34" t="s">
        <v>261</v>
      </c>
      <c r="D187" s="34" t="s">
        <v>302</v>
      </c>
      <c r="E187" s="34" t="s">
        <v>345</v>
      </c>
      <c r="F187" s="35">
        <f>SUM(F188:F188)+40000</f>
        <v>40000</v>
      </c>
      <c r="G187" s="35">
        <f>SUM(G188:G188)+40000</f>
        <v>40000</v>
      </c>
      <c r="H187" s="35">
        <f t="shared" ref="H187:O187" si="86">SUM(H188:H188)</f>
        <v>0</v>
      </c>
      <c r="I187" s="35">
        <f t="shared" si="86"/>
        <v>0</v>
      </c>
      <c r="J187" s="35">
        <f t="shared" si="86"/>
        <v>0</v>
      </c>
      <c r="K187" s="35">
        <f t="shared" si="86"/>
        <v>0</v>
      </c>
      <c r="L187" s="35">
        <f t="shared" si="86"/>
        <v>0</v>
      </c>
      <c r="M187" s="35">
        <f t="shared" si="86"/>
        <v>0</v>
      </c>
      <c r="N187" s="35">
        <f t="shared" si="86"/>
        <v>0</v>
      </c>
      <c r="O187" s="35">
        <f t="shared" si="86"/>
        <v>0</v>
      </c>
      <c r="P187" s="34" t="s">
        <v>308</v>
      </c>
      <c r="Q187" s="36" t="s">
        <v>36</v>
      </c>
      <c r="R187" s="37" t="s">
        <v>48</v>
      </c>
    </row>
    <row r="188" spans="1:18" ht="46.5" x14ac:dyDescent="0.25">
      <c r="A188" s="32" t="s">
        <v>517</v>
      </c>
      <c r="B188" s="33" t="s">
        <v>460</v>
      </c>
      <c r="C188" s="34"/>
      <c r="D188" s="34"/>
      <c r="E188" s="34"/>
      <c r="F188" s="38">
        <v>0</v>
      </c>
      <c r="G188" s="38">
        <v>0</v>
      </c>
      <c r="H188" s="38">
        <v>0</v>
      </c>
      <c r="I188" s="38">
        <v>0</v>
      </c>
      <c r="J188" s="38">
        <v>0</v>
      </c>
      <c r="K188" s="38">
        <v>0</v>
      </c>
      <c r="L188" s="38">
        <v>0</v>
      </c>
      <c r="M188" s="38">
        <v>0</v>
      </c>
      <c r="N188" s="38">
        <v>0</v>
      </c>
      <c r="O188" s="38">
        <v>0</v>
      </c>
      <c r="P188" s="34"/>
      <c r="Q188" s="36"/>
      <c r="R188" s="37"/>
    </row>
    <row r="189" spans="1:18" ht="69.75" x14ac:dyDescent="0.25">
      <c r="A189" s="32" t="s">
        <v>518</v>
      </c>
      <c r="B189" s="33" t="s">
        <v>519</v>
      </c>
      <c r="C189" s="34" t="s">
        <v>261</v>
      </c>
      <c r="D189" s="34" t="s">
        <v>272</v>
      </c>
      <c r="E189" s="34" t="s">
        <v>345</v>
      </c>
      <c r="F189" s="35">
        <f>SUM(F190:F190)+5000</f>
        <v>5000</v>
      </c>
      <c r="G189" s="35">
        <f>SUM(G190:G190)+5000</f>
        <v>5000</v>
      </c>
      <c r="H189" s="35">
        <f t="shared" ref="H189:O189" si="87">SUM(H190:H190)</f>
        <v>0</v>
      </c>
      <c r="I189" s="35">
        <f t="shared" si="87"/>
        <v>0</v>
      </c>
      <c r="J189" s="35">
        <f t="shared" si="87"/>
        <v>0</v>
      </c>
      <c r="K189" s="35">
        <f t="shared" si="87"/>
        <v>0</v>
      </c>
      <c r="L189" s="35">
        <f t="shared" si="87"/>
        <v>0</v>
      </c>
      <c r="M189" s="35">
        <f t="shared" si="87"/>
        <v>0</v>
      </c>
      <c r="N189" s="35">
        <f t="shared" si="87"/>
        <v>0</v>
      </c>
      <c r="O189" s="35">
        <f t="shared" si="87"/>
        <v>0</v>
      </c>
      <c r="P189" s="34" t="s">
        <v>520</v>
      </c>
      <c r="Q189" s="36" t="s">
        <v>36</v>
      </c>
      <c r="R189" s="37" t="s">
        <v>48</v>
      </c>
    </row>
    <row r="190" spans="1:18" ht="93" x14ac:dyDescent="0.25">
      <c r="A190" s="32" t="s">
        <v>521</v>
      </c>
      <c r="B190" s="33" t="s">
        <v>522</v>
      </c>
      <c r="C190" s="34"/>
      <c r="D190" s="34"/>
      <c r="E190" s="34"/>
      <c r="F190" s="38">
        <v>0</v>
      </c>
      <c r="G190" s="38">
        <v>0</v>
      </c>
      <c r="H190" s="38">
        <v>0</v>
      </c>
      <c r="I190" s="38">
        <v>0</v>
      </c>
      <c r="J190" s="38">
        <v>0</v>
      </c>
      <c r="K190" s="38">
        <v>0</v>
      </c>
      <c r="L190" s="38">
        <v>0</v>
      </c>
      <c r="M190" s="38">
        <v>0</v>
      </c>
      <c r="N190" s="38">
        <v>0</v>
      </c>
      <c r="O190" s="38">
        <v>0</v>
      </c>
      <c r="P190" s="34"/>
      <c r="Q190" s="36"/>
      <c r="R190" s="37"/>
    </row>
    <row r="191" spans="1:18" ht="93" x14ac:dyDescent="0.25">
      <c r="A191" s="32" t="s">
        <v>523</v>
      </c>
      <c r="B191" s="33" t="s">
        <v>524</v>
      </c>
      <c r="C191" s="34" t="s">
        <v>261</v>
      </c>
      <c r="D191" s="34" t="s">
        <v>272</v>
      </c>
      <c r="E191" s="34" t="s">
        <v>345</v>
      </c>
      <c r="F191" s="35">
        <f>SUM(F192:F192)+10000</f>
        <v>10000</v>
      </c>
      <c r="G191" s="35">
        <f>SUM(G192:G192)+10000</f>
        <v>10000</v>
      </c>
      <c r="H191" s="35">
        <f t="shared" ref="H191:O191" si="88">SUM(H192:H192)</f>
        <v>0</v>
      </c>
      <c r="I191" s="35">
        <f t="shared" si="88"/>
        <v>0</v>
      </c>
      <c r="J191" s="35">
        <f t="shared" si="88"/>
        <v>0</v>
      </c>
      <c r="K191" s="35">
        <f t="shared" si="88"/>
        <v>0</v>
      </c>
      <c r="L191" s="35">
        <f t="shared" si="88"/>
        <v>0</v>
      </c>
      <c r="M191" s="35">
        <f t="shared" si="88"/>
        <v>0</v>
      </c>
      <c r="N191" s="35">
        <f t="shared" si="88"/>
        <v>0</v>
      </c>
      <c r="O191" s="35">
        <f t="shared" si="88"/>
        <v>0</v>
      </c>
      <c r="P191" s="34" t="s">
        <v>525</v>
      </c>
      <c r="Q191" s="36" t="s">
        <v>36</v>
      </c>
      <c r="R191" s="37" t="s">
        <v>48</v>
      </c>
    </row>
    <row r="192" spans="1:18" ht="46.5" x14ac:dyDescent="0.25">
      <c r="A192" s="32" t="s">
        <v>526</v>
      </c>
      <c r="B192" s="33" t="s">
        <v>527</v>
      </c>
      <c r="C192" s="34"/>
      <c r="D192" s="34"/>
      <c r="E192" s="34"/>
      <c r="F192" s="38">
        <v>0</v>
      </c>
      <c r="G192" s="38">
        <v>0</v>
      </c>
      <c r="H192" s="38">
        <v>0</v>
      </c>
      <c r="I192" s="38">
        <v>0</v>
      </c>
      <c r="J192" s="38">
        <v>0</v>
      </c>
      <c r="K192" s="38">
        <v>0</v>
      </c>
      <c r="L192" s="38">
        <v>0</v>
      </c>
      <c r="M192" s="38">
        <v>0</v>
      </c>
      <c r="N192" s="38">
        <v>0</v>
      </c>
      <c r="O192" s="38">
        <v>0</v>
      </c>
      <c r="P192" s="34"/>
      <c r="Q192" s="36"/>
      <c r="R192" s="37"/>
    </row>
    <row r="193" spans="1:18" ht="69.75" x14ac:dyDescent="0.25">
      <c r="A193" s="32" t="s">
        <v>528</v>
      </c>
      <c r="B193" s="33" t="s">
        <v>529</v>
      </c>
      <c r="C193" s="34" t="s">
        <v>261</v>
      </c>
      <c r="D193" s="34" t="s">
        <v>272</v>
      </c>
      <c r="E193" s="34" t="s">
        <v>345</v>
      </c>
      <c r="F193" s="35">
        <f>SUM(F194:F194)+5000</f>
        <v>5000</v>
      </c>
      <c r="G193" s="35">
        <f>SUM(G194:G194)+5000</f>
        <v>5000</v>
      </c>
      <c r="H193" s="35">
        <f t="shared" ref="H193:O193" si="89">SUM(H194:H194)</f>
        <v>0</v>
      </c>
      <c r="I193" s="35">
        <f t="shared" si="89"/>
        <v>0</v>
      </c>
      <c r="J193" s="35">
        <f t="shared" si="89"/>
        <v>0</v>
      </c>
      <c r="K193" s="35">
        <f t="shared" si="89"/>
        <v>0</v>
      </c>
      <c r="L193" s="35">
        <f t="shared" si="89"/>
        <v>0</v>
      </c>
      <c r="M193" s="35">
        <f t="shared" si="89"/>
        <v>0</v>
      </c>
      <c r="N193" s="35">
        <f t="shared" si="89"/>
        <v>0</v>
      </c>
      <c r="O193" s="35">
        <f t="shared" si="89"/>
        <v>0</v>
      </c>
      <c r="P193" s="34" t="s">
        <v>530</v>
      </c>
      <c r="Q193" s="36" t="s">
        <v>36</v>
      </c>
      <c r="R193" s="37" t="s">
        <v>48</v>
      </c>
    </row>
    <row r="194" spans="1:18" ht="46.5" x14ac:dyDescent="0.25">
      <c r="A194" s="32" t="s">
        <v>531</v>
      </c>
      <c r="B194" s="33" t="s">
        <v>532</v>
      </c>
      <c r="C194" s="34"/>
      <c r="D194" s="34"/>
      <c r="E194" s="34"/>
      <c r="F194" s="38">
        <v>0</v>
      </c>
      <c r="G194" s="38">
        <v>0</v>
      </c>
      <c r="H194" s="38">
        <v>0</v>
      </c>
      <c r="I194" s="38">
        <v>0</v>
      </c>
      <c r="J194" s="38">
        <v>0</v>
      </c>
      <c r="K194" s="38">
        <v>0</v>
      </c>
      <c r="L194" s="38">
        <v>0</v>
      </c>
      <c r="M194" s="38">
        <v>0</v>
      </c>
      <c r="N194" s="38">
        <v>0</v>
      </c>
      <c r="O194" s="38">
        <v>0</v>
      </c>
      <c r="P194" s="34"/>
      <c r="Q194" s="36"/>
      <c r="R194" s="37"/>
    </row>
    <row r="195" spans="1:18" ht="90" x14ac:dyDescent="0.25">
      <c r="A195" s="26" t="s">
        <v>533</v>
      </c>
      <c r="B195" s="27" t="s">
        <v>534</v>
      </c>
      <c r="C195" s="28" t="s">
        <v>261</v>
      </c>
      <c r="D195" s="28" t="s">
        <v>265</v>
      </c>
      <c r="E195" s="28" t="s">
        <v>232</v>
      </c>
      <c r="F195" s="29">
        <f t="shared" ref="F195:O195" si="90">F196+F198+F200+F202</f>
        <v>339528.16000000003</v>
      </c>
      <c r="G195" s="29">
        <f t="shared" si="90"/>
        <v>13037</v>
      </c>
      <c r="H195" s="29">
        <f t="shared" si="90"/>
        <v>0</v>
      </c>
      <c r="I195" s="29">
        <f t="shared" si="90"/>
        <v>0</v>
      </c>
      <c r="J195" s="29">
        <f t="shared" si="90"/>
        <v>0</v>
      </c>
      <c r="K195" s="29">
        <f t="shared" si="90"/>
        <v>0</v>
      </c>
      <c r="L195" s="29">
        <f t="shared" si="90"/>
        <v>268993.89</v>
      </c>
      <c r="M195" s="29">
        <f t="shared" si="90"/>
        <v>57497.270000000004</v>
      </c>
      <c r="N195" s="29">
        <f t="shared" si="90"/>
        <v>0</v>
      </c>
      <c r="O195" s="29">
        <f t="shared" si="90"/>
        <v>0</v>
      </c>
      <c r="P195" s="28" t="s">
        <v>535</v>
      </c>
      <c r="Q195" s="30" t="s">
        <v>36</v>
      </c>
      <c r="R195" s="31" t="s">
        <v>536</v>
      </c>
    </row>
    <row r="196" spans="1:18" ht="93" x14ac:dyDescent="0.25">
      <c r="A196" s="32" t="s">
        <v>537</v>
      </c>
      <c r="B196" s="33" t="s">
        <v>538</v>
      </c>
      <c r="C196" s="34" t="s">
        <v>261</v>
      </c>
      <c r="D196" s="34" t="s">
        <v>448</v>
      </c>
      <c r="E196" s="34" t="s">
        <v>345</v>
      </c>
      <c r="F196" s="35">
        <f>SUM(F197:F197)+36000</f>
        <v>36000</v>
      </c>
      <c r="G196" s="35">
        <f>SUM(G197:G197)+5400</f>
        <v>5400</v>
      </c>
      <c r="H196" s="35">
        <f>SUM(H197:H197)</f>
        <v>0</v>
      </c>
      <c r="I196" s="35">
        <f>SUM(I197:I197)</f>
        <v>0</v>
      </c>
      <c r="J196" s="35">
        <f>SUM(J197:J197)</f>
        <v>0</v>
      </c>
      <c r="K196" s="35">
        <f>SUM(K197:K197)</f>
        <v>0</v>
      </c>
      <c r="L196" s="35">
        <f>SUM(L197:L197)+30600</f>
        <v>30600</v>
      </c>
      <c r="M196" s="35">
        <f>SUM(M197:M197)</f>
        <v>0</v>
      </c>
      <c r="N196" s="35">
        <f>SUM(N197:N197)</f>
        <v>0</v>
      </c>
      <c r="O196" s="35">
        <f>SUM(O197:O197)</f>
        <v>0</v>
      </c>
      <c r="P196" s="34" t="s">
        <v>539</v>
      </c>
      <c r="Q196" s="36" t="s">
        <v>36</v>
      </c>
      <c r="R196" s="37" t="s">
        <v>428</v>
      </c>
    </row>
    <row r="197" spans="1:18" ht="46.5" x14ac:dyDescent="0.25">
      <c r="A197" s="32" t="s">
        <v>540</v>
      </c>
      <c r="B197" s="33" t="s">
        <v>541</v>
      </c>
      <c r="C197" s="34"/>
      <c r="D197" s="34"/>
      <c r="E197" s="34"/>
      <c r="F197" s="38">
        <v>0</v>
      </c>
      <c r="G197" s="38">
        <v>0</v>
      </c>
      <c r="H197" s="38">
        <v>0</v>
      </c>
      <c r="I197" s="38">
        <v>0</v>
      </c>
      <c r="J197" s="38">
        <v>0</v>
      </c>
      <c r="K197" s="38">
        <v>0</v>
      </c>
      <c r="L197" s="38">
        <v>0</v>
      </c>
      <c r="M197" s="38">
        <v>0</v>
      </c>
      <c r="N197" s="38">
        <v>0</v>
      </c>
      <c r="O197" s="38">
        <v>0</v>
      </c>
      <c r="P197" s="34"/>
      <c r="Q197" s="36"/>
      <c r="R197" s="37"/>
    </row>
    <row r="198" spans="1:18" ht="93" x14ac:dyDescent="0.25">
      <c r="A198" s="32" t="s">
        <v>542</v>
      </c>
      <c r="B198" s="33" t="s">
        <v>543</v>
      </c>
      <c r="C198" s="34" t="s">
        <v>261</v>
      </c>
      <c r="D198" s="34" t="s">
        <v>448</v>
      </c>
      <c r="E198" s="34" t="s">
        <v>236</v>
      </c>
      <c r="F198" s="35">
        <f>SUM(F199:F199)+68104.13</f>
        <v>68104.13</v>
      </c>
      <c r="G198" s="35">
        <f>SUM(G199:G199)</f>
        <v>0</v>
      </c>
      <c r="H198" s="35">
        <f>SUM(H199:H199)</f>
        <v>0</v>
      </c>
      <c r="I198" s="35">
        <f>SUM(I199:I199)</f>
        <v>0</v>
      </c>
      <c r="J198" s="35">
        <f>SUM(J199:J199)</f>
        <v>0</v>
      </c>
      <c r="K198" s="35">
        <f>SUM(K199:K199)</f>
        <v>0</v>
      </c>
      <c r="L198" s="35">
        <f>SUM(L199:L199)+56284.41</f>
        <v>56284.41</v>
      </c>
      <c r="M198" s="35">
        <f>SUM(M199:M199)+11819.72</f>
        <v>11819.72</v>
      </c>
      <c r="N198" s="35">
        <f>SUM(N199:N199)</f>
        <v>0</v>
      </c>
      <c r="O198" s="35">
        <f>SUM(O199:O199)</f>
        <v>0</v>
      </c>
      <c r="P198" s="34" t="s">
        <v>544</v>
      </c>
      <c r="Q198" s="36" t="s">
        <v>36</v>
      </c>
      <c r="R198" s="37" t="s">
        <v>48</v>
      </c>
    </row>
    <row r="199" spans="1:18" ht="46.5" x14ac:dyDescent="0.25">
      <c r="A199" s="32" t="s">
        <v>545</v>
      </c>
      <c r="B199" s="33" t="s">
        <v>541</v>
      </c>
      <c r="C199" s="34"/>
      <c r="D199" s="34"/>
      <c r="E199" s="34"/>
      <c r="F199" s="38">
        <v>0</v>
      </c>
      <c r="G199" s="38">
        <v>0</v>
      </c>
      <c r="H199" s="38">
        <v>0</v>
      </c>
      <c r="I199" s="38">
        <v>0</v>
      </c>
      <c r="J199" s="38">
        <v>0</v>
      </c>
      <c r="K199" s="38">
        <v>0</v>
      </c>
      <c r="L199" s="38">
        <v>0</v>
      </c>
      <c r="M199" s="38">
        <v>0</v>
      </c>
      <c r="N199" s="38">
        <v>0</v>
      </c>
      <c r="O199" s="38">
        <v>0</v>
      </c>
      <c r="P199" s="34"/>
      <c r="Q199" s="36"/>
      <c r="R199" s="37"/>
    </row>
    <row r="200" spans="1:18" ht="139.5" x14ac:dyDescent="0.25">
      <c r="A200" s="32" t="s">
        <v>546</v>
      </c>
      <c r="B200" s="33" t="s">
        <v>547</v>
      </c>
      <c r="C200" s="34" t="s">
        <v>261</v>
      </c>
      <c r="D200" s="34" t="s">
        <v>448</v>
      </c>
      <c r="E200" s="34" t="s">
        <v>236</v>
      </c>
      <c r="F200" s="35">
        <f>SUM(F201:F201)+184517.03</f>
        <v>184517.03</v>
      </c>
      <c r="G200" s="35">
        <f>SUM(G201:G201)</f>
        <v>0</v>
      </c>
      <c r="H200" s="35">
        <f>SUM(H201:H201)</f>
        <v>0</v>
      </c>
      <c r="I200" s="35">
        <f>SUM(I201:I201)</f>
        <v>0</v>
      </c>
      <c r="J200" s="35">
        <f>SUM(J201:J201)</f>
        <v>0</v>
      </c>
      <c r="K200" s="35">
        <f>SUM(K201:K201)</f>
        <v>0</v>
      </c>
      <c r="L200" s="35">
        <f>SUM(L201:L201)+138839.48</f>
        <v>138839.48000000001</v>
      </c>
      <c r="M200" s="35">
        <f>SUM(M201:M201)+45677.55</f>
        <v>45677.55</v>
      </c>
      <c r="N200" s="35">
        <f>SUM(N201:N201)</f>
        <v>0</v>
      </c>
      <c r="O200" s="35">
        <f>SUM(O201:O201)</f>
        <v>0</v>
      </c>
      <c r="P200" s="34" t="s">
        <v>548</v>
      </c>
      <c r="Q200" s="36" t="s">
        <v>36</v>
      </c>
      <c r="R200" s="37" t="s">
        <v>48</v>
      </c>
    </row>
    <row r="201" spans="1:18" ht="46.5" x14ac:dyDescent="0.25">
      <c r="A201" s="32" t="s">
        <v>549</v>
      </c>
      <c r="B201" s="33" t="s">
        <v>541</v>
      </c>
      <c r="C201" s="34"/>
      <c r="D201" s="34"/>
      <c r="E201" s="34"/>
      <c r="F201" s="38">
        <v>0</v>
      </c>
      <c r="G201" s="38">
        <v>0</v>
      </c>
      <c r="H201" s="38">
        <v>0</v>
      </c>
      <c r="I201" s="38">
        <v>0</v>
      </c>
      <c r="J201" s="38">
        <v>0</v>
      </c>
      <c r="K201" s="38">
        <v>0</v>
      </c>
      <c r="L201" s="38">
        <v>0</v>
      </c>
      <c r="M201" s="38">
        <v>0</v>
      </c>
      <c r="N201" s="38">
        <v>0</v>
      </c>
      <c r="O201" s="38">
        <v>0</v>
      </c>
      <c r="P201" s="34"/>
      <c r="Q201" s="36"/>
      <c r="R201" s="37"/>
    </row>
    <row r="202" spans="1:18" ht="69.75" x14ac:dyDescent="0.25">
      <c r="A202" s="32" t="s">
        <v>550</v>
      </c>
      <c r="B202" s="33" t="s">
        <v>551</v>
      </c>
      <c r="C202" s="34" t="s">
        <v>261</v>
      </c>
      <c r="D202" s="34" t="s">
        <v>448</v>
      </c>
      <c r="E202" s="34" t="s">
        <v>345</v>
      </c>
      <c r="F202" s="35">
        <f>SUM(F203:F204)+50907</f>
        <v>50907</v>
      </c>
      <c r="G202" s="35">
        <f>SUM(G203:G204)+7637</f>
        <v>7637</v>
      </c>
      <c r="H202" s="35">
        <f>SUM(H203:H204)</f>
        <v>0</v>
      </c>
      <c r="I202" s="35">
        <f>SUM(I203:I204)</f>
        <v>0</v>
      </c>
      <c r="J202" s="35">
        <f>SUM(J203:J204)</f>
        <v>0</v>
      </c>
      <c r="K202" s="35">
        <f>SUM(K203:K204)</f>
        <v>0</v>
      </c>
      <c r="L202" s="35">
        <f>SUM(L203:L204)+43270</f>
        <v>43270</v>
      </c>
      <c r="M202" s="35">
        <f>SUM(M203:M204)</f>
        <v>0</v>
      </c>
      <c r="N202" s="35">
        <f>SUM(N203:N204)</f>
        <v>0</v>
      </c>
      <c r="O202" s="35">
        <f>SUM(O203:O204)</f>
        <v>0</v>
      </c>
      <c r="P202" s="34" t="s">
        <v>552</v>
      </c>
      <c r="Q202" s="36" t="s">
        <v>36</v>
      </c>
      <c r="R202" s="37" t="s">
        <v>428</v>
      </c>
    </row>
    <row r="203" spans="1:18" ht="46.5" x14ac:dyDescent="0.25">
      <c r="A203" s="39"/>
      <c r="B203" s="40"/>
      <c r="C203" s="41"/>
      <c r="D203" s="41"/>
      <c r="E203" s="41"/>
      <c r="F203" s="42">
        <v>0</v>
      </c>
      <c r="G203" s="42">
        <v>0</v>
      </c>
      <c r="H203" s="42">
        <v>0</v>
      </c>
      <c r="I203" s="42">
        <v>0</v>
      </c>
      <c r="J203" s="42">
        <v>0</v>
      </c>
      <c r="K203" s="42">
        <v>0</v>
      </c>
      <c r="L203" s="42">
        <v>0</v>
      </c>
      <c r="M203" s="42">
        <v>0</v>
      </c>
      <c r="N203" s="42">
        <v>0</v>
      </c>
      <c r="O203" s="42">
        <v>0</v>
      </c>
      <c r="P203" s="41" t="s">
        <v>553</v>
      </c>
      <c r="Q203" s="43" t="s">
        <v>36</v>
      </c>
      <c r="R203" s="44" t="s">
        <v>48</v>
      </c>
    </row>
    <row r="204" spans="1:18" ht="93" x14ac:dyDescent="0.25">
      <c r="A204" s="32" t="s">
        <v>554</v>
      </c>
      <c r="B204" s="33" t="s">
        <v>555</v>
      </c>
      <c r="C204" s="34"/>
      <c r="D204" s="34"/>
      <c r="E204" s="34"/>
      <c r="F204" s="38">
        <v>0</v>
      </c>
      <c r="G204" s="38">
        <v>0</v>
      </c>
      <c r="H204" s="38">
        <v>0</v>
      </c>
      <c r="I204" s="38">
        <v>0</v>
      </c>
      <c r="J204" s="38">
        <v>0</v>
      </c>
      <c r="K204" s="38">
        <v>0</v>
      </c>
      <c r="L204" s="38">
        <v>0</v>
      </c>
      <c r="M204" s="38">
        <v>0</v>
      </c>
      <c r="N204" s="38">
        <v>0</v>
      </c>
      <c r="O204" s="38">
        <v>0</v>
      </c>
      <c r="P204" s="34"/>
      <c r="Q204" s="36"/>
      <c r="R204" s="37"/>
    </row>
    <row r="205" spans="1:18" ht="90" x14ac:dyDescent="0.25">
      <c r="A205" s="20" t="s">
        <v>556</v>
      </c>
      <c r="B205" s="21" t="s">
        <v>557</v>
      </c>
      <c r="C205" s="22" t="s">
        <v>261</v>
      </c>
      <c r="D205" s="22" t="s">
        <v>265</v>
      </c>
      <c r="E205" s="22"/>
      <c r="F205" s="23">
        <f t="shared" ref="F205:O205" si="91">F206+F213</f>
        <v>880863.94000000006</v>
      </c>
      <c r="G205" s="23">
        <f t="shared" si="91"/>
        <v>146355.15</v>
      </c>
      <c r="H205" s="23">
        <f t="shared" si="91"/>
        <v>0</v>
      </c>
      <c r="I205" s="23">
        <f t="shared" si="91"/>
        <v>0</v>
      </c>
      <c r="J205" s="23">
        <f t="shared" si="91"/>
        <v>0</v>
      </c>
      <c r="K205" s="23">
        <f t="shared" si="91"/>
        <v>0</v>
      </c>
      <c r="L205" s="23">
        <f t="shared" si="91"/>
        <v>734508.79</v>
      </c>
      <c r="M205" s="23">
        <f t="shared" si="91"/>
        <v>0</v>
      </c>
      <c r="N205" s="23">
        <f t="shared" si="91"/>
        <v>0</v>
      </c>
      <c r="O205" s="23">
        <f t="shared" si="91"/>
        <v>0</v>
      </c>
      <c r="P205" s="22" t="s">
        <v>558</v>
      </c>
      <c r="Q205" s="24" t="s">
        <v>30</v>
      </c>
      <c r="R205" s="25" t="s">
        <v>203</v>
      </c>
    </row>
    <row r="206" spans="1:18" ht="90" x14ac:dyDescent="0.25">
      <c r="A206" s="26" t="s">
        <v>559</v>
      </c>
      <c r="B206" s="27" t="s">
        <v>560</v>
      </c>
      <c r="C206" s="28" t="s">
        <v>261</v>
      </c>
      <c r="D206" s="28" t="s">
        <v>265</v>
      </c>
      <c r="E206" s="28" t="s">
        <v>232</v>
      </c>
      <c r="F206" s="29">
        <f t="shared" ref="F206:O206" si="92">F207+F209+F211</f>
        <v>346355.15</v>
      </c>
      <c r="G206" s="29">
        <f t="shared" si="92"/>
        <v>146355.15</v>
      </c>
      <c r="H206" s="29">
        <f t="shared" si="92"/>
        <v>0</v>
      </c>
      <c r="I206" s="29">
        <f t="shared" si="92"/>
        <v>0</v>
      </c>
      <c r="J206" s="29">
        <f t="shared" si="92"/>
        <v>0</v>
      </c>
      <c r="K206" s="29">
        <f t="shared" si="92"/>
        <v>0</v>
      </c>
      <c r="L206" s="29">
        <f t="shared" si="92"/>
        <v>200000</v>
      </c>
      <c r="M206" s="29">
        <f t="shared" si="92"/>
        <v>0</v>
      </c>
      <c r="N206" s="29">
        <f t="shared" si="92"/>
        <v>0</v>
      </c>
      <c r="O206" s="29">
        <f t="shared" si="92"/>
        <v>0</v>
      </c>
      <c r="P206" s="28" t="s">
        <v>561</v>
      </c>
      <c r="Q206" s="30" t="s">
        <v>30</v>
      </c>
      <c r="R206" s="31" t="s">
        <v>428</v>
      </c>
    </row>
    <row r="207" spans="1:18" ht="93" x14ac:dyDescent="0.25">
      <c r="A207" s="32" t="s">
        <v>562</v>
      </c>
      <c r="B207" s="33" t="s">
        <v>563</v>
      </c>
      <c r="C207" s="34" t="s">
        <v>261</v>
      </c>
      <c r="D207" s="34" t="s">
        <v>272</v>
      </c>
      <c r="E207" s="34" t="s">
        <v>345</v>
      </c>
      <c r="F207" s="35">
        <f>SUM(F208:F208)+156542.06</f>
        <v>156542.06</v>
      </c>
      <c r="G207" s="35">
        <f>SUM(G208:G208)+56542.06</f>
        <v>56542.06</v>
      </c>
      <c r="H207" s="35">
        <f>SUM(H208:H208)</f>
        <v>0</v>
      </c>
      <c r="I207" s="35">
        <f>SUM(I208:I208)</f>
        <v>0</v>
      </c>
      <c r="J207" s="35">
        <f>SUM(J208:J208)</f>
        <v>0</v>
      </c>
      <c r="K207" s="35">
        <f>SUM(K208:K208)</f>
        <v>0</v>
      </c>
      <c r="L207" s="35">
        <f>SUM(L208:L208)+100000</f>
        <v>100000</v>
      </c>
      <c r="M207" s="35">
        <f>SUM(M208:M208)</f>
        <v>0</v>
      </c>
      <c r="N207" s="35">
        <f>SUM(N208:N208)</f>
        <v>0</v>
      </c>
      <c r="O207" s="35">
        <f>SUM(O208:O208)</f>
        <v>0</v>
      </c>
      <c r="P207" s="34" t="s">
        <v>520</v>
      </c>
      <c r="Q207" s="36" t="s">
        <v>36</v>
      </c>
      <c r="R207" s="37" t="s">
        <v>48</v>
      </c>
    </row>
    <row r="208" spans="1:18" ht="93" x14ac:dyDescent="0.25">
      <c r="A208" s="32" t="s">
        <v>564</v>
      </c>
      <c r="B208" s="33" t="s">
        <v>522</v>
      </c>
      <c r="C208" s="34"/>
      <c r="D208" s="34"/>
      <c r="E208" s="34"/>
      <c r="F208" s="38">
        <v>0</v>
      </c>
      <c r="G208" s="38">
        <v>0</v>
      </c>
      <c r="H208" s="38">
        <v>0</v>
      </c>
      <c r="I208" s="38">
        <v>0</v>
      </c>
      <c r="J208" s="38">
        <v>0</v>
      </c>
      <c r="K208" s="38">
        <v>0</v>
      </c>
      <c r="L208" s="38">
        <v>0</v>
      </c>
      <c r="M208" s="38">
        <v>0</v>
      </c>
      <c r="N208" s="38">
        <v>0</v>
      </c>
      <c r="O208" s="38">
        <v>0</v>
      </c>
      <c r="P208" s="34"/>
      <c r="Q208" s="36"/>
      <c r="R208" s="37"/>
    </row>
    <row r="209" spans="1:18" ht="69.75" x14ac:dyDescent="0.25">
      <c r="A209" s="32" t="s">
        <v>565</v>
      </c>
      <c r="B209" s="33" t="s">
        <v>566</v>
      </c>
      <c r="C209" s="34" t="s">
        <v>261</v>
      </c>
      <c r="D209" s="34" t="s">
        <v>272</v>
      </c>
      <c r="E209" s="34" t="s">
        <v>345</v>
      </c>
      <c r="F209" s="35">
        <f>SUM(F210:F210)+156542.06</f>
        <v>156542.06</v>
      </c>
      <c r="G209" s="35">
        <f>SUM(G210:G210)+56542.06</f>
        <v>56542.06</v>
      </c>
      <c r="H209" s="35">
        <f>SUM(H210:H210)</f>
        <v>0</v>
      </c>
      <c r="I209" s="35">
        <f>SUM(I210:I210)</f>
        <v>0</v>
      </c>
      <c r="J209" s="35">
        <f>SUM(J210:J210)</f>
        <v>0</v>
      </c>
      <c r="K209" s="35">
        <f>SUM(K210:K210)</f>
        <v>0</v>
      </c>
      <c r="L209" s="35">
        <f>SUM(L210:L210)+100000</f>
        <v>100000</v>
      </c>
      <c r="M209" s="35">
        <f>SUM(M210:M210)</f>
        <v>0</v>
      </c>
      <c r="N209" s="35">
        <f>SUM(N210:N210)</f>
        <v>0</v>
      </c>
      <c r="O209" s="35">
        <f>SUM(O210:O210)</f>
        <v>0</v>
      </c>
      <c r="P209" s="34" t="s">
        <v>520</v>
      </c>
      <c r="Q209" s="36" t="s">
        <v>36</v>
      </c>
      <c r="R209" s="37" t="s">
        <v>48</v>
      </c>
    </row>
    <row r="210" spans="1:18" ht="93" x14ac:dyDescent="0.25">
      <c r="A210" s="32" t="s">
        <v>567</v>
      </c>
      <c r="B210" s="33" t="s">
        <v>522</v>
      </c>
      <c r="C210" s="34"/>
      <c r="D210" s="34"/>
      <c r="E210" s="34"/>
      <c r="F210" s="38">
        <v>0</v>
      </c>
      <c r="G210" s="38">
        <v>0</v>
      </c>
      <c r="H210" s="38">
        <v>0</v>
      </c>
      <c r="I210" s="38">
        <v>0</v>
      </c>
      <c r="J210" s="38">
        <v>0</v>
      </c>
      <c r="K210" s="38">
        <v>0</v>
      </c>
      <c r="L210" s="38">
        <v>0</v>
      </c>
      <c r="M210" s="38">
        <v>0</v>
      </c>
      <c r="N210" s="38">
        <v>0</v>
      </c>
      <c r="O210" s="38">
        <v>0</v>
      </c>
      <c r="P210" s="34"/>
      <c r="Q210" s="36"/>
      <c r="R210" s="37"/>
    </row>
    <row r="211" spans="1:18" ht="116.25" x14ac:dyDescent="0.25">
      <c r="A211" s="32" t="s">
        <v>568</v>
      </c>
      <c r="B211" s="33" t="s">
        <v>569</v>
      </c>
      <c r="C211" s="34" t="s">
        <v>261</v>
      </c>
      <c r="D211" s="34" t="s">
        <v>272</v>
      </c>
      <c r="E211" s="34" t="s">
        <v>345</v>
      </c>
      <c r="F211" s="35">
        <f>SUM(F212:F212)+33271.03</f>
        <v>33271.03</v>
      </c>
      <c r="G211" s="35">
        <f>SUM(G212:G212)+33271.03</f>
        <v>33271.03</v>
      </c>
      <c r="H211" s="35">
        <f t="shared" ref="H211:O211" si="93">SUM(H212:H212)</f>
        <v>0</v>
      </c>
      <c r="I211" s="35">
        <f t="shared" si="93"/>
        <v>0</v>
      </c>
      <c r="J211" s="35">
        <f t="shared" si="93"/>
        <v>0</v>
      </c>
      <c r="K211" s="35">
        <f t="shared" si="93"/>
        <v>0</v>
      </c>
      <c r="L211" s="35">
        <f t="shared" si="93"/>
        <v>0</v>
      </c>
      <c r="M211" s="35">
        <f t="shared" si="93"/>
        <v>0</v>
      </c>
      <c r="N211" s="35">
        <f t="shared" si="93"/>
        <v>0</v>
      </c>
      <c r="O211" s="35">
        <f t="shared" si="93"/>
        <v>0</v>
      </c>
      <c r="P211" s="34" t="s">
        <v>520</v>
      </c>
      <c r="Q211" s="36" t="s">
        <v>36</v>
      </c>
      <c r="R211" s="37" t="s">
        <v>48</v>
      </c>
    </row>
    <row r="212" spans="1:18" ht="69.75" x14ac:dyDescent="0.25">
      <c r="A212" s="32" t="s">
        <v>570</v>
      </c>
      <c r="B212" s="33" t="s">
        <v>571</v>
      </c>
      <c r="C212" s="34"/>
      <c r="D212" s="34"/>
      <c r="E212" s="34"/>
      <c r="F212" s="38">
        <v>0</v>
      </c>
      <c r="G212" s="38">
        <v>0</v>
      </c>
      <c r="H212" s="38">
        <v>0</v>
      </c>
      <c r="I212" s="38">
        <v>0</v>
      </c>
      <c r="J212" s="38">
        <v>0</v>
      </c>
      <c r="K212" s="38">
        <v>0</v>
      </c>
      <c r="L212" s="38">
        <v>0</v>
      </c>
      <c r="M212" s="38">
        <v>0</v>
      </c>
      <c r="N212" s="38">
        <v>0</v>
      </c>
      <c r="O212" s="38">
        <v>0</v>
      </c>
      <c r="P212" s="34"/>
      <c r="Q212" s="36"/>
      <c r="R212" s="37"/>
    </row>
    <row r="213" spans="1:18" ht="67.5" x14ac:dyDescent="0.25">
      <c r="A213" s="26" t="s">
        <v>572</v>
      </c>
      <c r="B213" s="27" t="s">
        <v>573</v>
      </c>
      <c r="C213" s="28" t="s">
        <v>261</v>
      </c>
      <c r="D213" s="28" t="s">
        <v>265</v>
      </c>
      <c r="E213" s="28" t="s">
        <v>232</v>
      </c>
      <c r="F213" s="29">
        <f t="shared" ref="F213:O213" si="94">SUM(F214:F214)</f>
        <v>534508.79</v>
      </c>
      <c r="G213" s="29">
        <f t="shared" si="94"/>
        <v>0</v>
      </c>
      <c r="H213" s="29">
        <f t="shared" si="94"/>
        <v>0</v>
      </c>
      <c r="I213" s="29">
        <f t="shared" si="94"/>
        <v>0</v>
      </c>
      <c r="J213" s="29">
        <f t="shared" si="94"/>
        <v>0</v>
      </c>
      <c r="K213" s="29">
        <f t="shared" si="94"/>
        <v>0</v>
      </c>
      <c r="L213" s="29">
        <f t="shared" si="94"/>
        <v>534508.79</v>
      </c>
      <c r="M213" s="29">
        <f t="shared" si="94"/>
        <v>0</v>
      </c>
      <c r="N213" s="29">
        <f t="shared" si="94"/>
        <v>0</v>
      </c>
      <c r="O213" s="29">
        <f t="shared" si="94"/>
        <v>0</v>
      </c>
      <c r="P213" s="28" t="s">
        <v>233</v>
      </c>
      <c r="Q213" s="30" t="s">
        <v>30</v>
      </c>
      <c r="R213" s="31" t="s">
        <v>31</v>
      </c>
    </row>
    <row r="214" spans="1:18" ht="69.75" x14ac:dyDescent="0.25">
      <c r="A214" s="32" t="s">
        <v>574</v>
      </c>
      <c r="B214" s="33" t="s">
        <v>575</v>
      </c>
      <c r="C214" s="34" t="s">
        <v>261</v>
      </c>
      <c r="D214" s="34" t="s">
        <v>272</v>
      </c>
      <c r="E214" s="34" t="s">
        <v>345</v>
      </c>
      <c r="F214" s="35">
        <f>SUM(F215:F216)+534508.79</f>
        <v>534508.79</v>
      </c>
      <c r="G214" s="35">
        <f>SUM(G215:G216)</f>
        <v>0</v>
      </c>
      <c r="H214" s="35">
        <f>SUM(H215:H216)</f>
        <v>0</v>
      </c>
      <c r="I214" s="35">
        <f>SUM(I215:I216)</f>
        <v>0</v>
      </c>
      <c r="J214" s="35">
        <f>SUM(J215:J216)</f>
        <v>0</v>
      </c>
      <c r="K214" s="35">
        <f>SUM(K215:K216)</f>
        <v>0</v>
      </c>
      <c r="L214" s="35">
        <f>SUM(L215:L216)+534508.79</f>
        <v>534508.79</v>
      </c>
      <c r="M214" s="35">
        <f>SUM(M215:M216)</f>
        <v>0</v>
      </c>
      <c r="N214" s="35">
        <f>SUM(N215:N216)</f>
        <v>0</v>
      </c>
      <c r="O214" s="35">
        <f>SUM(O215:O216)</f>
        <v>0</v>
      </c>
      <c r="P214" s="34" t="s">
        <v>576</v>
      </c>
      <c r="Q214" s="36" t="s">
        <v>36</v>
      </c>
      <c r="R214" s="37" t="s">
        <v>251</v>
      </c>
    </row>
    <row r="215" spans="1:18" ht="46.5" x14ac:dyDescent="0.25">
      <c r="A215" s="32" t="s">
        <v>577</v>
      </c>
      <c r="B215" s="33" t="s">
        <v>578</v>
      </c>
      <c r="C215" s="34"/>
      <c r="D215" s="34"/>
      <c r="E215" s="34"/>
      <c r="F215" s="38">
        <v>0</v>
      </c>
      <c r="G215" s="38">
        <v>0</v>
      </c>
      <c r="H215" s="38">
        <v>0</v>
      </c>
      <c r="I215" s="38">
        <v>0</v>
      </c>
      <c r="J215" s="38">
        <v>0</v>
      </c>
      <c r="K215" s="38">
        <v>0</v>
      </c>
      <c r="L215" s="38">
        <v>0</v>
      </c>
      <c r="M215" s="38">
        <v>0</v>
      </c>
      <c r="N215" s="38">
        <v>0</v>
      </c>
      <c r="O215" s="38">
        <v>0</v>
      </c>
      <c r="P215" s="34"/>
      <c r="Q215" s="36"/>
      <c r="R215" s="37"/>
    </row>
    <row r="216" spans="1:18" ht="93" x14ac:dyDescent="0.25">
      <c r="A216" s="32" t="s">
        <v>579</v>
      </c>
      <c r="B216" s="33" t="s">
        <v>580</v>
      </c>
      <c r="C216" s="34"/>
      <c r="D216" s="34"/>
      <c r="E216" s="34"/>
      <c r="F216" s="38">
        <v>0</v>
      </c>
      <c r="G216" s="38">
        <v>0</v>
      </c>
      <c r="H216" s="38">
        <v>0</v>
      </c>
      <c r="I216" s="38">
        <v>0</v>
      </c>
      <c r="J216" s="38">
        <v>0</v>
      </c>
      <c r="K216" s="38">
        <v>0</v>
      </c>
      <c r="L216" s="38">
        <v>0</v>
      </c>
      <c r="M216" s="38">
        <v>0</v>
      </c>
      <c r="N216" s="38">
        <v>0</v>
      </c>
      <c r="O216" s="38">
        <v>0</v>
      </c>
      <c r="P216" s="34"/>
      <c r="Q216" s="36"/>
      <c r="R216" s="37"/>
    </row>
    <row r="217" spans="1:18" ht="90" x14ac:dyDescent="0.25">
      <c r="A217" s="20" t="s">
        <v>581</v>
      </c>
      <c r="B217" s="21" t="s">
        <v>582</v>
      </c>
      <c r="C217" s="22" t="s">
        <v>261</v>
      </c>
      <c r="D217" s="22" t="s">
        <v>265</v>
      </c>
      <c r="E217" s="22"/>
      <c r="F217" s="23">
        <f t="shared" ref="F217:O217" si="95">SUM(F218:F218)</f>
        <v>230000</v>
      </c>
      <c r="G217" s="23">
        <f t="shared" si="95"/>
        <v>230000</v>
      </c>
      <c r="H217" s="23">
        <f t="shared" si="95"/>
        <v>0</v>
      </c>
      <c r="I217" s="23">
        <f t="shared" si="95"/>
        <v>0</v>
      </c>
      <c r="J217" s="23">
        <f t="shared" si="95"/>
        <v>0</v>
      </c>
      <c r="K217" s="23">
        <f t="shared" si="95"/>
        <v>0</v>
      </c>
      <c r="L217" s="23">
        <f t="shared" si="95"/>
        <v>0</v>
      </c>
      <c r="M217" s="23">
        <f t="shared" si="95"/>
        <v>0</v>
      </c>
      <c r="N217" s="23">
        <f t="shared" si="95"/>
        <v>0</v>
      </c>
      <c r="O217" s="23">
        <f t="shared" si="95"/>
        <v>0</v>
      </c>
      <c r="P217" s="22" t="s">
        <v>583</v>
      </c>
      <c r="Q217" s="24" t="s">
        <v>30</v>
      </c>
      <c r="R217" s="25" t="s">
        <v>60</v>
      </c>
    </row>
    <row r="218" spans="1:18" ht="112.5" x14ac:dyDescent="0.25">
      <c r="A218" s="26" t="s">
        <v>584</v>
      </c>
      <c r="B218" s="27" t="s">
        <v>585</v>
      </c>
      <c r="C218" s="28" t="s">
        <v>261</v>
      </c>
      <c r="D218" s="28" t="s">
        <v>265</v>
      </c>
      <c r="E218" s="28" t="s">
        <v>232</v>
      </c>
      <c r="F218" s="29">
        <f t="shared" ref="F218:O218" si="96">F219+F221+F223+F225</f>
        <v>230000</v>
      </c>
      <c r="G218" s="29">
        <f t="shared" si="96"/>
        <v>230000</v>
      </c>
      <c r="H218" s="29">
        <f t="shared" si="96"/>
        <v>0</v>
      </c>
      <c r="I218" s="29">
        <f t="shared" si="96"/>
        <v>0</v>
      </c>
      <c r="J218" s="29">
        <f t="shared" si="96"/>
        <v>0</v>
      </c>
      <c r="K218" s="29">
        <f t="shared" si="96"/>
        <v>0</v>
      </c>
      <c r="L218" s="29">
        <f t="shared" si="96"/>
        <v>0</v>
      </c>
      <c r="M218" s="29">
        <f t="shared" si="96"/>
        <v>0</v>
      </c>
      <c r="N218" s="29">
        <f t="shared" si="96"/>
        <v>0</v>
      </c>
      <c r="O218" s="29">
        <f t="shared" si="96"/>
        <v>0</v>
      </c>
      <c r="P218" s="28" t="s">
        <v>586</v>
      </c>
      <c r="Q218" s="30" t="s">
        <v>30</v>
      </c>
      <c r="R218" s="31" t="s">
        <v>428</v>
      </c>
    </row>
    <row r="219" spans="1:18" ht="139.5" x14ac:dyDescent="0.25">
      <c r="A219" s="32" t="s">
        <v>587</v>
      </c>
      <c r="B219" s="33" t="s">
        <v>588</v>
      </c>
      <c r="C219" s="34" t="s">
        <v>261</v>
      </c>
      <c r="D219" s="34" t="s">
        <v>272</v>
      </c>
      <c r="E219" s="34" t="s">
        <v>345</v>
      </c>
      <c r="F219" s="35">
        <f>SUM(F220:F220)+30000</f>
        <v>30000</v>
      </c>
      <c r="G219" s="35">
        <f>SUM(G220:G220)+30000</f>
        <v>30000</v>
      </c>
      <c r="H219" s="35">
        <f t="shared" ref="H219:O219" si="97">SUM(H220:H220)</f>
        <v>0</v>
      </c>
      <c r="I219" s="35">
        <f t="shared" si="97"/>
        <v>0</v>
      </c>
      <c r="J219" s="35">
        <f t="shared" si="97"/>
        <v>0</v>
      </c>
      <c r="K219" s="35">
        <f t="shared" si="97"/>
        <v>0</v>
      </c>
      <c r="L219" s="35">
        <f t="shared" si="97"/>
        <v>0</v>
      </c>
      <c r="M219" s="35">
        <f t="shared" si="97"/>
        <v>0</v>
      </c>
      <c r="N219" s="35">
        <f t="shared" si="97"/>
        <v>0</v>
      </c>
      <c r="O219" s="35">
        <f t="shared" si="97"/>
        <v>0</v>
      </c>
      <c r="P219" s="34" t="s">
        <v>308</v>
      </c>
      <c r="Q219" s="36" t="s">
        <v>36</v>
      </c>
      <c r="R219" s="37" t="s">
        <v>48</v>
      </c>
    </row>
    <row r="220" spans="1:18" ht="46.5" x14ac:dyDescent="0.25">
      <c r="A220" s="32" t="s">
        <v>589</v>
      </c>
      <c r="B220" s="33" t="s">
        <v>460</v>
      </c>
      <c r="C220" s="34"/>
      <c r="D220" s="34"/>
      <c r="E220" s="34"/>
      <c r="F220" s="38">
        <v>0</v>
      </c>
      <c r="G220" s="38">
        <v>0</v>
      </c>
      <c r="H220" s="38">
        <v>0</v>
      </c>
      <c r="I220" s="38">
        <v>0</v>
      </c>
      <c r="J220" s="38">
        <v>0</v>
      </c>
      <c r="K220" s="38">
        <v>0</v>
      </c>
      <c r="L220" s="38">
        <v>0</v>
      </c>
      <c r="M220" s="38">
        <v>0</v>
      </c>
      <c r="N220" s="38">
        <v>0</v>
      </c>
      <c r="O220" s="38">
        <v>0</v>
      </c>
      <c r="P220" s="34"/>
      <c r="Q220" s="36"/>
      <c r="R220" s="37"/>
    </row>
    <row r="221" spans="1:18" ht="69.75" x14ac:dyDescent="0.25">
      <c r="A221" s="32" t="s">
        <v>590</v>
      </c>
      <c r="B221" s="33" t="s">
        <v>591</v>
      </c>
      <c r="C221" s="34" t="s">
        <v>261</v>
      </c>
      <c r="D221" s="34" t="s">
        <v>272</v>
      </c>
      <c r="E221" s="34" t="s">
        <v>345</v>
      </c>
      <c r="F221" s="35">
        <f>SUM(F222:F222)+100000</f>
        <v>100000</v>
      </c>
      <c r="G221" s="35">
        <f>SUM(G222:G222)+100000</f>
        <v>100000</v>
      </c>
      <c r="H221" s="35">
        <f t="shared" ref="H221:O221" si="98">SUM(H222:H222)</f>
        <v>0</v>
      </c>
      <c r="I221" s="35">
        <f t="shared" si="98"/>
        <v>0</v>
      </c>
      <c r="J221" s="35">
        <f t="shared" si="98"/>
        <v>0</v>
      </c>
      <c r="K221" s="35">
        <f t="shared" si="98"/>
        <v>0</v>
      </c>
      <c r="L221" s="35">
        <f t="shared" si="98"/>
        <v>0</v>
      </c>
      <c r="M221" s="35">
        <f t="shared" si="98"/>
        <v>0</v>
      </c>
      <c r="N221" s="35">
        <f t="shared" si="98"/>
        <v>0</v>
      </c>
      <c r="O221" s="35">
        <f t="shared" si="98"/>
        <v>0</v>
      </c>
      <c r="P221" s="34" t="s">
        <v>308</v>
      </c>
      <c r="Q221" s="36" t="s">
        <v>36</v>
      </c>
      <c r="R221" s="37" t="s">
        <v>48</v>
      </c>
    </row>
    <row r="222" spans="1:18" ht="46.5" x14ac:dyDescent="0.25">
      <c r="A222" s="32" t="s">
        <v>592</v>
      </c>
      <c r="B222" s="33" t="s">
        <v>460</v>
      </c>
      <c r="C222" s="34"/>
      <c r="D222" s="34"/>
      <c r="E222" s="34"/>
      <c r="F222" s="38">
        <v>0</v>
      </c>
      <c r="G222" s="38">
        <v>0</v>
      </c>
      <c r="H222" s="38">
        <v>0</v>
      </c>
      <c r="I222" s="38">
        <v>0</v>
      </c>
      <c r="J222" s="38">
        <v>0</v>
      </c>
      <c r="K222" s="38">
        <v>0</v>
      </c>
      <c r="L222" s="38">
        <v>0</v>
      </c>
      <c r="M222" s="38">
        <v>0</v>
      </c>
      <c r="N222" s="38">
        <v>0</v>
      </c>
      <c r="O222" s="38">
        <v>0</v>
      </c>
      <c r="P222" s="34"/>
      <c r="Q222" s="36"/>
      <c r="R222" s="37"/>
    </row>
    <row r="223" spans="1:18" ht="69.75" x14ac:dyDescent="0.25">
      <c r="A223" s="32" t="s">
        <v>593</v>
      </c>
      <c r="B223" s="33" t="s">
        <v>594</v>
      </c>
      <c r="C223" s="34" t="s">
        <v>261</v>
      </c>
      <c r="D223" s="34" t="s">
        <v>272</v>
      </c>
      <c r="E223" s="34" t="s">
        <v>345</v>
      </c>
      <c r="F223" s="35">
        <f>SUM(F224:F224)+50000</f>
        <v>50000</v>
      </c>
      <c r="G223" s="35">
        <f>SUM(G224:G224)+50000</f>
        <v>50000</v>
      </c>
      <c r="H223" s="35">
        <f t="shared" ref="H223:O223" si="99">SUM(H224:H224)</f>
        <v>0</v>
      </c>
      <c r="I223" s="35">
        <f t="shared" si="99"/>
        <v>0</v>
      </c>
      <c r="J223" s="35">
        <f t="shared" si="99"/>
        <v>0</v>
      </c>
      <c r="K223" s="35">
        <f t="shared" si="99"/>
        <v>0</v>
      </c>
      <c r="L223" s="35">
        <f t="shared" si="99"/>
        <v>0</v>
      </c>
      <c r="M223" s="35">
        <f t="shared" si="99"/>
        <v>0</v>
      </c>
      <c r="N223" s="35">
        <f t="shared" si="99"/>
        <v>0</v>
      </c>
      <c r="O223" s="35">
        <f t="shared" si="99"/>
        <v>0</v>
      </c>
      <c r="P223" s="34" t="s">
        <v>308</v>
      </c>
      <c r="Q223" s="36" t="s">
        <v>36</v>
      </c>
      <c r="R223" s="37" t="s">
        <v>48</v>
      </c>
    </row>
    <row r="224" spans="1:18" ht="46.5" x14ac:dyDescent="0.25">
      <c r="A224" s="32" t="s">
        <v>595</v>
      </c>
      <c r="B224" s="33" t="s">
        <v>460</v>
      </c>
      <c r="C224" s="34"/>
      <c r="D224" s="34"/>
      <c r="E224" s="34"/>
      <c r="F224" s="38">
        <v>0</v>
      </c>
      <c r="G224" s="38">
        <v>0</v>
      </c>
      <c r="H224" s="38">
        <v>0</v>
      </c>
      <c r="I224" s="38">
        <v>0</v>
      </c>
      <c r="J224" s="38">
        <v>0</v>
      </c>
      <c r="K224" s="38">
        <v>0</v>
      </c>
      <c r="L224" s="38">
        <v>0</v>
      </c>
      <c r="M224" s="38">
        <v>0</v>
      </c>
      <c r="N224" s="38">
        <v>0</v>
      </c>
      <c r="O224" s="38">
        <v>0</v>
      </c>
      <c r="P224" s="34"/>
      <c r="Q224" s="36"/>
      <c r="R224" s="37"/>
    </row>
    <row r="225" spans="1:18" ht="69.75" x14ac:dyDescent="0.25">
      <c r="A225" s="32" t="s">
        <v>596</v>
      </c>
      <c r="B225" s="33" t="s">
        <v>597</v>
      </c>
      <c r="C225" s="34" t="s">
        <v>261</v>
      </c>
      <c r="D225" s="34" t="s">
        <v>272</v>
      </c>
      <c r="E225" s="34" t="s">
        <v>345</v>
      </c>
      <c r="F225" s="35">
        <f>SUM(F226:F226)+50000</f>
        <v>50000</v>
      </c>
      <c r="G225" s="35">
        <f>SUM(G226:G226)+50000</f>
        <v>50000</v>
      </c>
      <c r="H225" s="35">
        <f t="shared" ref="H225:O225" si="100">SUM(H226:H226)</f>
        <v>0</v>
      </c>
      <c r="I225" s="35">
        <f t="shared" si="100"/>
        <v>0</v>
      </c>
      <c r="J225" s="35">
        <f t="shared" si="100"/>
        <v>0</v>
      </c>
      <c r="K225" s="35">
        <f t="shared" si="100"/>
        <v>0</v>
      </c>
      <c r="L225" s="35">
        <f t="shared" si="100"/>
        <v>0</v>
      </c>
      <c r="M225" s="35">
        <f t="shared" si="100"/>
        <v>0</v>
      </c>
      <c r="N225" s="35">
        <f t="shared" si="100"/>
        <v>0</v>
      </c>
      <c r="O225" s="35">
        <f t="shared" si="100"/>
        <v>0</v>
      </c>
      <c r="P225" s="34" t="s">
        <v>308</v>
      </c>
      <c r="Q225" s="36" t="s">
        <v>36</v>
      </c>
      <c r="R225" s="37" t="s">
        <v>48</v>
      </c>
    </row>
    <row r="226" spans="1:18" ht="46.5" x14ac:dyDescent="0.25">
      <c r="A226" s="32" t="s">
        <v>598</v>
      </c>
      <c r="B226" s="33" t="s">
        <v>460</v>
      </c>
      <c r="C226" s="34"/>
      <c r="D226" s="34"/>
      <c r="E226" s="34"/>
      <c r="F226" s="38">
        <v>0</v>
      </c>
      <c r="G226" s="38">
        <v>0</v>
      </c>
      <c r="H226" s="38">
        <v>0</v>
      </c>
      <c r="I226" s="38">
        <v>0</v>
      </c>
      <c r="J226" s="38">
        <v>0</v>
      </c>
      <c r="K226" s="38">
        <v>0</v>
      </c>
      <c r="L226" s="38">
        <v>0</v>
      </c>
      <c r="M226" s="38">
        <v>0</v>
      </c>
      <c r="N226" s="38">
        <v>0</v>
      </c>
      <c r="O226" s="38">
        <v>0</v>
      </c>
      <c r="P226" s="34"/>
      <c r="Q226" s="36"/>
      <c r="R226" s="37"/>
    </row>
    <row r="227" spans="1:18" ht="157.5" x14ac:dyDescent="0.25">
      <c r="A227" s="20" t="s">
        <v>599</v>
      </c>
      <c r="B227" s="21" t="s">
        <v>600</v>
      </c>
      <c r="C227" s="22" t="s">
        <v>261</v>
      </c>
      <c r="D227" s="22" t="s">
        <v>265</v>
      </c>
      <c r="E227" s="22"/>
      <c r="F227" s="23">
        <f t="shared" ref="F227:O227" si="101">F228+F233</f>
        <v>150000</v>
      </c>
      <c r="G227" s="23">
        <f t="shared" si="101"/>
        <v>150000</v>
      </c>
      <c r="H227" s="23">
        <f t="shared" si="101"/>
        <v>0</v>
      </c>
      <c r="I227" s="23">
        <f t="shared" si="101"/>
        <v>0</v>
      </c>
      <c r="J227" s="23">
        <f t="shared" si="101"/>
        <v>0</v>
      </c>
      <c r="K227" s="23">
        <f t="shared" si="101"/>
        <v>0</v>
      </c>
      <c r="L227" s="23">
        <f t="shared" si="101"/>
        <v>0</v>
      </c>
      <c r="M227" s="23">
        <f t="shared" si="101"/>
        <v>0</v>
      </c>
      <c r="N227" s="23">
        <f t="shared" si="101"/>
        <v>0</v>
      </c>
      <c r="O227" s="23">
        <f t="shared" si="101"/>
        <v>0</v>
      </c>
      <c r="P227" s="22" t="s">
        <v>601</v>
      </c>
      <c r="Q227" s="24" t="s">
        <v>30</v>
      </c>
      <c r="R227" s="25" t="s">
        <v>60</v>
      </c>
    </row>
    <row r="228" spans="1:18" ht="112.5" x14ac:dyDescent="0.25">
      <c r="A228" s="26" t="s">
        <v>602</v>
      </c>
      <c r="B228" s="27" t="s">
        <v>603</v>
      </c>
      <c r="C228" s="28" t="s">
        <v>261</v>
      </c>
      <c r="D228" s="28" t="s">
        <v>265</v>
      </c>
      <c r="E228" s="28" t="s">
        <v>232</v>
      </c>
      <c r="F228" s="29">
        <f t="shared" ref="F228:O228" si="102">SUM(F229:F229)</f>
        <v>100000</v>
      </c>
      <c r="G228" s="29">
        <f t="shared" si="102"/>
        <v>100000</v>
      </c>
      <c r="H228" s="29">
        <f t="shared" si="102"/>
        <v>0</v>
      </c>
      <c r="I228" s="29">
        <f t="shared" si="102"/>
        <v>0</v>
      </c>
      <c r="J228" s="29">
        <f t="shared" si="102"/>
        <v>0</v>
      </c>
      <c r="K228" s="29">
        <f t="shared" si="102"/>
        <v>0</v>
      </c>
      <c r="L228" s="29">
        <f t="shared" si="102"/>
        <v>0</v>
      </c>
      <c r="M228" s="29">
        <f t="shared" si="102"/>
        <v>0</v>
      </c>
      <c r="N228" s="29">
        <f t="shared" si="102"/>
        <v>0</v>
      </c>
      <c r="O228" s="29">
        <f t="shared" si="102"/>
        <v>0</v>
      </c>
      <c r="P228" s="28" t="s">
        <v>604</v>
      </c>
      <c r="Q228" s="30" t="s">
        <v>30</v>
      </c>
      <c r="R228" s="31" t="s">
        <v>605</v>
      </c>
    </row>
    <row r="229" spans="1:18" ht="69.75" x14ac:dyDescent="0.25">
      <c r="A229" s="32" t="s">
        <v>606</v>
      </c>
      <c r="B229" s="33" t="s">
        <v>607</v>
      </c>
      <c r="C229" s="34" t="s">
        <v>261</v>
      </c>
      <c r="D229" s="34" t="s">
        <v>302</v>
      </c>
      <c r="E229" s="34" t="s">
        <v>345</v>
      </c>
      <c r="F229" s="35">
        <f>SUM(F230:F232)+100000</f>
        <v>100000</v>
      </c>
      <c r="G229" s="35">
        <f>SUM(G230:G232)+100000</f>
        <v>100000</v>
      </c>
      <c r="H229" s="35">
        <f t="shared" ref="H229:O229" si="103">SUM(H230:H232)</f>
        <v>0</v>
      </c>
      <c r="I229" s="35">
        <f t="shared" si="103"/>
        <v>0</v>
      </c>
      <c r="J229" s="35">
        <f t="shared" si="103"/>
        <v>0</v>
      </c>
      <c r="K229" s="35">
        <f t="shared" si="103"/>
        <v>0</v>
      </c>
      <c r="L229" s="35">
        <f t="shared" si="103"/>
        <v>0</v>
      </c>
      <c r="M229" s="35">
        <f t="shared" si="103"/>
        <v>0</v>
      </c>
      <c r="N229" s="35">
        <f t="shared" si="103"/>
        <v>0</v>
      </c>
      <c r="O229" s="35">
        <f t="shared" si="103"/>
        <v>0</v>
      </c>
      <c r="P229" s="34" t="s">
        <v>308</v>
      </c>
      <c r="Q229" s="36" t="s">
        <v>36</v>
      </c>
      <c r="R229" s="37" t="s">
        <v>48</v>
      </c>
    </row>
    <row r="230" spans="1:18" ht="69.75" x14ac:dyDescent="0.25">
      <c r="A230" s="39"/>
      <c r="B230" s="40"/>
      <c r="C230" s="41"/>
      <c r="D230" s="41"/>
      <c r="E230" s="41"/>
      <c r="F230" s="42">
        <v>0</v>
      </c>
      <c r="G230" s="42">
        <v>0</v>
      </c>
      <c r="H230" s="42">
        <v>0</v>
      </c>
      <c r="I230" s="42">
        <v>0</v>
      </c>
      <c r="J230" s="42">
        <v>0</v>
      </c>
      <c r="K230" s="42">
        <v>0</v>
      </c>
      <c r="L230" s="42">
        <v>0</v>
      </c>
      <c r="M230" s="42">
        <v>0</v>
      </c>
      <c r="N230" s="42">
        <v>0</v>
      </c>
      <c r="O230" s="42">
        <v>0</v>
      </c>
      <c r="P230" s="41" t="s">
        <v>520</v>
      </c>
      <c r="Q230" s="43" t="s">
        <v>36</v>
      </c>
      <c r="R230" s="44" t="s">
        <v>48</v>
      </c>
    </row>
    <row r="231" spans="1:18" ht="93" x14ac:dyDescent="0.25">
      <c r="A231" s="32" t="s">
        <v>608</v>
      </c>
      <c r="B231" s="33" t="s">
        <v>522</v>
      </c>
      <c r="C231" s="34"/>
      <c r="D231" s="34"/>
      <c r="E231" s="34"/>
      <c r="F231" s="38">
        <v>0</v>
      </c>
      <c r="G231" s="38">
        <v>0</v>
      </c>
      <c r="H231" s="38">
        <v>0</v>
      </c>
      <c r="I231" s="38">
        <v>0</v>
      </c>
      <c r="J231" s="38">
        <v>0</v>
      </c>
      <c r="K231" s="38">
        <v>0</v>
      </c>
      <c r="L231" s="38">
        <v>0</v>
      </c>
      <c r="M231" s="38">
        <v>0</v>
      </c>
      <c r="N231" s="38">
        <v>0</v>
      </c>
      <c r="O231" s="38">
        <v>0</v>
      </c>
      <c r="P231" s="34"/>
      <c r="Q231" s="36"/>
      <c r="R231" s="37"/>
    </row>
    <row r="232" spans="1:18" ht="46.5" x14ac:dyDescent="0.25">
      <c r="A232" s="32" t="s">
        <v>609</v>
      </c>
      <c r="B232" s="33" t="s">
        <v>460</v>
      </c>
      <c r="C232" s="34"/>
      <c r="D232" s="34"/>
      <c r="E232" s="34"/>
      <c r="F232" s="38">
        <v>0</v>
      </c>
      <c r="G232" s="38">
        <v>0</v>
      </c>
      <c r="H232" s="38">
        <v>0</v>
      </c>
      <c r="I232" s="38">
        <v>0</v>
      </c>
      <c r="J232" s="38">
        <v>0</v>
      </c>
      <c r="K232" s="38">
        <v>0</v>
      </c>
      <c r="L232" s="38">
        <v>0</v>
      </c>
      <c r="M232" s="38">
        <v>0</v>
      </c>
      <c r="N232" s="38">
        <v>0</v>
      </c>
      <c r="O232" s="38">
        <v>0</v>
      </c>
      <c r="P232" s="34"/>
      <c r="Q232" s="36"/>
      <c r="R232" s="37"/>
    </row>
    <row r="233" spans="1:18" ht="67.5" x14ac:dyDescent="0.25">
      <c r="A233" s="26" t="s">
        <v>610</v>
      </c>
      <c r="B233" s="27" t="s">
        <v>611</v>
      </c>
      <c r="C233" s="28" t="s">
        <v>261</v>
      </c>
      <c r="D233" s="28" t="s">
        <v>265</v>
      </c>
      <c r="E233" s="28" t="s">
        <v>232</v>
      </c>
      <c r="F233" s="29">
        <f t="shared" ref="F233:O233" si="104">SUM(F234:F234)</f>
        <v>50000</v>
      </c>
      <c r="G233" s="29">
        <f t="shared" si="104"/>
        <v>50000</v>
      </c>
      <c r="H233" s="29">
        <f t="shared" si="104"/>
        <v>0</v>
      </c>
      <c r="I233" s="29">
        <f t="shared" si="104"/>
        <v>0</v>
      </c>
      <c r="J233" s="29">
        <f t="shared" si="104"/>
        <v>0</v>
      </c>
      <c r="K233" s="29">
        <f t="shared" si="104"/>
        <v>0</v>
      </c>
      <c r="L233" s="29">
        <f t="shared" si="104"/>
        <v>0</v>
      </c>
      <c r="M233" s="29">
        <f t="shared" si="104"/>
        <v>0</v>
      </c>
      <c r="N233" s="29">
        <f t="shared" si="104"/>
        <v>0</v>
      </c>
      <c r="O233" s="29">
        <f t="shared" si="104"/>
        <v>0</v>
      </c>
      <c r="P233" s="28" t="s">
        <v>612</v>
      </c>
      <c r="Q233" s="30" t="s">
        <v>30</v>
      </c>
      <c r="R233" s="31" t="s">
        <v>613</v>
      </c>
    </row>
    <row r="234" spans="1:18" ht="116.25" x14ac:dyDescent="0.25">
      <c r="A234" s="32" t="s">
        <v>614</v>
      </c>
      <c r="B234" s="33" t="s">
        <v>615</v>
      </c>
      <c r="C234" s="34" t="s">
        <v>261</v>
      </c>
      <c r="D234" s="34" t="s">
        <v>302</v>
      </c>
      <c r="E234" s="34" t="s">
        <v>345</v>
      </c>
      <c r="F234" s="35">
        <f>SUM(F235:F235)+50000</f>
        <v>50000</v>
      </c>
      <c r="G234" s="35">
        <f>SUM(G235:G235)+50000</f>
        <v>50000</v>
      </c>
      <c r="H234" s="35">
        <f t="shared" ref="H234:O234" si="105">SUM(H235:H235)</f>
        <v>0</v>
      </c>
      <c r="I234" s="35">
        <f t="shared" si="105"/>
        <v>0</v>
      </c>
      <c r="J234" s="35">
        <f t="shared" si="105"/>
        <v>0</v>
      </c>
      <c r="K234" s="35">
        <f t="shared" si="105"/>
        <v>0</v>
      </c>
      <c r="L234" s="35">
        <f t="shared" si="105"/>
        <v>0</v>
      </c>
      <c r="M234" s="35">
        <f t="shared" si="105"/>
        <v>0</v>
      </c>
      <c r="N234" s="35">
        <f t="shared" si="105"/>
        <v>0</v>
      </c>
      <c r="O234" s="35">
        <f t="shared" si="105"/>
        <v>0</v>
      </c>
      <c r="P234" s="34" t="s">
        <v>308</v>
      </c>
      <c r="Q234" s="36" t="s">
        <v>36</v>
      </c>
      <c r="R234" s="37" t="s">
        <v>48</v>
      </c>
    </row>
    <row r="235" spans="1:18" ht="46.5" x14ac:dyDescent="0.25">
      <c r="A235" s="32" t="s">
        <v>616</v>
      </c>
      <c r="B235" s="33" t="s">
        <v>460</v>
      </c>
      <c r="C235" s="34"/>
      <c r="D235" s="34"/>
      <c r="E235" s="34"/>
      <c r="F235" s="38">
        <v>0</v>
      </c>
      <c r="G235" s="38">
        <v>0</v>
      </c>
      <c r="H235" s="38">
        <v>0</v>
      </c>
      <c r="I235" s="38">
        <v>0</v>
      </c>
      <c r="J235" s="38">
        <v>0</v>
      </c>
      <c r="K235" s="38">
        <v>0</v>
      </c>
      <c r="L235" s="38">
        <v>0</v>
      </c>
      <c r="M235" s="38">
        <v>0</v>
      </c>
      <c r="N235" s="38">
        <v>0</v>
      </c>
      <c r="O235" s="38">
        <v>0</v>
      </c>
      <c r="P235" s="34"/>
      <c r="Q235" s="36"/>
      <c r="R235" s="37"/>
    </row>
    <row r="236" spans="1:18" ht="135" x14ac:dyDescent="0.25">
      <c r="A236" s="20" t="s">
        <v>617</v>
      </c>
      <c r="B236" s="21" t="s">
        <v>618</v>
      </c>
      <c r="C236" s="22" t="s">
        <v>619</v>
      </c>
      <c r="D236" s="22" t="s">
        <v>620</v>
      </c>
      <c r="E236" s="22"/>
      <c r="F236" s="23">
        <f t="shared" ref="F236:O237" si="106">SUM(F237:F237)</f>
        <v>30000</v>
      </c>
      <c r="G236" s="23">
        <f t="shared" si="106"/>
        <v>30000</v>
      </c>
      <c r="H236" s="23">
        <f t="shared" si="106"/>
        <v>0</v>
      </c>
      <c r="I236" s="23">
        <f t="shared" si="106"/>
        <v>0</v>
      </c>
      <c r="J236" s="23">
        <f t="shared" si="106"/>
        <v>0</v>
      </c>
      <c r="K236" s="23">
        <f t="shared" si="106"/>
        <v>0</v>
      </c>
      <c r="L236" s="23">
        <f t="shared" si="106"/>
        <v>0</v>
      </c>
      <c r="M236" s="23">
        <f t="shared" si="106"/>
        <v>0</v>
      </c>
      <c r="N236" s="23">
        <f t="shared" si="106"/>
        <v>0</v>
      </c>
      <c r="O236" s="23">
        <f t="shared" si="106"/>
        <v>0</v>
      </c>
      <c r="P236" s="22" t="s">
        <v>621</v>
      </c>
      <c r="Q236" s="24" t="s">
        <v>1977</v>
      </c>
      <c r="R236" s="25" t="s">
        <v>100</v>
      </c>
    </row>
    <row r="237" spans="1:18" ht="67.5" x14ac:dyDescent="0.25">
      <c r="A237" s="26" t="s">
        <v>622</v>
      </c>
      <c r="B237" s="27" t="s">
        <v>623</v>
      </c>
      <c r="C237" s="28" t="s">
        <v>619</v>
      </c>
      <c r="D237" s="28" t="s">
        <v>620</v>
      </c>
      <c r="E237" s="28" t="s">
        <v>232</v>
      </c>
      <c r="F237" s="29">
        <f t="shared" si="106"/>
        <v>30000</v>
      </c>
      <c r="G237" s="29">
        <f t="shared" si="106"/>
        <v>30000</v>
      </c>
      <c r="H237" s="29">
        <f t="shared" si="106"/>
        <v>0</v>
      </c>
      <c r="I237" s="29">
        <f t="shared" si="106"/>
        <v>0</v>
      </c>
      <c r="J237" s="29">
        <f t="shared" si="106"/>
        <v>0</v>
      </c>
      <c r="K237" s="29">
        <f t="shared" si="106"/>
        <v>0</v>
      </c>
      <c r="L237" s="29">
        <f t="shared" si="106"/>
        <v>0</v>
      </c>
      <c r="M237" s="29">
        <f t="shared" si="106"/>
        <v>0</v>
      </c>
      <c r="N237" s="29">
        <f t="shared" si="106"/>
        <v>0</v>
      </c>
      <c r="O237" s="29">
        <f t="shared" si="106"/>
        <v>0</v>
      </c>
      <c r="P237" s="28" t="s">
        <v>624</v>
      </c>
      <c r="Q237" s="30" t="s">
        <v>30</v>
      </c>
      <c r="R237" s="31" t="s">
        <v>625</v>
      </c>
    </row>
    <row r="238" spans="1:18" ht="93" x14ac:dyDescent="0.25">
      <c r="A238" s="32" t="s">
        <v>626</v>
      </c>
      <c r="B238" s="33" t="s">
        <v>627</v>
      </c>
      <c r="C238" s="34" t="s">
        <v>619</v>
      </c>
      <c r="D238" s="34" t="s">
        <v>620</v>
      </c>
      <c r="E238" s="34" t="s">
        <v>236</v>
      </c>
      <c r="F238" s="35">
        <f>SUM(F239:F239)+30000</f>
        <v>30000</v>
      </c>
      <c r="G238" s="35">
        <f>SUM(G239:G239)+30000</f>
        <v>30000</v>
      </c>
      <c r="H238" s="35">
        <f t="shared" ref="H238:O238" si="107">SUM(H239:H239)</f>
        <v>0</v>
      </c>
      <c r="I238" s="35">
        <f t="shared" si="107"/>
        <v>0</v>
      </c>
      <c r="J238" s="35">
        <f t="shared" si="107"/>
        <v>0</v>
      </c>
      <c r="K238" s="35">
        <f t="shared" si="107"/>
        <v>0</v>
      </c>
      <c r="L238" s="35">
        <f t="shared" si="107"/>
        <v>0</v>
      </c>
      <c r="M238" s="35">
        <f t="shared" si="107"/>
        <v>0</v>
      </c>
      <c r="N238" s="35">
        <f t="shared" si="107"/>
        <v>0</v>
      </c>
      <c r="O238" s="35">
        <f t="shared" si="107"/>
        <v>0</v>
      </c>
      <c r="P238" s="34" t="s">
        <v>628</v>
      </c>
      <c r="Q238" s="36" t="s">
        <v>36</v>
      </c>
      <c r="R238" s="37" t="s">
        <v>48</v>
      </c>
    </row>
    <row r="239" spans="1:18" ht="46.5" x14ac:dyDescent="0.25">
      <c r="A239" s="32" t="s">
        <v>629</v>
      </c>
      <c r="B239" s="33" t="s">
        <v>630</v>
      </c>
      <c r="C239" s="34"/>
      <c r="D239" s="34"/>
      <c r="E239" s="34"/>
      <c r="F239" s="38">
        <v>0</v>
      </c>
      <c r="G239" s="38">
        <v>0</v>
      </c>
      <c r="H239" s="38">
        <v>0</v>
      </c>
      <c r="I239" s="38">
        <v>0</v>
      </c>
      <c r="J239" s="38">
        <v>0</v>
      </c>
      <c r="K239" s="38">
        <v>0</v>
      </c>
      <c r="L239" s="38">
        <v>0</v>
      </c>
      <c r="M239" s="38">
        <v>0</v>
      </c>
      <c r="N239" s="38">
        <v>0</v>
      </c>
      <c r="O239" s="38">
        <v>0</v>
      </c>
      <c r="P239" s="34"/>
      <c r="Q239" s="36"/>
      <c r="R239" s="37"/>
    </row>
    <row r="240" spans="1:18" ht="45" x14ac:dyDescent="0.25">
      <c r="A240" s="14" t="s">
        <v>631</v>
      </c>
      <c r="B240" s="15" t="s">
        <v>632</v>
      </c>
      <c r="C240" s="16" t="s">
        <v>24</v>
      </c>
      <c r="D240" s="16" t="s">
        <v>633</v>
      </c>
      <c r="E240" s="16"/>
      <c r="F240" s="17">
        <f t="shared" ref="F240:O240" si="108">F241+F248+F262</f>
        <v>268897.2</v>
      </c>
      <c r="G240" s="17">
        <f t="shared" si="108"/>
        <v>216897.2</v>
      </c>
      <c r="H240" s="17">
        <f t="shared" si="108"/>
        <v>0</v>
      </c>
      <c r="I240" s="17">
        <f t="shared" si="108"/>
        <v>0</v>
      </c>
      <c r="J240" s="17">
        <f t="shared" si="108"/>
        <v>0</v>
      </c>
      <c r="K240" s="17">
        <f t="shared" si="108"/>
        <v>0</v>
      </c>
      <c r="L240" s="17">
        <f t="shared" si="108"/>
        <v>0</v>
      </c>
      <c r="M240" s="17">
        <f t="shared" si="108"/>
        <v>52000</v>
      </c>
      <c r="N240" s="17">
        <f t="shared" si="108"/>
        <v>0</v>
      </c>
      <c r="O240" s="17">
        <f t="shared" si="108"/>
        <v>0</v>
      </c>
      <c r="P240" s="16"/>
      <c r="Q240" s="18"/>
      <c r="R240" s="19"/>
    </row>
    <row r="241" spans="1:18" ht="90" x14ac:dyDescent="0.25">
      <c r="A241" s="20" t="s">
        <v>634</v>
      </c>
      <c r="B241" s="21" t="s">
        <v>635</v>
      </c>
      <c r="C241" s="22" t="s">
        <v>24</v>
      </c>
      <c r="D241" s="22" t="s">
        <v>636</v>
      </c>
      <c r="E241" s="22"/>
      <c r="F241" s="23">
        <f t="shared" ref="F241:O241" si="109">F242+F245</f>
        <v>2000</v>
      </c>
      <c r="G241" s="23">
        <f t="shared" si="109"/>
        <v>2000</v>
      </c>
      <c r="H241" s="23">
        <f t="shared" si="109"/>
        <v>0</v>
      </c>
      <c r="I241" s="23">
        <f t="shared" si="109"/>
        <v>0</v>
      </c>
      <c r="J241" s="23">
        <f t="shared" si="109"/>
        <v>0</v>
      </c>
      <c r="K241" s="23">
        <f t="shared" si="109"/>
        <v>0</v>
      </c>
      <c r="L241" s="23">
        <f t="shared" si="109"/>
        <v>0</v>
      </c>
      <c r="M241" s="23">
        <f t="shared" si="109"/>
        <v>0</v>
      </c>
      <c r="N241" s="23">
        <f t="shared" si="109"/>
        <v>0</v>
      </c>
      <c r="O241" s="23">
        <f t="shared" si="109"/>
        <v>0</v>
      </c>
      <c r="P241" s="22" t="s">
        <v>637</v>
      </c>
      <c r="Q241" s="24" t="s">
        <v>30</v>
      </c>
      <c r="R241" s="25" t="s">
        <v>638</v>
      </c>
    </row>
    <row r="242" spans="1:18" ht="90" x14ac:dyDescent="0.25">
      <c r="A242" s="26" t="s">
        <v>639</v>
      </c>
      <c r="B242" s="27" t="s">
        <v>640</v>
      </c>
      <c r="C242" s="28"/>
      <c r="D242" s="28" t="s">
        <v>636</v>
      </c>
      <c r="E242" s="28" t="s">
        <v>34</v>
      </c>
      <c r="F242" s="29">
        <f t="shared" ref="F242:O242" si="110">SUM(F243:F243)</f>
        <v>2000</v>
      </c>
      <c r="G242" s="29">
        <f t="shared" si="110"/>
        <v>2000</v>
      </c>
      <c r="H242" s="29">
        <f t="shared" si="110"/>
        <v>0</v>
      </c>
      <c r="I242" s="29">
        <f t="shared" si="110"/>
        <v>0</v>
      </c>
      <c r="J242" s="29">
        <f t="shared" si="110"/>
        <v>0</v>
      </c>
      <c r="K242" s="29">
        <f t="shared" si="110"/>
        <v>0</v>
      </c>
      <c r="L242" s="29">
        <f t="shared" si="110"/>
        <v>0</v>
      </c>
      <c r="M242" s="29">
        <f t="shared" si="110"/>
        <v>0</v>
      </c>
      <c r="N242" s="29">
        <f t="shared" si="110"/>
        <v>0</v>
      </c>
      <c r="O242" s="29">
        <f t="shared" si="110"/>
        <v>0</v>
      </c>
      <c r="P242" s="28" t="s">
        <v>641</v>
      </c>
      <c r="Q242" s="30" t="s">
        <v>36</v>
      </c>
      <c r="R242" s="31" t="s">
        <v>371</v>
      </c>
    </row>
    <row r="243" spans="1:18" ht="209.25" x14ac:dyDescent="0.25">
      <c r="A243" s="32" t="s">
        <v>642</v>
      </c>
      <c r="B243" s="33" t="s">
        <v>643</v>
      </c>
      <c r="C243" s="34" t="s">
        <v>24</v>
      </c>
      <c r="D243" s="34" t="s">
        <v>636</v>
      </c>
      <c r="E243" s="34" t="s">
        <v>41</v>
      </c>
      <c r="F243" s="35">
        <f>SUM(F244:F244)+2000</f>
        <v>2000</v>
      </c>
      <c r="G243" s="35">
        <f>SUM(G244:G244)+2000</f>
        <v>2000</v>
      </c>
      <c r="H243" s="35">
        <f t="shared" ref="H243:O243" si="111">SUM(H244:H244)</f>
        <v>0</v>
      </c>
      <c r="I243" s="35">
        <f t="shared" si="111"/>
        <v>0</v>
      </c>
      <c r="J243" s="35">
        <f t="shared" si="111"/>
        <v>0</v>
      </c>
      <c r="K243" s="35">
        <f t="shared" si="111"/>
        <v>0</v>
      </c>
      <c r="L243" s="35">
        <f t="shared" si="111"/>
        <v>0</v>
      </c>
      <c r="M243" s="35">
        <f t="shared" si="111"/>
        <v>0</v>
      </c>
      <c r="N243" s="35">
        <f t="shared" si="111"/>
        <v>0</v>
      </c>
      <c r="O243" s="35">
        <f t="shared" si="111"/>
        <v>0</v>
      </c>
      <c r="P243" s="34" t="s">
        <v>644</v>
      </c>
      <c r="Q243" s="36" t="s">
        <v>36</v>
      </c>
      <c r="R243" s="37" t="s">
        <v>371</v>
      </c>
    </row>
    <row r="244" spans="1:18" ht="46.5" x14ac:dyDescent="0.25">
      <c r="A244" s="32" t="s">
        <v>645</v>
      </c>
      <c r="B244" s="33" t="s">
        <v>646</v>
      </c>
      <c r="C244" s="34"/>
      <c r="D244" s="34"/>
      <c r="E244" s="34"/>
      <c r="F244" s="38">
        <v>0</v>
      </c>
      <c r="G244" s="38">
        <v>0</v>
      </c>
      <c r="H244" s="38">
        <v>0</v>
      </c>
      <c r="I244" s="38">
        <v>0</v>
      </c>
      <c r="J244" s="38">
        <v>0</v>
      </c>
      <c r="K244" s="38">
        <v>0</v>
      </c>
      <c r="L244" s="38">
        <v>0</v>
      </c>
      <c r="M244" s="38">
        <v>0</v>
      </c>
      <c r="N244" s="38">
        <v>0</v>
      </c>
      <c r="O244" s="38">
        <v>0</v>
      </c>
      <c r="P244" s="34"/>
      <c r="Q244" s="36"/>
      <c r="R244" s="37"/>
    </row>
    <row r="245" spans="1:18" ht="90" x14ac:dyDescent="0.25">
      <c r="A245" s="26" t="s">
        <v>647</v>
      </c>
      <c r="B245" s="27" t="s">
        <v>648</v>
      </c>
      <c r="C245" s="28"/>
      <c r="D245" s="28" t="s">
        <v>636</v>
      </c>
      <c r="E245" s="28" t="s">
        <v>34</v>
      </c>
      <c r="F245" s="29">
        <f t="shared" ref="F245:O246" si="112">SUM(F246:F246)</f>
        <v>0</v>
      </c>
      <c r="G245" s="29">
        <f t="shared" si="112"/>
        <v>0</v>
      </c>
      <c r="H245" s="29">
        <f t="shared" si="112"/>
        <v>0</v>
      </c>
      <c r="I245" s="29">
        <f t="shared" si="112"/>
        <v>0</v>
      </c>
      <c r="J245" s="29">
        <f t="shared" si="112"/>
        <v>0</v>
      </c>
      <c r="K245" s="29">
        <f t="shared" si="112"/>
        <v>0</v>
      </c>
      <c r="L245" s="29">
        <f t="shared" si="112"/>
        <v>0</v>
      </c>
      <c r="M245" s="29">
        <f t="shared" si="112"/>
        <v>0</v>
      </c>
      <c r="N245" s="29">
        <f t="shared" si="112"/>
        <v>0</v>
      </c>
      <c r="O245" s="29">
        <f t="shared" si="112"/>
        <v>0</v>
      </c>
      <c r="P245" s="28" t="s">
        <v>649</v>
      </c>
      <c r="Q245" s="30" t="s">
        <v>36</v>
      </c>
      <c r="R245" s="31" t="s">
        <v>251</v>
      </c>
    </row>
    <row r="246" spans="1:18" ht="46.5" x14ac:dyDescent="0.25">
      <c r="A246" s="32" t="s">
        <v>650</v>
      </c>
      <c r="B246" s="33" t="s">
        <v>651</v>
      </c>
      <c r="C246" s="34" t="s">
        <v>24</v>
      </c>
      <c r="D246" s="34" t="s">
        <v>636</v>
      </c>
      <c r="E246" s="34" t="s">
        <v>41</v>
      </c>
      <c r="F246" s="35">
        <f t="shared" si="112"/>
        <v>0</v>
      </c>
      <c r="G246" s="35">
        <f t="shared" si="112"/>
        <v>0</v>
      </c>
      <c r="H246" s="35">
        <f t="shared" si="112"/>
        <v>0</v>
      </c>
      <c r="I246" s="35">
        <f t="shared" si="112"/>
        <v>0</v>
      </c>
      <c r="J246" s="35">
        <f t="shared" si="112"/>
        <v>0</v>
      </c>
      <c r="K246" s="35">
        <f t="shared" si="112"/>
        <v>0</v>
      </c>
      <c r="L246" s="35">
        <f t="shared" si="112"/>
        <v>0</v>
      </c>
      <c r="M246" s="35">
        <f t="shared" si="112"/>
        <v>0</v>
      </c>
      <c r="N246" s="35">
        <f t="shared" si="112"/>
        <v>0</v>
      </c>
      <c r="O246" s="35">
        <f t="shared" si="112"/>
        <v>0</v>
      </c>
      <c r="P246" s="34" t="s">
        <v>652</v>
      </c>
      <c r="Q246" s="36" t="s">
        <v>36</v>
      </c>
      <c r="R246" s="37" t="s">
        <v>251</v>
      </c>
    </row>
    <row r="247" spans="1:18" ht="46.5" x14ac:dyDescent="0.25">
      <c r="A247" s="32" t="s">
        <v>653</v>
      </c>
      <c r="B247" s="33" t="s">
        <v>654</v>
      </c>
      <c r="C247" s="34"/>
      <c r="D247" s="34"/>
      <c r="E247" s="34"/>
      <c r="F247" s="38">
        <v>0</v>
      </c>
      <c r="G247" s="38">
        <v>0</v>
      </c>
      <c r="H247" s="38">
        <v>0</v>
      </c>
      <c r="I247" s="38">
        <v>0</v>
      </c>
      <c r="J247" s="38">
        <v>0</v>
      </c>
      <c r="K247" s="38">
        <v>0</v>
      </c>
      <c r="L247" s="38">
        <v>0</v>
      </c>
      <c r="M247" s="38">
        <v>0</v>
      </c>
      <c r="N247" s="38">
        <v>0</v>
      </c>
      <c r="O247" s="38">
        <v>0</v>
      </c>
      <c r="P247" s="34"/>
      <c r="Q247" s="36"/>
      <c r="R247" s="37"/>
    </row>
    <row r="248" spans="1:18" ht="112.5" x14ac:dyDescent="0.25">
      <c r="A248" s="20" t="s">
        <v>655</v>
      </c>
      <c r="B248" s="21" t="s">
        <v>656</v>
      </c>
      <c r="C248" s="22"/>
      <c r="D248" s="22" t="s">
        <v>657</v>
      </c>
      <c r="E248" s="22"/>
      <c r="F248" s="23">
        <f t="shared" ref="F248:O248" si="113">F249+F258</f>
        <v>197700</v>
      </c>
      <c r="G248" s="23">
        <f t="shared" si="113"/>
        <v>145700</v>
      </c>
      <c r="H248" s="23">
        <f t="shared" si="113"/>
        <v>0</v>
      </c>
      <c r="I248" s="23">
        <f t="shared" si="113"/>
        <v>0</v>
      </c>
      <c r="J248" s="23">
        <f t="shared" si="113"/>
        <v>0</v>
      </c>
      <c r="K248" s="23">
        <f t="shared" si="113"/>
        <v>0</v>
      </c>
      <c r="L248" s="23">
        <f t="shared" si="113"/>
        <v>0</v>
      </c>
      <c r="M248" s="23">
        <f t="shared" si="113"/>
        <v>52000</v>
      </c>
      <c r="N248" s="23">
        <f t="shared" si="113"/>
        <v>0</v>
      </c>
      <c r="O248" s="23">
        <f t="shared" si="113"/>
        <v>0</v>
      </c>
      <c r="P248" s="22" t="s">
        <v>658</v>
      </c>
      <c r="Q248" s="24" t="s">
        <v>30</v>
      </c>
      <c r="R248" s="25" t="s">
        <v>659</v>
      </c>
    </row>
    <row r="249" spans="1:18" ht="112.5" x14ac:dyDescent="0.25">
      <c r="A249" s="26" t="s">
        <v>660</v>
      </c>
      <c r="B249" s="27" t="s">
        <v>661</v>
      </c>
      <c r="C249" s="28"/>
      <c r="D249" s="28" t="s">
        <v>657</v>
      </c>
      <c r="E249" s="28" t="s">
        <v>232</v>
      </c>
      <c r="F249" s="29">
        <f t="shared" ref="F249:O249" si="114">F250+F254+F256</f>
        <v>166600</v>
      </c>
      <c r="G249" s="29">
        <f t="shared" si="114"/>
        <v>114600</v>
      </c>
      <c r="H249" s="29">
        <f t="shared" si="114"/>
        <v>0</v>
      </c>
      <c r="I249" s="29">
        <f t="shared" si="114"/>
        <v>0</v>
      </c>
      <c r="J249" s="29">
        <f t="shared" si="114"/>
        <v>0</v>
      </c>
      <c r="K249" s="29">
        <f t="shared" si="114"/>
        <v>0</v>
      </c>
      <c r="L249" s="29">
        <f t="shared" si="114"/>
        <v>0</v>
      </c>
      <c r="M249" s="29">
        <f t="shared" si="114"/>
        <v>52000</v>
      </c>
      <c r="N249" s="29">
        <f t="shared" si="114"/>
        <v>0</v>
      </c>
      <c r="O249" s="29">
        <f t="shared" si="114"/>
        <v>0</v>
      </c>
      <c r="P249" s="28" t="s">
        <v>662</v>
      </c>
      <c r="Q249" s="30" t="s">
        <v>36</v>
      </c>
      <c r="R249" s="31" t="s">
        <v>659</v>
      </c>
    </row>
    <row r="250" spans="1:18" ht="69.75" x14ac:dyDescent="0.25">
      <c r="A250" s="32" t="s">
        <v>663</v>
      </c>
      <c r="B250" s="33" t="s">
        <v>664</v>
      </c>
      <c r="C250" s="34" t="s">
        <v>24</v>
      </c>
      <c r="D250" s="34" t="s">
        <v>657</v>
      </c>
      <c r="E250" s="34" t="s">
        <v>41</v>
      </c>
      <c r="F250" s="35">
        <f>SUM(F251:F253)+107500</f>
        <v>107500</v>
      </c>
      <c r="G250" s="35">
        <f>SUM(G251:G253)+55500</f>
        <v>55500</v>
      </c>
      <c r="H250" s="35">
        <f>SUM(H251:H253)</f>
        <v>0</v>
      </c>
      <c r="I250" s="35">
        <f>SUM(I251:I253)</f>
        <v>0</v>
      </c>
      <c r="J250" s="35">
        <f>SUM(J251:J253)</f>
        <v>0</v>
      </c>
      <c r="K250" s="35">
        <f>SUM(K251:K253)</f>
        <v>0</v>
      </c>
      <c r="L250" s="35">
        <f>SUM(L251:L253)</f>
        <v>0</v>
      </c>
      <c r="M250" s="35">
        <f>SUM(M251:M253)+52000</f>
        <v>52000</v>
      </c>
      <c r="N250" s="35">
        <f>SUM(N251:N253)</f>
        <v>0</v>
      </c>
      <c r="O250" s="35">
        <f>SUM(O251:O253)</f>
        <v>0</v>
      </c>
      <c r="P250" s="34" t="s">
        <v>665</v>
      </c>
      <c r="Q250" s="36" t="s">
        <v>36</v>
      </c>
      <c r="R250" s="37" t="s">
        <v>48</v>
      </c>
    </row>
    <row r="251" spans="1:18" ht="46.5" x14ac:dyDescent="0.25">
      <c r="A251" s="39"/>
      <c r="B251" s="40"/>
      <c r="C251" s="41"/>
      <c r="D251" s="41"/>
      <c r="E251" s="41"/>
      <c r="F251" s="42">
        <v>0</v>
      </c>
      <c r="G251" s="42">
        <v>0</v>
      </c>
      <c r="H251" s="42">
        <v>0</v>
      </c>
      <c r="I251" s="42">
        <v>0</v>
      </c>
      <c r="J251" s="42">
        <v>0</v>
      </c>
      <c r="K251" s="42">
        <v>0</v>
      </c>
      <c r="L251" s="42">
        <v>0</v>
      </c>
      <c r="M251" s="42">
        <v>0</v>
      </c>
      <c r="N251" s="42">
        <v>0</v>
      </c>
      <c r="O251" s="42">
        <v>0</v>
      </c>
      <c r="P251" s="41" t="s">
        <v>666</v>
      </c>
      <c r="Q251" s="43" t="s">
        <v>36</v>
      </c>
      <c r="R251" s="44" t="s">
        <v>48</v>
      </c>
    </row>
    <row r="252" spans="1:18" ht="46.5" x14ac:dyDescent="0.25">
      <c r="A252" s="32" t="s">
        <v>667</v>
      </c>
      <c r="B252" s="33" t="s">
        <v>668</v>
      </c>
      <c r="C252" s="34"/>
      <c r="D252" s="34"/>
      <c r="E252" s="34"/>
      <c r="F252" s="38">
        <v>0</v>
      </c>
      <c r="G252" s="38">
        <v>0</v>
      </c>
      <c r="H252" s="38">
        <v>0</v>
      </c>
      <c r="I252" s="38">
        <v>0</v>
      </c>
      <c r="J252" s="38">
        <v>0</v>
      </c>
      <c r="K252" s="38">
        <v>0</v>
      </c>
      <c r="L252" s="38">
        <v>0</v>
      </c>
      <c r="M252" s="38">
        <v>0</v>
      </c>
      <c r="N252" s="38">
        <v>0</v>
      </c>
      <c r="O252" s="38">
        <v>0</v>
      </c>
      <c r="P252" s="34"/>
      <c r="Q252" s="36"/>
      <c r="R252" s="37"/>
    </row>
    <row r="253" spans="1:18" ht="93" x14ac:dyDescent="0.25">
      <c r="A253" s="32" t="s">
        <v>669</v>
      </c>
      <c r="B253" s="33" t="s">
        <v>670</v>
      </c>
      <c r="C253" s="34"/>
      <c r="D253" s="34"/>
      <c r="E253" s="34"/>
      <c r="F253" s="38">
        <v>0</v>
      </c>
      <c r="G253" s="38">
        <v>0</v>
      </c>
      <c r="H253" s="38">
        <v>0</v>
      </c>
      <c r="I253" s="38">
        <v>0</v>
      </c>
      <c r="J253" s="38">
        <v>0</v>
      </c>
      <c r="K253" s="38">
        <v>0</v>
      </c>
      <c r="L253" s="38">
        <v>0</v>
      </c>
      <c r="M253" s="38">
        <v>0</v>
      </c>
      <c r="N253" s="38">
        <v>0</v>
      </c>
      <c r="O253" s="38">
        <v>0</v>
      </c>
      <c r="P253" s="34"/>
      <c r="Q253" s="36"/>
      <c r="R253" s="37"/>
    </row>
    <row r="254" spans="1:18" ht="46.5" x14ac:dyDescent="0.25">
      <c r="A254" s="32" t="s">
        <v>671</v>
      </c>
      <c r="B254" s="33" t="s">
        <v>672</v>
      </c>
      <c r="C254" s="34"/>
      <c r="D254" s="34" t="s">
        <v>657</v>
      </c>
      <c r="E254" s="34" t="s">
        <v>17</v>
      </c>
      <c r="F254" s="35">
        <f>SUM(F255:F255)+41000</f>
        <v>41000</v>
      </c>
      <c r="G254" s="35">
        <f>SUM(G255:G255)+41000</f>
        <v>41000</v>
      </c>
      <c r="H254" s="35">
        <f t="shared" ref="H254:O254" si="115">SUM(H255:H255)</f>
        <v>0</v>
      </c>
      <c r="I254" s="35">
        <f t="shared" si="115"/>
        <v>0</v>
      </c>
      <c r="J254" s="35">
        <f t="shared" si="115"/>
        <v>0</v>
      </c>
      <c r="K254" s="35">
        <f t="shared" si="115"/>
        <v>0</v>
      </c>
      <c r="L254" s="35">
        <f t="shared" si="115"/>
        <v>0</v>
      </c>
      <c r="M254" s="35">
        <f t="shared" si="115"/>
        <v>0</v>
      </c>
      <c r="N254" s="35">
        <f t="shared" si="115"/>
        <v>0</v>
      </c>
      <c r="O254" s="35">
        <f t="shared" si="115"/>
        <v>0</v>
      </c>
      <c r="P254" s="34" t="s">
        <v>673</v>
      </c>
      <c r="Q254" s="36" t="s">
        <v>36</v>
      </c>
      <c r="R254" s="37" t="s">
        <v>48</v>
      </c>
    </row>
    <row r="255" spans="1:18" ht="69.75" x14ac:dyDescent="0.25">
      <c r="A255" s="32" t="s">
        <v>674</v>
      </c>
      <c r="B255" s="33" t="s">
        <v>675</v>
      </c>
      <c r="C255" s="34"/>
      <c r="D255" s="34"/>
      <c r="E255" s="34"/>
      <c r="F255" s="38">
        <v>0</v>
      </c>
      <c r="G255" s="38">
        <v>0</v>
      </c>
      <c r="H255" s="38">
        <v>0</v>
      </c>
      <c r="I255" s="38">
        <v>0</v>
      </c>
      <c r="J255" s="38">
        <v>0</v>
      </c>
      <c r="K255" s="38">
        <v>0</v>
      </c>
      <c r="L255" s="38">
        <v>0</v>
      </c>
      <c r="M255" s="38">
        <v>0</v>
      </c>
      <c r="N255" s="38">
        <v>0</v>
      </c>
      <c r="O255" s="38">
        <v>0</v>
      </c>
      <c r="P255" s="34"/>
      <c r="Q255" s="36"/>
      <c r="R255" s="37"/>
    </row>
    <row r="256" spans="1:18" ht="69.75" x14ac:dyDescent="0.25">
      <c r="A256" s="32" t="s">
        <v>676</v>
      </c>
      <c r="B256" s="33" t="s">
        <v>677</v>
      </c>
      <c r="C256" s="34" t="s">
        <v>24</v>
      </c>
      <c r="D256" s="34" t="s">
        <v>657</v>
      </c>
      <c r="E256" s="34" t="s">
        <v>17</v>
      </c>
      <c r="F256" s="35">
        <f>SUM(F257:F257)+18100</f>
        <v>18100</v>
      </c>
      <c r="G256" s="35">
        <f>SUM(G257:G257)+18100</f>
        <v>18100</v>
      </c>
      <c r="H256" s="35">
        <f t="shared" ref="H256:O256" si="116">SUM(H257:H257)</f>
        <v>0</v>
      </c>
      <c r="I256" s="35">
        <f t="shared" si="116"/>
        <v>0</v>
      </c>
      <c r="J256" s="35">
        <f t="shared" si="116"/>
        <v>0</v>
      </c>
      <c r="K256" s="35">
        <f t="shared" si="116"/>
        <v>0</v>
      </c>
      <c r="L256" s="35">
        <f t="shared" si="116"/>
        <v>0</v>
      </c>
      <c r="M256" s="35">
        <f t="shared" si="116"/>
        <v>0</v>
      </c>
      <c r="N256" s="35">
        <f t="shared" si="116"/>
        <v>0</v>
      </c>
      <c r="O256" s="35">
        <f t="shared" si="116"/>
        <v>0</v>
      </c>
      <c r="P256" s="34" t="s">
        <v>678</v>
      </c>
      <c r="Q256" s="36" t="s">
        <v>36</v>
      </c>
      <c r="R256" s="37" t="s">
        <v>186</v>
      </c>
    </row>
    <row r="257" spans="1:18" ht="69.75" x14ac:dyDescent="0.25">
      <c r="A257" s="32" t="s">
        <v>679</v>
      </c>
      <c r="B257" s="33" t="s">
        <v>680</v>
      </c>
      <c r="C257" s="34"/>
      <c r="D257" s="34"/>
      <c r="E257" s="34"/>
      <c r="F257" s="38">
        <v>0</v>
      </c>
      <c r="G257" s="38">
        <v>0</v>
      </c>
      <c r="H257" s="38">
        <v>0</v>
      </c>
      <c r="I257" s="38">
        <v>0</v>
      </c>
      <c r="J257" s="38">
        <v>0</v>
      </c>
      <c r="K257" s="38">
        <v>0</v>
      </c>
      <c r="L257" s="38">
        <v>0</v>
      </c>
      <c r="M257" s="38">
        <v>0</v>
      </c>
      <c r="N257" s="38">
        <v>0</v>
      </c>
      <c r="O257" s="38">
        <v>0</v>
      </c>
      <c r="P257" s="34"/>
      <c r="Q257" s="36"/>
      <c r="R257" s="37"/>
    </row>
    <row r="258" spans="1:18" ht="67.5" x14ac:dyDescent="0.25">
      <c r="A258" s="26" t="s">
        <v>681</v>
      </c>
      <c r="B258" s="27" t="s">
        <v>682</v>
      </c>
      <c r="C258" s="28"/>
      <c r="D258" s="28" t="s">
        <v>657</v>
      </c>
      <c r="E258" s="28" t="s">
        <v>34</v>
      </c>
      <c r="F258" s="29">
        <f t="shared" ref="F258:O258" si="117">SUM(F259:F259)</f>
        <v>31100</v>
      </c>
      <c r="G258" s="29">
        <f t="shared" si="117"/>
        <v>31100</v>
      </c>
      <c r="H258" s="29">
        <f t="shared" si="117"/>
        <v>0</v>
      </c>
      <c r="I258" s="29">
        <f t="shared" si="117"/>
        <v>0</v>
      </c>
      <c r="J258" s="29">
        <f t="shared" si="117"/>
        <v>0</v>
      </c>
      <c r="K258" s="29">
        <f t="shared" si="117"/>
        <v>0</v>
      </c>
      <c r="L258" s="29">
        <f t="shared" si="117"/>
        <v>0</v>
      </c>
      <c r="M258" s="29">
        <f t="shared" si="117"/>
        <v>0</v>
      </c>
      <c r="N258" s="29">
        <f t="shared" si="117"/>
        <v>0</v>
      </c>
      <c r="O258" s="29">
        <f t="shared" si="117"/>
        <v>0</v>
      </c>
      <c r="P258" s="28" t="s">
        <v>683</v>
      </c>
      <c r="Q258" s="30" t="s">
        <v>36</v>
      </c>
      <c r="R258" s="31" t="s">
        <v>48</v>
      </c>
    </row>
    <row r="259" spans="1:18" ht="69.75" x14ac:dyDescent="0.25">
      <c r="A259" s="32" t="s">
        <v>684</v>
      </c>
      <c r="B259" s="33" t="s">
        <v>685</v>
      </c>
      <c r="C259" s="34" t="s">
        <v>24</v>
      </c>
      <c r="D259" s="34" t="s">
        <v>657</v>
      </c>
      <c r="E259" s="34" t="s">
        <v>41</v>
      </c>
      <c r="F259" s="35">
        <f>SUM(F260:F261)+31100</f>
        <v>31100</v>
      </c>
      <c r="G259" s="35">
        <f>SUM(G260:G261)+31100</f>
        <v>31100</v>
      </c>
      <c r="H259" s="35">
        <f t="shared" ref="H259:O259" si="118">SUM(H260:H261)</f>
        <v>0</v>
      </c>
      <c r="I259" s="35">
        <f t="shared" si="118"/>
        <v>0</v>
      </c>
      <c r="J259" s="35">
        <f t="shared" si="118"/>
        <v>0</v>
      </c>
      <c r="K259" s="35">
        <f t="shared" si="118"/>
        <v>0</v>
      </c>
      <c r="L259" s="35">
        <f t="shared" si="118"/>
        <v>0</v>
      </c>
      <c r="M259" s="35">
        <f t="shared" si="118"/>
        <v>0</v>
      </c>
      <c r="N259" s="35">
        <f t="shared" si="118"/>
        <v>0</v>
      </c>
      <c r="O259" s="35">
        <f t="shared" si="118"/>
        <v>0</v>
      </c>
      <c r="P259" s="34" t="s">
        <v>686</v>
      </c>
      <c r="Q259" s="36" t="s">
        <v>36</v>
      </c>
      <c r="R259" s="37" t="s">
        <v>37</v>
      </c>
    </row>
    <row r="260" spans="1:18" ht="46.5" x14ac:dyDescent="0.25">
      <c r="A260" s="39"/>
      <c r="B260" s="40"/>
      <c r="C260" s="41"/>
      <c r="D260" s="41"/>
      <c r="E260" s="41"/>
      <c r="F260" s="42">
        <v>0</v>
      </c>
      <c r="G260" s="42">
        <v>0</v>
      </c>
      <c r="H260" s="42">
        <v>0</v>
      </c>
      <c r="I260" s="42">
        <v>0</v>
      </c>
      <c r="J260" s="42">
        <v>0</v>
      </c>
      <c r="K260" s="42">
        <v>0</v>
      </c>
      <c r="L260" s="42">
        <v>0</v>
      </c>
      <c r="M260" s="42">
        <v>0</v>
      </c>
      <c r="N260" s="42">
        <v>0</v>
      </c>
      <c r="O260" s="42">
        <v>0</v>
      </c>
      <c r="P260" s="41" t="s">
        <v>687</v>
      </c>
      <c r="Q260" s="43" t="s">
        <v>36</v>
      </c>
      <c r="R260" s="44" t="s">
        <v>186</v>
      </c>
    </row>
    <row r="261" spans="1:18" ht="46.5" x14ac:dyDescent="0.25">
      <c r="A261" s="32" t="s">
        <v>688</v>
      </c>
      <c r="B261" s="33" t="s">
        <v>689</v>
      </c>
      <c r="C261" s="34"/>
      <c r="D261" s="34"/>
      <c r="E261" s="34"/>
      <c r="F261" s="38">
        <v>0</v>
      </c>
      <c r="G261" s="38">
        <v>0</v>
      </c>
      <c r="H261" s="38">
        <v>0</v>
      </c>
      <c r="I261" s="38">
        <v>0</v>
      </c>
      <c r="J261" s="38">
        <v>0</v>
      </c>
      <c r="K261" s="38">
        <v>0</v>
      </c>
      <c r="L261" s="38">
        <v>0</v>
      </c>
      <c r="M261" s="38">
        <v>0</v>
      </c>
      <c r="N261" s="38">
        <v>0</v>
      </c>
      <c r="O261" s="38">
        <v>0</v>
      </c>
      <c r="P261" s="34"/>
      <c r="Q261" s="36"/>
      <c r="R261" s="37"/>
    </row>
    <row r="262" spans="1:18" ht="90" x14ac:dyDescent="0.25">
      <c r="A262" s="20" t="s">
        <v>690</v>
      </c>
      <c r="B262" s="21" t="s">
        <v>691</v>
      </c>
      <c r="C262" s="22"/>
      <c r="D262" s="22" t="s">
        <v>692</v>
      </c>
      <c r="E262" s="22"/>
      <c r="F262" s="23">
        <f t="shared" ref="F262:O262" si="119">F263+F272</f>
        <v>69197.2</v>
      </c>
      <c r="G262" s="23">
        <f t="shared" si="119"/>
        <v>69197.2</v>
      </c>
      <c r="H262" s="23">
        <f t="shared" si="119"/>
        <v>0</v>
      </c>
      <c r="I262" s="23">
        <f t="shared" si="119"/>
        <v>0</v>
      </c>
      <c r="J262" s="23">
        <f t="shared" si="119"/>
        <v>0</v>
      </c>
      <c r="K262" s="23">
        <f t="shared" si="119"/>
        <v>0</v>
      </c>
      <c r="L262" s="23">
        <f t="shared" si="119"/>
        <v>0</v>
      </c>
      <c r="M262" s="23">
        <f t="shared" si="119"/>
        <v>0</v>
      </c>
      <c r="N262" s="23">
        <f t="shared" si="119"/>
        <v>0</v>
      </c>
      <c r="O262" s="23">
        <f t="shared" si="119"/>
        <v>0</v>
      </c>
      <c r="P262" s="22" t="s">
        <v>693</v>
      </c>
      <c r="Q262" s="24" t="s">
        <v>30</v>
      </c>
      <c r="R262" s="25" t="s">
        <v>203</v>
      </c>
    </row>
    <row r="263" spans="1:18" ht="90" x14ac:dyDescent="0.25">
      <c r="A263" s="26" t="s">
        <v>694</v>
      </c>
      <c r="B263" s="27" t="s">
        <v>695</v>
      </c>
      <c r="C263" s="28" t="s">
        <v>24</v>
      </c>
      <c r="D263" s="28" t="s">
        <v>692</v>
      </c>
      <c r="E263" s="28" t="s">
        <v>34</v>
      </c>
      <c r="F263" s="29">
        <f t="shared" ref="F263:O263" si="120">F264+F265+F268+F270</f>
        <v>57197.2</v>
      </c>
      <c r="G263" s="29">
        <f t="shared" si="120"/>
        <v>57197.2</v>
      </c>
      <c r="H263" s="29">
        <f t="shared" si="120"/>
        <v>0</v>
      </c>
      <c r="I263" s="29">
        <f t="shared" si="120"/>
        <v>0</v>
      </c>
      <c r="J263" s="29">
        <f t="shared" si="120"/>
        <v>0</v>
      </c>
      <c r="K263" s="29">
        <f t="shared" si="120"/>
        <v>0</v>
      </c>
      <c r="L263" s="29">
        <f t="shared" si="120"/>
        <v>0</v>
      </c>
      <c r="M263" s="29">
        <f t="shared" si="120"/>
        <v>0</v>
      </c>
      <c r="N263" s="29">
        <f t="shared" si="120"/>
        <v>0</v>
      </c>
      <c r="O263" s="29">
        <f t="shared" si="120"/>
        <v>0</v>
      </c>
      <c r="P263" s="28" t="s">
        <v>696</v>
      </c>
      <c r="Q263" s="30" t="s">
        <v>36</v>
      </c>
      <c r="R263" s="31" t="s">
        <v>186</v>
      </c>
    </row>
    <row r="264" spans="1:18" ht="46.5" x14ac:dyDescent="0.25">
      <c r="A264" s="39"/>
      <c r="B264" s="40"/>
      <c r="C264" s="41"/>
      <c r="D264" s="41"/>
      <c r="E264" s="41"/>
      <c r="F264" s="42">
        <v>0</v>
      </c>
      <c r="G264" s="42">
        <v>0</v>
      </c>
      <c r="H264" s="42">
        <v>0</v>
      </c>
      <c r="I264" s="42">
        <v>0</v>
      </c>
      <c r="J264" s="42">
        <v>0</v>
      </c>
      <c r="K264" s="42">
        <v>0</v>
      </c>
      <c r="L264" s="42">
        <v>0</v>
      </c>
      <c r="M264" s="42">
        <v>0</v>
      </c>
      <c r="N264" s="42">
        <v>0</v>
      </c>
      <c r="O264" s="42">
        <v>0</v>
      </c>
      <c r="P264" s="41" t="s">
        <v>697</v>
      </c>
      <c r="Q264" s="43" t="s">
        <v>36</v>
      </c>
      <c r="R264" s="44" t="s">
        <v>638</v>
      </c>
    </row>
    <row r="265" spans="1:18" ht="46.5" x14ac:dyDescent="0.25">
      <c r="A265" s="32" t="s">
        <v>698</v>
      </c>
      <c r="B265" s="33" t="s">
        <v>699</v>
      </c>
      <c r="C265" s="34" t="s">
        <v>24</v>
      </c>
      <c r="D265" s="34" t="s">
        <v>692</v>
      </c>
      <c r="E265" s="34" t="s">
        <v>41</v>
      </c>
      <c r="F265" s="35">
        <f>SUM(F266:F267)+48249</f>
        <v>48249</v>
      </c>
      <c r="G265" s="35">
        <f>SUM(G266:G267)+48249</f>
        <v>48249</v>
      </c>
      <c r="H265" s="35">
        <f t="shared" ref="H265:O265" si="121">SUM(H266:H267)</f>
        <v>0</v>
      </c>
      <c r="I265" s="35">
        <f t="shared" si="121"/>
        <v>0</v>
      </c>
      <c r="J265" s="35">
        <f t="shared" si="121"/>
        <v>0</v>
      </c>
      <c r="K265" s="35">
        <f t="shared" si="121"/>
        <v>0</v>
      </c>
      <c r="L265" s="35">
        <f t="shared" si="121"/>
        <v>0</v>
      </c>
      <c r="M265" s="35">
        <f t="shared" si="121"/>
        <v>0</v>
      </c>
      <c r="N265" s="35">
        <f t="shared" si="121"/>
        <v>0</v>
      </c>
      <c r="O265" s="35">
        <f t="shared" si="121"/>
        <v>0</v>
      </c>
      <c r="P265" s="34" t="s">
        <v>686</v>
      </c>
      <c r="Q265" s="36" t="s">
        <v>36</v>
      </c>
      <c r="R265" s="37" t="s">
        <v>162</v>
      </c>
    </row>
    <row r="266" spans="1:18" ht="46.5" x14ac:dyDescent="0.25">
      <c r="A266" s="32" t="s">
        <v>700</v>
      </c>
      <c r="B266" s="33" t="s">
        <v>701</v>
      </c>
      <c r="C266" s="34"/>
      <c r="D266" s="34"/>
      <c r="E266" s="34"/>
      <c r="F266" s="38">
        <v>0</v>
      </c>
      <c r="G266" s="38">
        <v>0</v>
      </c>
      <c r="H266" s="38">
        <v>0</v>
      </c>
      <c r="I266" s="38">
        <v>0</v>
      </c>
      <c r="J266" s="38">
        <v>0</v>
      </c>
      <c r="K266" s="38">
        <v>0</v>
      </c>
      <c r="L266" s="38">
        <v>0</v>
      </c>
      <c r="M266" s="38">
        <v>0</v>
      </c>
      <c r="N266" s="38">
        <v>0</v>
      </c>
      <c r="O266" s="38">
        <v>0</v>
      </c>
      <c r="P266" s="34"/>
      <c r="Q266" s="36"/>
      <c r="R266" s="37"/>
    </row>
    <row r="267" spans="1:18" ht="93" x14ac:dyDescent="0.25">
      <c r="A267" s="32" t="s">
        <v>702</v>
      </c>
      <c r="B267" s="33" t="s">
        <v>703</v>
      </c>
      <c r="C267" s="34"/>
      <c r="D267" s="34"/>
      <c r="E267" s="34"/>
      <c r="F267" s="38">
        <v>0</v>
      </c>
      <c r="G267" s="38">
        <v>0</v>
      </c>
      <c r="H267" s="38">
        <v>0</v>
      </c>
      <c r="I267" s="38">
        <v>0</v>
      </c>
      <c r="J267" s="38">
        <v>0</v>
      </c>
      <c r="K267" s="38">
        <v>0</v>
      </c>
      <c r="L267" s="38">
        <v>0</v>
      </c>
      <c r="M267" s="38">
        <v>0</v>
      </c>
      <c r="N267" s="38">
        <v>0</v>
      </c>
      <c r="O267" s="38">
        <v>0</v>
      </c>
      <c r="P267" s="34"/>
      <c r="Q267" s="36"/>
      <c r="R267" s="37"/>
    </row>
    <row r="268" spans="1:18" ht="46.5" x14ac:dyDescent="0.25">
      <c r="A268" s="32" t="s">
        <v>704</v>
      </c>
      <c r="B268" s="33" t="s">
        <v>705</v>
      </c>
      <c r="C268" s="34" t="s">
        <v>24</v>
      </c>
      <c r="D268" s="34" t="s">
        <v>692</v>
      </c>
      <c r="E268" s="34" t="s">
        <v>41</v>
      </c>
      <c r="F268" s="35">
        <f>SUM(F269:F269)+1000</f>
        <v>1000</v>
      </c>
      <c r="G268" s="35">
        <f>SUM(G269:G269)+1000</f>
        <v>1000</v>
      </c>
      <c r="H268" s="35">
        <f t="shared" ref="H268:O268" si="122">SUM(H269:H269)</f>
        <v>0</v>
      </c>
      <c r="I268" s="35">
        <f t="shared" si="122"/>
        <v>0</v>
      </c>
      <c r="J268" s="35">
        <f t="shared" si="122"/>
        <v>0</v>
      </c>
      <c r="K268" s="35">
        <f t="shared" si="122"/>
        <v>0</v>
      </c>
      <c r="L268" s="35">
        <f t="shared" si="122"/>
        <v>0</v>
      </c>
      <c r="M268" s="35">
        <f t="shared" si="122"/>
        <v>0</v>
      </c>
      <c r="N268" s="35">
        <f t="shared" si="122"/>
        <v>0</v>
      </c>
      <c r="O268" s="35">
        <f t="shared" si="122"/>
        <v>0</v>
      </c>
      <c r="P268" s="34" t="s">
        <v>706</v>
      </c>
      <c r="Q268" s="36" t="s">
        <v>36</v>
      </c>
      <c r="R268" s="37" t="s">
        <v>48</v>
      </c>
    </row>
    <row r="269" spans="1:18" ht="46.5" x14ac:dyDescent="0.25">
      <c r="A269" s="32" t="s">
        <v>707</v>
      </c>
      <c r="B269" s="33" t="s">
        <v>708</v>
      </c>
      <c r="C269" s="34"/>
      <c r="D269" s="34"/>
      <c r="E269" s="34"/>
      <c r="F269" s="38">
        <v>0</v>
      </c>
      <c r="G269" s="38">
        <v>0</v>
      </c>
      <c r="H269" s="38">
        <v>0</v>
      </c>
      <c r="I269" s="38">
        <v>0</v>
      </c>
      <c r="J269" s="38">
        <v>0</v>
      </c>
      <c r="K269" s="38">
        <v>0</v>
      </c>
      <c r="L269" s="38">
        <v>0</v>
      </c>
      <c r="M269" s="38">
        <v>0</v>
      </c>
      <c r="N269" s="38">
        <v>0</v>
      </c>
      <c r="O269" s="38">
        <v>0</v>
      </c>
      <c r="P269" s="34"/>
      <c r="Q269" s="36"/>
      <c r="R269" s="37"/>
    </row>
    <row r="270" spans="1:18" ht="46.5" x14ac:dyDescent="0.25">
      <c r="A270" s="32" t="s">
        <v>709</v>
      </c>
      <c r="B270" s="33" t="s">
        <v>710</v>
      </c>
      <c r="C270" s="34" t="s">
        <v>24</v>
      </c>
      <c r="D270" s="34" t="s">
        <v>692</v>
      </c>
      <c r="E270" s="34" t="s">
        <v>41</v>
      </c>
      <c r="F270" s="35">
        <f>SUM(F271:F271)+7948.2</f>
        <v>7948.2</v>
      </c>
      <c r="G270" s="35">
        <f>SUM(G271:G271)+7948.2</f>
        <v>7948.2</v>
      </c>
      <c r="H270" s="35">
        <f t="shared" ref="H270:O270" si="123">SUM(H271:H271)</f>
        <v>0</v>
      </c>
      <c r="I270" s="35">
        <f t="shared" si="123"/>
        <v>0</v>
      </c>
      <c r="J270" s="35">
        <f t="shared" si="123"/>
        <v>0</v>
      </c>
      <c r="K270" s="35">
        <f t="shared" si="123"/>
        <v>0</v>
      </c>
      <c r="L270" s="35">
        <f t="shared" si="123"/>
        <v>0</v>
      </c>
      <c r="M270" s="35">
        <f t="shared" si="123"/>
        <v>0</v>
      </c>
      <c r="N270" s="35">
        <f t="shared" si="123"/>
        <v>0</v>
      </c>
      <c r="O270" s="35">
        <f t="shared" si="123"/>
        <v>0</v>
      </c>
      <c r="P270" s="34" t="s">
        <v>711</v>
      </c>
      <c r="Q270" s="36" t="s">
        <v>36</v>
      </c>
      <c r="R270" s="37" t="s">
        <v>162</v>
      </c>
    </row>
    <row r="271" spans="1:18" ht="46.5" x14ac:dyDescent="0.25">
      <c r="A271" s="32" t="s">
        <v>712</v>
      </c>
      <c r="B271" s="33" t="s">
        <v>713</v>
      </c>
      <c r="C271" s="34"/>
      <c r="D271" s="34"/>
      <c r="E271" s="34"/>
      <c r="F271" s="38">
        <v>0</v>
      </c>
      <c r="G271" s="38">
        <v>0</v>
      </c>
      <c r="H271" s="38">
        <v>0</v>
      </c>
      <c r="I271" s="38">
        <v>0</v>
      </c>
      <c r="J271" s="38">
        <v>0</v>
      </c>
      <c r="K271" s="38">
        <v>0</v>
      </c>
      <c r="L271" s="38">
        <v>0</v>
      </c>
      <c r="M271" s="38">
        <v>0</v>
      </c>
      <c r="N271" s="38">
        <v>0</v>
      </c>
      <c r="O271" s="38">
        <v>0</v>
      </c>
      <c r="P271" s="34"/>
      <c r="Q271" s="36"/>
      <c r="R271" s="37"/>
    </row>
    <row r="272" spans="1:18" ht="67.5" x14ac:dyDescent="0.25">
      <c r="A272" s="26" t="s">
        <v>714</v>
      </c>
      <c r="B272" s="27" t="s">
        <v>715</v>
      </c>
      <c r="C272" s="28"/>
      <c r="D272" s="28" t="s">
        <v>692</v>
      </c>
      <c r="E272" s="28" t="s">
        <v>34</v>
      </c>
      <c r="F272" s="29">
        <f t="shared" ref="F272:O272" si="124">SUM(F273:F273)</f>
        <v>12000</v>
      </c>
      <c r="G272" s="29">
        <f t="shared" si="124"/>
        <v>12000</v>
      </c>
      <c r="H272" s="29">
        <f t="shared" si="124"/>
        <v>0</v>
      </c>
      <c r="I272" s="29">
        <f t="shared" si="124"/>
        <v>0</v>
      </c>
      <c r="J272" s="29">
        <f t="shared" si="124"/>
        <v>0</v>
      </c>
      <c r="K272" s="29">
        <f t="shared" si="124"/>
        <v>0</v>
      </c>
      <c r="L272" s="29">
        <f t="shared" si="124"/>
        <v>0</v>
      </c>
      <c r="M272" s="29">
        <f t="shared" si="124"/>
        <v>0</v>
      </c>
      <c r="N272" s="29">
        <f t="shared" si="124"/>
        <v>0</v>
      </c>
      <c r="O272" s="29">
        <f t="shared" si="124"/>
        <v>0</v>
      </c>
      <c r="P272" s="28" t="s">
        <v>716</v>
      </c>
      <c r="Q272" s="30" t="s">
        <v>36</v>
      </c>
      <c r="R272" s="31" t="s">
        <v>251</v>
      </c>
    </row>
    <row r="273" spans="1:18" ht="46.5" x14ac:dyDescent="0.25">
      <c r="A273" s="32" t="s">
        <v>717</v>
      </c>
      <c r="B273" s="33" t="s">
        <v>718</v>
      </c>
      <c r="C273" s="34" t="s">
        <v>24</v>
      </c>
      <c r="D273" s="34" t="s">
        <v>692</v>
      </c>
      <c r="E273" s="34" t="s">
        <v>41</v>
      </c>
      <c r="F273" s="35">
        <f>SUM(F274:F274)+12000</f>
        <v>12000</v>
      </c>
      <c r="G273" s="35">
        <f>SUM(G274:G274)+12000</f>
        <v>12000</v>
      </c>
      <c r="H273" s="35">
        <f t="shared" ref="H273:O273" si="125">SUM(H274:H274)</f>
        <v>0</v>
      </c>
      <c r="I273" s="35">
        <f t="shared" si="125"/>
        <v>0</v>
      </c>
      <c r="J273" s="35">
        <f t="shared" si="125"/>
        <v>0</v>
      </c>
      <c r="K273" s="35">
        <f t="shared" si="125"/>
        <v>0</v>
      </c>
      <c r="L273" s="35">
        <f t="shared" si="125"/>
        <v>0</v>
      </c>
      <c r="M273" s="35">
        <f t="shared" si="125"/>
        <v>0</v>
      </c>
      <c r="N273" s="35">
        <f t="shared" si="125"/>
        <v>0</v>
      </c>
      <c r="O273" s="35">
        <f t="shared" si="125"/>
        <v>0</v>
      </c>
      <c r="P273" s="34" t="s">
        <v>719</v>
      </c>
      <c r="Q273" s="36" t="s">
        <v>36</v>
      </c>
      <c r="R273" s="37" t="s">
        <v>251</v>
      </c>
    </row>
    <row r="274" spans="1:18" x14ac:dyDescent="0.25">
      <c r="A274" s="32" t="s">
        <v>720</v>
      </c>
      <c r="B274" s="33" t="s">
        <v>721</v>
      </c>
      <c r="C274" s="34"/>
      <c r="D274" s="34"/>
      <c r="E274" s="34"/>
      <c r="F274" s="38">
        <v>0</v>
      </c>
      <c r="G274" s="38">
        <v>0</v>
      </c>
      <c r="H274" s="38">
        <v>0</v>
      </c>
      <c r="I274" s="38">
        <v>0</v>
      </c>
      <c r="J274" s="38">
        <v>0</v>
      </c>
      <c r="K274" s="38">
        <v>0</v>
      </c>
      <c r="L274" s="38">
        <v>0</v>
      </c>
      <c r="M274" s="38">
        <v>0</v>
      </c>
      <c r="N274" s="38">
        <v>0</v>
      </c>
      <c r="O274" s="38">
        <v>0</v>
      </c>
      <c r="P274" s="34"/>
      <c r="Q274" s="36"/>
      <c r="R274" s="37"/>
    </row>
    <row r="275" spans="1:18" x14ac:dyDescent="0.25">
      <c r="A275" s="14" t="s">
        <v>722</v>
      </c>
      <c r="B275" s="15" t="s">
        <v>723</v>
      </c>
      <c r="C275" s="16" t="s">
        <v>724</v>
      </c>
      <c r="D275" s="16" t="s">
        <v>725</v>
      </c>
      <c r="E275" s="16"/>
      <c r="F275" s="17">
        <f t="shared" ref="F275:O275" si="126">F276+F363</f>
        <v>7458435.3200000003</v>
      </c>
      <c r="G275" s="17">
        <f t="shared" si="126"/>
        <v>6820442.1200000001</v>
      </c>
      <c r="H275" s="17">
        <f t="shared" si="126"/>
        <v>1783.65</v>
      </c>
      <c r="I275" s="17">
        <f t="shared" si="126"/>
        <v>0</v>
      </c>
      <c r="J275" s="17">
        <f t="shared" si="126"/>
        <v>525643</v>
      </c>
      <c r="K275" s="17">
        <f t="shared" si="126"/>
        <v>0</v>
      </c>
      <c r="L275" s="17">
        <f t="shared" si="126"/>
        <v>0</v>
      </c>
      <c r="M275" s="17">
        <f t="shared" si="126"/>
        <v>48251.55</v>
      </c>
      <c r="N275" s="17">
        <f t="shared" si="126"/>
        <v>0</v>
      </c>
      <c r="O275" s="17">
        <f t="shared" si="126"/>
        <v>0</v>
      </c>
      <c r="P275" s="16"/>
      <c r="Q275" s="18"/>
      <c r="R275" s="19"/>
    </row>
    <row r="276" spans="1:18" ht="90" x14ac:dyDescent="0.25">
      <c r="A276" s="20" t="s">
        <v>726</v>
      </c>
      <c r="B276" s="21" t="s">
        <v>727</v>
      </c>
      <c r="C276" s="22" t="s">
        <v>724</v>
      </c>
      <c r="D276" s="22" t="s">
        <v>725</v>
      </c>
      <c r="E276" s="22"/>
      <c r="F276" s="23">
        <f t="shared" ref="F276:O276" si="127">F277+F324+F327+F334+F337+F348+F353</f>
        <v>7448135.3200000003</v>
      </c>
      <c r="G276" s="23">
        <f t="shared" si="127"/>
        <v>6810142.1200000001</v>
      </c>
      <c r="H276" s="23">
        <f t="shared" si="127"/>
        <v>1783.65</v>
      </c>
      <c r="I276" s="23">
        <f t="shared" si="127"/>
        <v>0</v>
      </c>
      <c r="J276" s="23">
        <f t="shared" si="127"/>
        <v>525643</v>
      </c>
      <c r="K276" s="23">
        <f t="shared" si="127"/>
        <v>0</v>
      </c>
      <c r="L276" s="23">
        <f t="shared" si="127"/>
        <v>0</v>
      </c>
      <c r="M276" s="23">
        <f t="shared" si="127"/>
        <v>48251.55</v>
      </c>
      <c r="N276" s="23">
        <f t="shared" si="127"/>
        <v>0</v>
      </c>
      <c r="O276" s="23">
        <f t="shared" si="127"/>
        <v>0</v>
      </c>
      <c r="P276" s="22" t="s">
        <v>728</v>
      </c>
      <c r="Q276" s="24" t="s">
        <v>30</v>
      </c>
      <c r="R276" s="25" t="s">
        <v>31</v>
      </c>
    </row>
    <row r="277" spans="1:18" ht="90" x14ac:dyDescent="0.25">
      <c r="A277" s="26" t="s">
        <v>729</v>
      </c>
      <c r="B277" s="27" t="s">
        <v>730</v>
      </c>
      <c r="C277" s="28" t="s">
        <v>724</v>
      </c>
      <c r="D277" s="28" t="s">
        <v>725</v>
      </c>
      <c r="E277" s="28" t="s">
        <v>34</v>
      </c>
      <c r="F277" s="29">
        <f t="shared" ref="F277:O277" si="128">F278+F280+F282+F284+F286+F288+F290+F294+F297+F299+F301+F303+F305+F307+F309+F311+F313+F316+F318+F320+F322</f>
        <v>5882434.6500000004</v>
      </c>
      <c r="G277" s="29">
        <f t="shared" si="128"/>
        <v>5292693</v>
      </c>
      <c r="H277" s="29">
        <f t="shared" si="128"/>
        <v>1783.65</v>
      </c>
      <c r="I277" s="29">
        <f t="shared" si="128"/>
        <v>0</v>
      </c>
      <c r="J277" s="29">
        <f t="shared" si="128"/>
        <v>525643</v>
      </c>
      <c r="K277" s="29">
        <f t="shared" si="128"/>
        <v>0</v>
      </c>
      <c r="L277" s="29">
        <f t="shared" si="128"/>
        <v>0</v>
      </c>
      <c r="M277" s="29">
        <f t="shared" si="128"/>
        <v>0</v>
      </c>
      <c r="N277" s="29">
        <f t="shared" si="128"/>
        <v>0</v>
      </c>
      <c r="O277" s="29">
        <f t="shared" si="128"/>
        <v>0</v>
      </c>
      <c r="P277" s="28" t="s">
        <v>731</v>
      </c>
      <c r="Q277" s="30" t="s">
        <v>36</v>
      </c>
      <c r="R277" s="31" t="s">
        <v>732</v>
      </c>
    </row>
    <row r="278" spans="1:18" ht="46.5" x14ac:dyDescent="0.25">
      <c r="A278" s="32" t="s">
        <v>733</v>
      </c>
      <c r="B278" s="33" t="s">
        <v>734</v>
      </c>
      <c r="C278" s="34" t="s">
        <v>724</v>
      </c>
      <c r="D278" s="34" t="s">
        <v>725</v>
      </c>
      <c r="E278" s="34" t="s">
        <v>41</v>
      </c>
      <c r="F278" s="35">
        <f>SUM(F279:F279)+364500</f>
        <v>364500</v>
      </c>
      <c r="G278" s="35">
        <f>SUM(G279:G279)+364500</f>
        <v>364500</v>
      </c>
      <c r="H278" s="35">
        <f t="shared" ref="H278:O278" si="129">SUM(H279:H279)</f>
        <v>0</v>
      </c>
      <c r="I278" s="35">
        <f t="shared" si="129"/>
        <v>0</v>
      </c>
      <c r="J278" s="35">
        <f t="shared" si="129"/>
        <v>0</v>
      </c>
      <c r="K278" s="35">
        <f t="shared" si="129"/>
        <v>0</v>
      </c>
      <c r="L278" s="35">
        <f t="shared" si="129"/>
        <v>0</v>
      </c>
      <c r="M278" s="35">
        <f t="shared" si="129"/>
        <v>0</v>
      </c>
      <c r="N278" s="35">
        <f t="shared" si="129"/>
        <v>0</v>
      </c>
      <c r="O278" s="35">
        <f t="shared" si="129"/>
        <v>0</v>
      </c>
      <c r="P278" s="34" t="s">
        <v>735</v>
      </c>
      <c r="Q278" s="36" t="s">
        <v>36</v>
      </c>
      <c r="R278" s="37" t="s">
        <v>736</v>
      </c>
    </row>
    <row r="279" spans="1:18" ht="116.25" x14ac:dyDescent="0.25">
      <c r="A279" s="32" t="s">
        <v>737</v>
      </c>
      <c r="B279" s="33" t="s">
        <v>738</v>
      </c>
      <c r="C279" s="34"/>
      <c r="D279" s="34"/>
      <c r="E279" s="34"/>
      <c r="F279" s="38">
        <v>0</v>
      </c>
      <c r="G279" s="38">
        <v>0</v>
      </c>
      <c r="H279" s="38">
        <v>0</v>
      </c>
      <c r="I279" s="38">
        <v>0</v>
      </c>
      <c r="J279" s="38">
        <v>0</v>
      </c>
      <c r="K279" s="38">
        <v>0</v>
      </c>
      <c r="L279" s="38">
        <v>0</v>
      </c>
      <c r="M279" s="38">
        <v>0</v>
      </c>
      <c r="N279" s="38">
        <v>0</v>
      </c>
      <c r="O279" s="38">
        <v>0</v>
      </c>
      <c r="P279" s="34"/>
      <c r="Q279" s="36"/>
      <c r="R279" s="37"/>
    </row>
    <row r="280" spans="1:18" ht="69.75" x14ac:dyDescent="0.25">
      <c r="A280" s="32" t="s">
        <v>739</v>
      </c>
      <c r="B280" s="33" t="s">
        <v>740</v>
      </c>
      <c r="C280" s="34" t="s">
        <v>724</v>
      </c>
      <c r="D280" s="34" t="s">
        <v>725</v>
      </c>
      <c r="E280" s="34"/>
      <c r="F280" s="35">
        <f>SUM(F281:F281)+245017</f>
        <v>245017</v>
      </c>
      <c r="G280" s="35">
        <f>SUM(G281:G281)+245017</f>
        <v>245017</v>
      </c>
      <c r="H280" s="35">
        <f t="shared" ref="H280:O280" si="130">SUM(H281:H281)</f>
        <v>0</v>
      </c>
      <c r="I280" s="35">
        <f t="shared" si="130"/>
        <v>0</v>
      </c>
      <c r="J280" s="35">
        <f t="shared" si="130"/>
        <v>0</v>
      </c>
      <c r="K280" s="35">
        <f t="shared" si="130"/>
        <v>0</v>
      </c>
      <c r="L280" s="35">
        <f t="shared" si="130"/>
        <v>0</v>
      </c>
      <c r="M280" s="35">
        <f t="shared" si="130"/>
        <v>0</v>
      </c>
      <c r="N280" s="35">
        <f t="shared" si="130"/>
        <v>0</v>
      </c>
      <c r="O280" s="35">
        <f t="shared" si="130"/>
        <v>0</v>
      </c>
      <c r="P280" s="34" t="s">
        <v>741</v>
      </c>
      <c r="Q280" s="36" t="s">
        <v>36</v>
      </c>
      <c r="R280" s="37" t="s">
        <v>251</v>
      </c>
    </row>
    <row r="281" spans="1:18" ht="139.5" x14ac:dyDescent="0.25">
      <c r="A281" s="32" t="s">
        <v>742</v>
      </c>
      <c r="B281" s="33" t="s">
        <v>743</v>
      </c>
      <c r="C281" s="34"/>
      <c r="D281" s="34"/>
      <c r="E281" s="34"/>
      <c r="F281" s="38">
        <v>0</v>
      </c>
      <c r="G281" s="38">
        <v>0</v>
      </c>
      <c r="H281" s="38">
        <v>0</v>
      </c>
      <c r="I281" s="38">
        <v>0</v>
      </c>
      <c r="J281" s="38">
        <v>0</v>
      </c>
      <c r="K281" s="38">
        <v>0</v>
      </c>
      <c r="L281" s="38">
        <v>0</v>
      </c>
      <c r="M281" s="38">
        <v>0</v>
      </c>
      <c r="N281" s="38">
        <v>0</v>
      </c>
      <c r="O281" s="38">
        <v>0</v>
      </c>
      <c r="P281" s="34"/>
      <c r="Q281" s="36"/>
      <c r="R281" s="37"/>
    </row>
    <row r="282" spans="1:18" ht="69.75" x14ac:dyDescent="0.25">
      <c r="A282" s="32" t="s">
        <v>744</v>
      </c>
      <c r="B282" s="33" t="s">
        <v>745</v>
      </c>
      <c r="C282" s="34" t="s">
        <v>746</v>
      </c>
      <c r="D282" s="34" t="s">
        <v>725</v>
      </c>
      <c r="E282" s="34" t="s">
        <v>41</v>
      </c>
      <c r="F282" s="35">
        <f>SUM(F283:F283)+97225</f>
        <v>97225</v>
      </c>
      <c r="G282" s="35">
        <f>SUM(G283:G283)+97225</f>
        <v>97225</v>
      </c>
      <c r="H282" s="35">
        <f t="shared" ref="H282:O282" si="131">SUM(H283:H283)</f>
        <v>0</v>
      </c>
      <c r="I282" s="35">
        <f t="shared" si="131"/>
        <v>0</v>
      </c>
      <c r="J282" s="35">
        <f t="shared" si="131"/>
        <v>0</v>
      </c>
      <c r="K282" s="35">
        <f t="shared" si="131"/>
        <v>0</v>
      </c>
      <c r="L282" s="35">
        <f t="shared" si="131"/>
        <v>0</v>
      </c>
      <c r="M282" s="35">
        <f t="shared" si="131"/>
        <v>0</v>
      </c>
      <c r="N282" s="35">
        <f t="shared" si="131"/>
        <v>0</v>
      </c>
      <c r="O282" s="35">
        <f t="shared" si="131"/>
        <v>0</v>
      </c>
      <c r="P282" s="34" t="s">
        <v>747</v>
      </c>
      <c r="Q282" s="36" t="s">
        <v>36</v>
      </c>
      <c r="R282" s="37" t="s">
        <v>37</v>
      </c>
    </row>
    <row r="283" spans="1:18" ht="139.5" x14ac:dyDescent="0.25">
      <c r="A283" s="32" t="s">
        <v>748</v>
      </c>
      <c r="B283" s="33" t="s">
        <v>749</v>
      </c>
      <c r="C283" s="34"/>
      <c r="D283" s="34"/>
      <c r="E283" s="34"/>
      <c r="F283" s="38">
        <v>0</v>
      </c>
      <c r="G283" s="38">
        <v>0</v>
      </c>
      <c r="H283" s="38">
        <v>0</v>
      </c>
      <c r="I283" s="38">
        <v>0</v>
      </c>
      <c r="J283" s="38">
        <v>0</v>
      </c>
      <c r="K283" s="38">
        <v>0</v>
      </c>
      <c r="L283" s="38">
        <v>0</v>
      </c>
      <c r="M283" s="38">
        <v>0</v>
      </c>
      <c r="N283" s="38">
        <v>0</v>
      </c>
      <c r="O283" s="38">
        <v>0</v>
      </c>
      <c r="P283" s="34"/>
      <c r="Q283" s="36"/>
      <c r="R283" s="37"/>
    </row>
    <row r="284" spans="1:18" ht="69.75" x14ac:dyDescent="0.25">
      <c r="A284" s="32" t="s">
        <v>750</v>
      </c>
      <c r="B284" s="33" t="s">
        <v>751</v>
      </c>
      <c r="C284" s="34" t="s">
        <v>724</v>
      </c>
      <c r="D284" s="34" t="s">
        <v>752</v>
      </c>
      <c r="E284" s="34" t="s">
        <v>41</v>
      </c>
      <c r="F284" s="35">
        <f>SUM(F285:F285)+4785746.08</f>
        <v>4785746.08</v>
      </c>
      <c r="G284" s="35">
        <f>SUM(G285:G285)+4197774</f>
        <v>4197774</v>
      </c>
      <c r="H284" s="35">
        <f>SUM(H285:H285)+14.08</f>
        <v>14.08</v>
      </c>
      <c r="I284" s="35">
        <f>SUM(I285:I285)</f>
        <v>0</v>
      </c>
      <c r="J284" s="35">
        <f>SUM(J285:J285)+525643</f>
        <v>525643</v>
      </c>
      <c r="K284" s="35">
        <f>SUM(K285:K285)</f>
        <v>0</v>
      </c>
      <c r="L284" s="35">
        <f>SUM(L285:L285)</f>
        <v>0</v>
      </c>
      <c r="M284" s="35">
        <f>SUM(M285:M285)</f>
        <v>0</v>
      </c>
      <c r="N284" s="35">
        <f>SUM(N285:N285)</f>
        <v>0</v>
      </c>
      <c r="O284" s="35">
        <f>SUM(O285:O285)</f>
        <v>0</v>
      </c>
      <c r="P284" s="34" t="s">
        <v>753</v>
      </c>
      <c r="Q284" s="36" t="s">
        <v>36</v>
      </c>
      <c r="R284" s="37" t="s">
        <v>754</v>
      </c>
    </row>
    <row r="285" spans="1:18" ht="69.75" x14ac:dyDescent="0.25">
      <c r="A285" s="32" t="s">
        <v>755</v>
      </c>
      <c r="B285" s="33" t="s">
        <v>756</v>
      </c>
      <c r="C285" s="34"/>
      <c r="D285" s="34"/>
      <c r="E285" s="34"/>
      <c r="F285" s="38">
        <v>0</v>
      </c>
      <c r="G285" s="38">
        <v>0</v>
      </c>
      <c r="H285" s="38">
        <v>0</v>
      </c>
      <c r="I285" s="38">
        <v>0</v>
      </c>
      <c r="J285" s="38">
        <v>0</v>
      </c>
      <c r="K285" s="38">
        <v>0</v>
      </c>
      <c r="L285" s="38">
        <v>0</v>
      </c>
      <c r="M285" s="38">
        <v>0</v>
      </c>
      <c r="N285" s="38">
        <v>0</v>
      </c>
      <c r="O285" s="38">
        <v>0</v>
      </c>
      <c r="P285" s="34"/>
      <c r="Q285" s="36"/>
      <c r="R285" s="37"/>
    </row>
    <row r="286" spans="1:18" ht="69.75" x14ac:dyDescent="0.25">
      <c r="A286" s="32" t="s">
        <v>757</v>
      </c>
      <c r="B286" s="33" t="s">
        <v>758</v>
      </c>
      <c r="C286" s="34" t="s">
        <v>724</v>
      </c>
      <c r="D286" s="34" t="s">
        <v>725</v>
      </c>
      <c r="E286" s="34" t="s">
        <v>759</v>
      </c>
      <c r="F286" s="35">
        <f>SUM(F287:F287)+19290</f>
        <v>19290</v>
      </c>
      <c r="G286" s="35">
        <f>SUM(G287:G287)+19290</f>
        <v>19290</v>
      </c>
      <c r="H286" s="35">
        <f t="shared" ref="H286:O286" si="132">SUM(H287:H287)</f>
        <v>0</v>
      </c>
      <c r="I286" s="35">
        <f t="shared" si="132"/>
        <v>0</v>
      </c>
      <c r="J286" s="35">
        <f t="shared" si="132"/>
        <v>0</v>
      </c>
      <c r="K286" s="35">
        <f t="shared" si="132"/>
        <v>0</v>
      </c>
      <c r="L286" s="35">
        <f t="shared" si="132"/>
        <v>0</v>
      </c>
      <c r="M286" s="35">
        <f t="shared" si="132"/>
        <v>0</v>
      </c>
      <c r="N286" s="35">
        <f t="shared" si="132"/>
        <v>0</v>
      </c>
      <c r="O286" s="35">
        <f t="shared" si="132"/>
        <v>0</v>
      </c>
      <c r="P286" s="34" t="s">
        <v>760</v>
      </c>
      <c r="Q286" s="36" t="s">
        <v>30</v>
      </c>
      <c r="R286" s="37" t="s">
        <v>31</v>
      </c>
    </row>
    <row r="287" spans="1:18" ht="46.5" x14ac:dyDescent="0.25">
      <c r="A287" s="32" t="s">
        <v>761</v>
      </c>
      <c r="B287" s="33" t="s">
        <v>762</v>
      </c>
      <c r="C287" s="34"/>
      <c r="D287" s="34"/>
      <c r="E287" s="34"/>
      <c r="F287" s="38">
        <v>0</v>
      </c>
      <c r="G287" s="38">
        <v>0</v>
      </c>
      <c r="H287" s="38">
        <v>0</v>
      </c>
      <c r="I287" s="38">
        <v>0</v>
      </c>
      <c r="J287" s="38">
        <v>0</v>
      </c>
      <c r="K287" s="38">
        <v>0</v>
      </c>
      <c r="L287" s="38">
        <v>0</v>
      </c>
      <c r="M287" s="38">
        <v>0</v>
      </c>
      <c r="N287" s="38">
        <v>0</v>
      </c>
      <c r="O287" s="38">
        <v>0</v>
      </c>
      <c r="P287" s="34"/>
      <c r="Q287" s="36"/>
      <c r="R287" s="37"/>
    </row>
    <row r="288" spans="1:18" ht="93" x14ac:dyDescent="0.25">
      <c r="A288" s="32" t="s">
        <v>763</v>
      </c>
      <c r="B288" s="33" t="s">
        <v>764</v>
      </c>
      <c r="C288" s="34" t="s">
        <v>724</v>
      </c>
      <c r="D288" s="34" t="s">
        <v>725</v>
      </c>
      <c r="E288" s="34"/>
      <c r="F288" s="35">
        <f>SUM(F289:F289)+6500</f>
        <v>6500</v>
      </c>
      <c r="G288" s="35">
        <f>SUM(G289:G289)+6500</f>
        <v>6500</v>
      </c>
      <c r="H288" s="35">
        <f t="shared" ref="H288:O288" si="133">SUM(H289:H289)</f>
        <v>0</v>
      </c>
      <c r="I288" s="35">
        <f t="shared" si="133"/>
        <v>0</v>
      </c>
      <c r="J288" s="35">
        <f t="shared" si="133"/>
        <v>0</v>
      </c>
      <c r="K288" s="35">
        <f t="shared" si="133"/>
        <v>0</v>
      </c>
      <c r="L288" s="35">
        <f t="shared" si="133"/>
        <v>0</v>
      </c>
      <c r="M288" s="35">
        <f t="shared" si="133"/>
        <v>0</v>
      </c>
      <c r="N288" s="35">
        <f t="shared" si="133"/>
        <v>0</v>
      </c>
      <c r="O288" s="35">
        <f t="shared" si="133"/>
        <v>0</v>
      </c>
      <c r="P288" s="34" t="s">
        <v>760</v>
      </c>
      <c r="Q288" s="36" t="s">
        <v>30</v>
      </c>
      <c r="R288" s="37" t="s">
        <v>31</v>
      </c>
    </row>
    <row r="289" spans="1:18" ht="69.75" x14ac:dyDescent="0.25">
      <c r="A289" s="32" t="s">
        <v>765</v>
      </c>
      <c r="B289" s="33" t="s">
        <v>766</v>
      </c>
      <c r="C289" s="34"/>
      <c r="D289" s="34"/>
      <c r="E289" s="34"/>
      <c r="F289" s="38">
        <v>0</v>
      </c>
      <c r="G289" s="38">
        <v>0</v>
      </c>
      <c r="H289" s="38">
        <v>0</v>
      </c>
      <c r="I289" s="38">
        <v>0</v>
      </c>
      <c r="J289" s="38">
        <v>0</v>
      </c>
      <c r="K289" s="38">
        <v>0</v>
      </c>
      <c r="L289" s="38">
        <v>0</v>
      </c>
      <c r="M289" s="38">
        <v>0</v>
      </c>
      <c r="N289" s="38">
        <v>0</v>
      </c>
      <c r="O289" s="38">
        <v>0</v>
      </c>
      <c r="P289" s="34"/>
      <c r="Q289" s="36"/>
      <c r="R289" s="37"/>
    </row>
    <row r="290" spans="1:18" ht="93" x14ac:dyDescent="0.25">
      <c r="A290" s="32" t="s">
        <v>767</v>
      </c>
      <c r="B290" s="33" t="s">
        <v>768</v>
      </c>
      <c r="C290" s="34" t="s">
        <v>769</v>
      </c>
      <c r="D290" s="34" t="s">
        <v>770</v>
      </c>
      <c r="E290" s="34"/>
      <c r="F290" s="35">
        <f>SUM(F291:F293)+38000</f>
        <v>38000</v>
      </c>
      <c r="G290" s="35">
        <f>SUM(G291:G293)+38000</f>
        <v>38000</v>
      </c>
      <c r="H290" s="35">
        <f t="shared" ref="H290:O290" si="134">SUM(H291:H293)</f>
        <v>0</v>
      </c>
      <c r="I290" s="35">
        <f t="shared" si="134"/>
        <v>0</v>
      </c>
      <c r="J290" s="35">
        <f t="shared" si="134"/>
        <v>0</v>
      </c>
      <c r="K290" s="35">
        <f t="shared" si="134"/>
        <v>0</v>
      </c>
      <c r="L290" s="35">
        <f t="shared" si="134"/>
        <v>0</v>
      </c>
      <c r="M290" s="35">
        <f t="shared" si="134"/>
        <v>0</v>
      </c>
      <c r="N290" s="35">
        <f t="shared" si="134"/>
        <v>0</v>
      </c>
      <c r="O290" s="35">
        <f t="shared" si="134"/>
        <v>0</v>
      </c>
      <c r="P290" s="34" t="s">
        <v>771</v>
      </c>
      <c r="Q290" s="36" t="s">
        <v>36</v>
      </c>
      <c r="R290" s="37" t="s">
        <v>251</v>
      </c>
    </row>
    <row r="291" spans="1:18" ht="46.5" x14ac:dyDescent="0.25">
      <c r="A291" s="39"/>
      <c r="B291" s="40"/>
      <c r="C291" s="41"/>
      <c r="D291" s="41"/>
      <c r="E291" s="41"/>
      <c r="F291" s="42">
        <v>0</v>
      </c>
      <c r="G291" s="42">
        <v>0</v>
      </c>
      <c r="H291" s="42">
        <v>0</v>
      </c>
      <c r="I291" s="42">
        <v>0</v>
      </c>
      <c r="J291" s="42">
        <v>0</v>
      </c>
      <c r="K291" s="42">
        <v>0</v>
      </c>
      <c r="L291" s="42">
        <v>0</v>
      </c>
      <c r="M291" s="42">
        <v>0</v>
      </c>
      <c r="N291" s="42">
        <v>0</v>
      </c>
      <c r="O291" s="42">
        <v>0</v>
      </c>
      <c r="P291" s="41" t="s">
        <v>772</v>
      </c>
      <c r="Q291" s="43" t="s">
        <v>36</v>
      </c>
      <c r="R291" s="44" t="s">
        <v>251</v>
      </c>
    </row>
    <row r="292" spans="1:18" ht="46.5" x14ac:dyDescent="0.25">
      <c r="A292" s="39"/>
      <c r="B292" s="40"/>
      <c r="C292" s="41"/>
      <c r="D292" s="41"/>
      <c r="E292" s="41"/>
      <c r="F292" s="42">
        <v>0</v>
      </c>
      <c r="G292" s="42">
        <v>0</v>
      </c>
      <c r="H292" s="42">
        <v>0</v>
      </c>
      <c r="I292" s="42">
        <v>0</v>
      </c>
      <c r="J292" s="42">
        <v>0</v>
      </c>
      <c r="K292" s="42">
        <v>0</v>
      </c>
      <c r="L292" s="42">
        <v>0</v>
      </c>
      <c r="M292" s="42">
        <v>0</v>
      </c>
      <c r="N292" s="42">
        <v>0</v>
      </c>
      <c r="O292" s="42">
        <v>0</v>
      </c>
      <c r="P292" s="41" t="s">
        <v>773</v>
      </c>
      <c r="Q292" s="43" t="s">
        <v>36</v>
      </c>
      <c r="R292" s="44" t="s">
        <v>186</v>
      </c>
    </row>
    <row r="293" spans="1:18" ht="46.5" x14ac:dyDescent="0.25">
      <c r="A293" s="32" t="s">
        <v>774</v>
      </c>
      <c r="B293" s="33" t="s">
        <v>775</v>
      </c>
      <c r="C293" s="34"/>
      <c r="D293" s="34"/>
      <c r="E293" s="34"/>
      <c r="F293" s="38">
        <v>0</v>
      </c>
      <c r="G293" s="38">
        <v>0</v>
      </c>
      <c r="H293" s="38">
        <v>0</v>
      </c>
      <c r="I293" s="38">
        <v>0</v>
      </c>
      <c r="J293" s="38">
        <v>0</v>
      </c>
      <c r="K293" s="38">
        <v>0</v>
      </c>
      <c r="L293" s="38">
        <v>0</v>
      </c>
      <c r="M293" s="38">
        <v>0</v>
      </c>
      <c r="N293" s="38">
        <v>0</v>
      </c>
      <c r="O293" s="38">
        <v>0</v>
      </c>
      <c r="P293" s="34"/>
      <c r="Q293" s="36"/>
      <c r="R293" s="37"/>
    </row>
    <row r="294" spans="1:18" ht="69.75" x14ac:dyDescent="0.25">
      <c r="A294" s="32" t="s">
        <v>776</v>
      </c>
      <c r="B294" s="33" t="s">
        <v>777</v>
      </c>
      <c r="C294" s="34" t="s">
        <v>778</v>
      </c>
      <c r="D294" s="34" t="s">
        <v>779</v>
      </c>
      <c r="E294" s="34" t="s">
        <v>41</v>
      </c>
      <c r="F294" s="35">
        <f>SUM(F295:F296)+29201.96</f>
        <v>29201.96</v>
      </c>
      <c r="G294" s="35">
        <f>SUM(G295:G296)+28300</f>
        <v>28300</v>
      </c>
      <c r="H294" s="35">
        <f>SUM(H295:H296)+901.96</f>
        <v>901.96</v>
      </c>
      <c r="I294" s="35">
        <f t="shared" ref="I294:O294" si="135">SUM(I295:I296)</f>
        <v>0</v>
      </c>
      <c r="J294" s="35">
        <f t="shared" si="135"/>
        <v>0</v>
      </c>
      <c r="K294" s="35">
        <f t="shared" si="135"/>
        <v>0</v>
      </c>
      <c r="L294" s="35">
        <f t="shared" si="135"/>
        <v>0</v>
      </c>
      <c r="M294" s="35">
        <f t="shared" si="135"/>
        <v>0</v>
      </c>
      <c r="N294" s="35">
        <f t="shared" si="135"/>
        <v>0</v>
      </c>
      <c r="O294" s="35">
        <f t="shared" si="135"/>
        <v>0</v>
      </c>
      <c r="P294" s="34" t="s">
        <v>780</v>
      </c>
      <c r="Q294" s="36" t="s">
        <v>36</v>
      </c>
      <c r="R294" s="37" t="s">
        <v>37</v>
      </c>
    </row>
    <row r="295" spans="1:18" ht="93" x14ac:dyDescent="0.25">
      <c r="A295" s="32" t="s">
        <v>781</v>
      </c>
      <c r="B295" s="33" t="s">
        <v>782</v>
      </c>
      <c r="C295" s="34"/>
      <c r="D295" s="34"/>
      <c r="E295" s="34"/>
      <c r="F295" s="38">
        <v>0</v>
      </c>
      <c r="G295" s="38">
        <v>0</v>
      </c>
      <c r="H295" s="38">
        <v>0</v>
      </c>
      <c r="I295" s="38">
        <v>0</v>
      </c>
      <c r="J295" s="38">
        <v>0</v>
      </c>
      <c r="K295" s="38">
        <v>0</v>
      </c>
      <c r="L295" s="38">
        <v>0</v>
      </c>
      <c r="M295" s="38">
        <v>0</v>
      </c>
      <c r="N295" s="38">
        <v>0</v>
      </c>
      <c r="O295" s="38">
        <v>0</v>
      </c>
      <c r="P295" s="34"/>
      <c r="Q295" s="36"/>
      <c r="R295" s="37"/>
    </row>
    <row r="296" spans="1:18" ht="116.25" x14ac:dyDescent="0.25">
      <c r="A296" s="32" t="s">
        <v>783</v>
      </c>
      <c r="B296" s="33" t="s">
        <v>784</v>
      </c>
      <c r="C296" s="34"/>
      <c r="D296" s="34"/>
      <c r="E296" s="34"/>
      <c r="F296" s="38">
        <v>0</v>
      </c>
      <c r="G296" s="38">
        <v>0</v>
      </c>
      <c r="H296" s="38">
        <v>0</v>
      </c>
      <c r="I296" s="38">
        <v>0</v>
      </c>
      <c r="J296" s="38">
        <v>0</v>
      </c>
      <c r="K296" s="38">
        <v>0</v>
      </c>
      <c r="L296" s="38">
        <v>0</v>
      </c>
      <c r="M296" s="38">
        <v>0</v>
      </c>
      <c r="N296" s="38">
        <v>0</v>
      </c>
      <c r="O296" s="38">
        <v>0</v>
      </c>
      <c r="P296" s="34"/>
      <c r="Q296" s="36"/>
      <c r="R296" s="37"/>
    </row>
    <row r="297" spans="1:18" ht="69.75" x14ac:dyDescent="0.25">
      <c r="A297" s="32" t="s">
        <v>785</v>
      </c>
      <c r="B297" s="33" t="s">
        <v>786</v>
      </c>
      <c r="C297" s="34" t="s">
        <v>787</v>
      </c>
      <c r="D297" s="34" t="s">
        <v>788</v>
      </c>
      <c r="E297" s="34" t="s">
        <v>41</v>
      </c>
      <c r="F297" s="35">
        <f>SUM(F298:F298)+18966</f>
        <v>18966</v>
      </c>
      <c r="G297" s="35">
        <f>SUM(G298:G298)+18966</f>
        <v>18966</v>
      </c>
      <c r="H297" s="35">
        <f t="shared" ref="H297:O297" si="136">SUM(H298:H298)</f>
        <v>0</v>
      </c>
      <c r="I297" s="35">
        <f t="shared" si="136"/>
        <v>0</v>
      </c>
      <c r="J297" s="35">
        <f t="shared" si="136"/>
        <v>0</v>
      </c>
      <c r="K297" s="35">
        <f t="shared" si="136"/>
        <v>0</v>
      </c>
      <c r="L297" s="35">
        <f t="shared" si="136"/>
        <v>0</v>
      </c>
      <c r="M297" s="35">
        <f t="shared" si="136"/>
        <v>0</v>
      </c>
      <c r="N297" s="35">
        <f t="shared" si="136"/>
        <v>0</v>
      </c>
      <c r="O297" s="35">
        <f t="shared" si="136"/>
        <v>0</v>
      </c>
      <c r="P297" s="34" t="s">
        <v>780</v>
      </c>
      <c r="Q297" s="36" t="s">
        <v>36</v>
      </c>
      <c r="R297" s="37" t="s">
        <v>37</v>
      </c>
    </row>
    <row r="298" spans="1:18" ht="93" x14ac:dyDescent="0.25">
      <c r="A298" s="32" t="s">
        <v>789</v>
      </c>
      <c r="B298" s="33" t="s">
        <v>790</v>
      </c>
      <c r="C298" s="34"/>
      <c r="D298" s="34"/>
      <c r="E298" s="34"/>
      <c r="F298" s="38">
        <v>0</v>
      </c>
      <c r="G298" s="38">
        <v>0</v>
      </c>
      <c r="H298" s="38">
        <v>0</v>
      </c>
      <c r="I298" s="38">
        <v>0</v>
      </c>
      <c r="J298" s="38">
        <v>0</v>
      </c>
      <c r="K298" s="38">
        <v>0</v>
      </c>
      <c r="L298" s="38">
        <v>0</v>
      </c>
      <c r="M298" s="38">
        <v>0</v>
      </c>
      <c r="N298" s="38">
        <v>0</v>
      </c>
      <c r="O298" s="38">
        <v>0</v>
      </c>
      <c r="P298" s="34"/>
      <c r="Q298" s="36"/>
      <c r="R298" s="37"/>
    </row>
    <row r="299" spans="1:18" ht="69.75" x14ac:dyDescent="0.25">
      <c r="A299" s="32" t="s">
        <v>791</v>
      </c>
      <c r="B299" s="33" t="s">
        <v>792</v>
      </c>
      <c r="C299" s="34" t="s">
        <v>87</v>
      </c>
      <c r="D299" s="34" t="s">
        <v>793</v>
      </c>
      <c r="E299" s="34" t="s">
        <v>41</v>
      </c>
      <c r="F299" s="35">
        <f>SUM(F300:F300)+14272</f>
        <v>14272</v>
      </c>
      <c r="G299" s="35">
        <f>SUM(G300:G300)+14272</f>
        <v>14272</v>
      </c>
      <c r="H299" s="35">
        <f t="shared" ref="H299:O299" si="137">SUM(H300:H300)</f>
        <v>0</v>
      </c>
      <c r="I299" s="35">
        <f t="shared" si="137"/>
        <v>0</v>
      </c>
      <c r="J299" s="35">
        <f t="shared" si="137"/>
        <v>0</v>
      </c>
      <c r="K299" s="35">
        <f t="shared" si="137"/>
        <v>0</v>
      </c>
      <c r="L299" s="35">
        <f t="shared" si="137"/>
        <v>0</v>
      </c>
      <c r="M299" s="35">
        <f t="shared" si="137"/>
        <v>0</v>
      </c>
      <c r="N299" s="35">
        <f t="shared" si="137"/>
        <v>0</v>
      </c>
      <c r="O299" s="35">
        <f t="shared" si="137"/>
        <v>0</v>
      </c>
      <c r="P299" s="34" t="s">
        <v>780</v>
      </c>
      <c r="Q299" s="36" t="s">
        <v>36</v>
      </c>
      <c r="R299" s="37" t="s">
        <v>37</v>
      </c>
    </row>
    <row r="300" spans="1:18" ht="93" x14ac:dyDescent="0.25">
      <c r="A300" s="32" t="s">
        <v>794</v>
      </c>
      <c r="B300" s="33" t="s">
        <v>795</v>
      </c>
      <c r="C300" s="34"/>
      <c r="D300" s="34"/>
      <c r="E300" s="34"/>
      <c r="F300" s="38">
        <v>0</v>
      </c>
      <c r="G300" s="38">
        <v>0</v>
      </c>
      <c r="H300" s="38">
        <v>0</v>
      </c>
      <c r="I300" s="38">
        <v>0</v>
      </c>
      <c r="J300" s="38">
        <v>0</v>
      </c>
      <c r="K300" s="38">
        <v>0</v>
      </c>
      <c r="L300" s="38">
        <v>0</v>
      </c>
      <c r="M300" s="38">
        <v>0</v>
      </c>
      <c r="N300" s="38">
        <v>0</v>
      </c>
      <c r="O300" s="38">
        <v>0</v>
      </c>
      <c r="P300" s="34"/>
      <c r="Q300" s="36"/>
      <c r="R300" s="37"/>
    </row>
    <row r="301" spans="1:18" ht="69.75" x14ac:dyDescent="0.25">
      <c r="A301" s="32" t="s">
        <v>796</v>
      </c>
      <c r="B301" s="33" t="s">
        <v>797</v>
      </c>
      <c r="C301" s="34" t="s">
        <v>798</v>
      </c>
      <c r="D301" s="34" t="s">
        <v>799</v>
      </c>
      <c r="E301" s="34" t="s">
        <v>41</v>
      </c>
      <c r="F301" s="35">
        <f>SUM(F302:F302)+17470</f>
        <v>17470</v>
      </c>
      <c r="G301" s="35">
        <f>SUM(G302:G302)+17470</f>
        <v>17470</v>
      </c>
      <c r="H301" s="35">
        <f t="shared" ref="H301:O301" si="138">SUM(H302:H302)</f>
        <v>0</v>
      </c>
      <c r="I301" s="35">
        <f t="shared" si="138"/>
        <v>0</v>
      </c>
      <c r="J301" s="35">
        <f t="shared" si="138"/>
        <v>0</v>
      </c>
      <c r="K301" s="35">
        <f t="shared" si="138"/>
        <v>0</v>
      </c>
      <c r="L301" s="35">
        <f t="shared" si="138"/>
        <v>0</v>
      </c>
      <c r="M301" s="35">
        <f t="shared" si="138"/>
        <v>0</v>
      </c>
      <c r="N301" s="35">
        <f t="shared" si="138"/>
        <v>0</v>
      </c>
      <c r="O301" s="35">
        <f t="shared" si="138"/>
        <v>0</v>
      </c>
      <c r="P301" s="34" t="s">
        <v>780</v>
      </c>
      <c r="Q301" s="36" t="s">
        <v>36</v>
      </c>
      <c r="R301" s="37" t="s">
        <v>37</v>
      </c>
    </row>
    <row r="302" spans="1:18" ht="93" x14ac:dyDescent="0.25">
      <c r="A302" s="32" t="s">
        <v>800</v>
      </c>
      <c r="B302" s="33" t="s">
        <v>801</v>
      </c>
      <c r="C302" s="34"/>
      <c r="D302" s="34"/>
      <c r="E302" s="34"/>
      <c r="F302" s="38">
        <v>0</v>
      </c>
      <c r="G302" s="38">
        <v>0</v>
      </c>
      <c r="H302" s="38">
        <v>0</v>
      </c>
      <c r="I302" s="38">
        <v>0</v>
      </c>
      <c r="J302" s="38">
        <v>0</v>
      </c>
      <c r="K302" s="38">
        <v>0</v>
      </c>
      <c r="L302" s="38">
        <v>0</v>
      </c>
      <c r="M302" s="38">
        <v>0</v>
      </c>
      <c r="N302" s="38">
        <v>0</v>
      </c>
      <c r="O302" s="38">
        <v>0</v>
      </c>
      <c r="P302" s="34"/>
      <c r="Q302" s="36"/>
      <c r="R302" s="37"/>
    </row>
    <row r="303" spans="1:18" ht="69.75" x14ac:dyDescent="0.25">
      <c r="A303" s="32" t="s">
        <v>802</v>
      </c>
      <c r="B303" s="33" t="s">
        <v>803</v>
      </c>
      <c r="C303" s="34" t="s">
        <v>94</v>
      </c>
      <c r="D303" s="34" t="s">
        <v>804</v>
      </c>
      <c r="E303" s="34" t="s">
        <v>41</v>
      </c>
      <c r="F303" s="35">
        <f>SUM(F304:F304)+18000</f>
        <v>18000</v>
      </c>
      <c r="G303" s="35">
        <f>SUM(G304:G304)+18000</f>
        <v>18000</v>
      </c>
      <c r="H303" s="35">
        <f t="shared" ref="H303:O303" si="139">SUM(H304:H304)</f>
        <v>0</v>
      </c>
      <c r="I303" s="35">
        <f t="shared" si="139"/>
        <v>0</v>
      </c>
      <c r="J303" s="35">
        <f t="shared" si="139"/>
        <v>0</v>
      </c>
      <c r="K303" s="35">
        <f t="shared" si="139"/>
        <v>0</v>
      </c>
      <c r="L303" s="35">
        <f t="shared" si="139"/>
        <v>0</v>
      </c>
      <c r="M303" s="35">
        <f t="shared" si="139"/>
        <v>0</v>
      </c>
      <c r="N303" s="35">
        <f t="shared" si="139"/>
        <v>0</v>
      </c>
      <c r="O303" s="35">
        <f t="shared" si="139"/>
        <v>0</v>
      </c>
      <c r="P303" s="34" t="s">
        <v>780</v>
      </c>
      <c r="Q303" s="36" t="s">
        <v>36</v>
      </c>
      <c r="R303" s="37" t="s">
        <v>37</v>
      </c>
    </row>
    <row r="304" spans="1:18" ht="93" x14ac:dyDescent="0.25">
      <c r="A304" s="32" t="s">
        <v>805</v>
      </c>
      <c r="B304" s="33" t="s">
        <v>806</v>
      </c>
      <c r="C304" s="34"/>
      <c r="D304" s="34"/>
      <c r="E304" s="34"/>
      <c r="F304" s="38">
        <v>0</v>
      </c>
      <c r="G304" s="38">
        <v>0</v>
      </c>
      <c r="H304" s="38">
        <v>0</v>
      </c>
      <c r="I304" s="38">
        <v>0</v>
      </c>
      <c r="J304" s="38">
        <v>0</v>
      </c>
      <c r="K304" s="38">
        <v>0</v>
      </c>
      <c r="L304" s="38">
        <v>0</v>
      </c>
      <c r="M304" s="38">
        <v>0</v>
      </c>
      <c r="N304" s="38">
        <v>0</v>
      </c>
      <c r="O304" s="38">
        <v>0</v>
      </c>
      <c r="P304" s="34"/>
      <c r="Q304" s="36"/>
      <c r="R304" s="37"/>
    </row>
    <row r="305" spans="1:18" ht="93" x14ac:dyDescent="0.25">
      <c r="A305" s="32" t="s">
        <v>807</v>
      </c>
      <c r="B305" s="33" t="s">
        <v>808</v>
      </c>
      <c r="C305" s="34" t="s">
        <v>99</v>
      </c>
      <c r="D305" s="34" t="s">
        <v>809</v>
      </c>
      <c r="E305" s="34" t="s">
        <v>41</v>
      </c>
      <c r="F305" s="35">
        <f>SUM(F306:F306)+27030</f>
        <v>27030</v>
      </c>
      <c r="G305" s="35">
        <f>SUM(G306:G306)+27030</f>
        <v>27030</v>
      </c>
      <c r="H305" s="35">
        <f t="shared" ref="H305:O305" si="140">SUM(H306:H306)</f>
        <v>0</v>
      </c>
      <c r="I305" s="35">
        <f t="shared" si="140"/>
        <v>0</v>
      </c>
      <c r="J305" s="35">
        <f t="shared" si="140"/>
        <v>0</v>
      </c>
      <c r="K305" s="35">
        <f t="shared" si="140"/>
        <v>0</v>
      </c>
      <c r="L305" s="35">
        <f t="shared" si="140"/>
        <v>0</v>
      </c>
      <c r="M305" s="35">
        <f t="shared" si="140"/>
        <v>0</v>
      </c>
      <c r="N305" s="35">
        <f t="shared" si="140"/>
        <v>0</v>
      </c>
      <c r="O305" s="35">
        <f t="shared" si="140"/>
        <v>0</v>
      </c>
      <c r="P305" s="34" t="s">
        <v>780</v>
      </c>
      <c r="Q305" s="36" t="s">
        <v>36</v>
      </c>
      <c r="R305" s="37" t="s">
        <v>37</v>
      </c>
    </row>
    <row r="306" spans="1:18" ht="116.25" x14ac:dyDescent="0.25">
      <c r="A306" s="32" t="s">
        <v>810</v>
      </c>
      <c r="B306" s="33" t="s">
        <v>811</v>
      </c>
      <c r="C306" s="34"/>
      <c r="D306" s="34"/>
      <c r="E306" s="34"/>
      <c r="F306" s="38">
        <v>0</v>
      </c>
      <c r="G306" s="38">
        <v>0</v>
      </c>
      <c r="H306" s="38">
        <v>0</v>
      </c>
      <c r="I306" s="38">
        <v>0</v>
      </c>
      <c r="J306" s="38">
        <v>0</v>
      </c>
      <c r="K306" s="38">
        <v>0</v>
      </c>
      <c r="L306" s="38">
        <v>0</v>
      </c>
      <c r="M306" s="38">
        <v>0</v>
      </c>
      <c r="N306" s="38">
        <v>0</v>
      </c>
      <c r="O306" s="38">
        <v>0</v>
      </c>
      <c r="P306" s="34"/>
      <c r="Q306" s="36"/>
      <c r="R306" s="37"/>
    </row>
    <row r="307" spans="1:18" ht="69.75" x14ac:dyDescent="0.25">
      <c r="A307" s="32" t="s">
        <v>812</v>
      </c>
      <c r="B307" s="33" t="s">
        <v>813</v>
      </c>
      <c r="C307" s="34" t="s">
        <v>104</v>
      </c>
      <c r="D307" s="34" t="s">
        <v>814</v>
      </c>
      <c r="E307" s="34" t="s">
        <v>41</v>
      </c>
      <c r="F307" s="35">
        <f>SUM(F308:F308)+14820</f>
        <v>14820</v>
      </c>
      <c r="G307" s="35">
        <f>SUM(G308:G308)+14820</f>
        <v>14820</v>
      </c>
      <c r="H307" s="35">
        <f t="shared" ref="H307:O307" si="141">SUM(H308:H308)</f>
        <v>0</v>
      </c>
      <c r="I307" s="35">
        <f t="shared" si="141"/>
        <v>0</v>
      </c>
      <c r="J307" s="35">
        <f t="shared" si="141"/>
        <v>0</v>
      </c>
      <c r="K307" s="35">
        <f t="shared" si="141"/>
        <v>0</v>
      </c>
      <c r="L307" s="35">
        <f t="shared" si="141"/>
        <v>0</v>
      </c>
      <c r="M307" s="35">
        <f t="shared" si="141"/>
        <v>0</v>
      </c>
      <c r="N307" s="35">
        <f t="shared" si="141"/>
        <v>0</v>
      </c>
      <c r="O307" s="35">
        <f t="shared" si="141"/>
        <v>0</v>
      </c>
      <c r="P307" s="34" t="s">
        <v>780</v>
      </c>
      <c r="Q307" s="36" t="s">
        <v>36</v>
      </c>
      <c r="R307" s="37" t="s">
        <v>37</v>
      </c>
    </row>
    <row r="308" spans="1:18" ht="93" x14ac:dyDescent="0.25">
      <c r="A308" s="32" t="s">
        <v>815</v>
      </c>
      <c r="B308" s="33" t="s">
        <v>816</v>
      </c>
      <c r="C308" s="34"/>
      <c r="D308" s="34"/>
      <c r="E308" s="34"/>
      <c r="F308" s="38">
        <v>0</v>
      </c>
      <c r="G308" s="38">
        <v>0</v>
      </c>
      <c r="H308" s="38">
        <v>0</v>
      </c>
      <c r="I308" s="38">
        <v>0</v>
      </c>
      <c r="J308" s="38">
        <v>0</v>
      </c>
      <c r="K308" s="38">
        <v>0</v>
      </c>
      <c r="L308" s="38">
        <v>0</v>
      </c>
      <c r="M308" s="38">
        <v>0</v>
      </c>
      <c r="N308" s="38">
        <v>0</v>
      </c>
      <c r="O308" s="38">
        <v>0</v>
      </c>
      <c r="P308" s="34"/>
      <c r="Q308" s="36"/>
      <c r="R308" s="37"/>
    </row>
    <row r="309" spans="1:18" ht="69.75" x14ac:dyDescent="0.25">
      <c r="A309" s="32" t="s">
        <v>817</v>
      </c>
      <c r="B309" s="33" t="s">
        <v>818</v>
      </c>
      <c r="C309" s="34" t="s">
        <v>819</v>
      </c>
      <c r="D309" s="34" t="s">
        <v>820</v>
      </c>
      <c r="E309" s="34" t="s">
        <v>41</v>
      </c>
      <c r="F309" s="35">
        <f>SUM(F310:F310)+32910</f>
        <v>32910</v>
      </c>
      <c r="G309" s="35">
        <f>SUM(G310:G310)+32910</f>
        <v>32910</v>
      </c>
      <c r="H309" s="35">
        <f t="shared" ref="H309:O309" si="142">SUM(H310:H310)</f>
        <v>0</v>
      </c>
      <c r="I309" s="35">
        <f t="shared" si="142"/>
        <v>0</v>
      </c>
      <c r="J309" s="35">
        <f t="shared" si="142"/>
        <v>0</v>
      </c>
      <c r="K309" s="35">
        <f t="shared" si="142"/>
        <v>0</v>
      </c>
      <c r="L309" s="35">
        <f t="shared" si="142"/>
        <v>0</v>
      </c>
      <c r="M309" s="35">
        <f t="shared" si="142"/>
        <v>0</v>
      </c>
      <c r="N309" s="35">
        <f t="shared" si="142"/>
        <v>0</v>
      </c>
      <c r="O309" s="35">
        <f t="shared" si="142"/>
        <v>0</v>
      </c>
      <c r="P309" s="34" t="s">
        <v>780</v>
      </c>
      <c r="Q309" s="36" t="s">
        <v>36</v>
      </c>
      <c r="R309" s="37" t="s">
        <v>37</v>
      </c>
    </row>
    <row r="310" spans="1:18" ht="93" x14ac:dyDescent="0.25">
      <c r="A310" s="32" t="s">
        <v>821</v>
      </c>
      <c r="B310" s="33" t="s">
        <v>822</v>
      </c>
      <c r="C310" s="34"/>
      <c r="D310" s="34"/>
      <c r="E310" s="34"/>
      <c r="F310" s="38">
        <v>0</v>
      </c>
      <c r="G310" s="38">
        <v>0</v>
      </c>
      <c r="H310" s="38">
        <v>0</v>
      </c>
      <c r="I310" s="38">
        <v>0</v>
      </c>
      <c r="J310" s="38">
        <v>0</v>
      </c>
      <c r="K310" s="38">
        <v>0</v>
      </c>
      <c r="L310" s="38">
        <v>0</v>
      </c>
      <c r="M310" s="38">
        <v>0</v>
      </c>
      <c r="N310" s="38">
        <v>0</v>
      </c>
      <c r="O310" s="38">
        <v>0</v>
      </c>
      <c r="P310" s="34"/>
      <c r="Q310" s="36"/>
      <c r="R310" s="37"/>
    </row>
    <row r="311" spans="1:18" ht="69.75" x14ac:dyDescent="0.25">
      <c r="A311" s="32" t="s">
        <v>823</v>
      </c>
      <c r="B311" s="33" t="s">
        <v>824</v>
      </c>
      <c r="C311" s="34" t="s">
        <v>825</v>
      </c>
      <c r="D311" s="34" t="s">
        <v>826</v>
      </c>
      <c r="E311" s="34" t="s">
        <v>41</v>
      </c>
      <c r="F311" s="35">
        <f>SUM(F312:F312)+21200</f>
        <v>21200</v>
      </c>
      <c r="G311" s="35">
        <f>SUM(G312:G312)+21200</f>
        <v>21200</v>
      </c>
      <c r="H311" s="35">
        <f t="shared" ref="H311:O311" si="143">SUM(H312:H312)</f>
        <v>0</v>
      </c>
      <c r="I311" s="35">
        <f t="shared" si="143"/>
        <v>0</v>
      </c>
      <c r="J311" s="35">
        <f t="shared" si="143"/>
        <v>0</v>
      </c>
      <c r="K311" s="35">
        <f t="shared" si="143"/>
        <v>0</v>
      </c>
      <c r="L311" s="35">
        <f t="shared" si="143"/>
        <v>0</v>
      </c>
      <c r="M311" s="35">
        <f t="shared" si="143"/>
        <v>0</v>
      </c>
      <c r="N311" s="35">
        <f t="shared" si="143"/>
        <v>0</v>
      </c>
      <c r="O311" s="35">
        <f t="shared" si="143"/>
        <v>0</v>
      </c>
      <c r="P311" s="34" t="s">
        <v>780</v>
      </c>
      <c r="Q311" s="36" t="s">
        <v>36</v>
      </c>
      <c r="R311" s="37" t="s">
        <v>37</v>
      </c>
    </row>
    <row r="312" spans="1:18" ht="93" x14ac:dyDescent="0.25">
      <c r="A312" s="32" t="s">
        <v>827</v>
      </c>
      <c r="B312" s="33" t="s">
        <v>828</v>
      </c>
      <c r="C312" s="34"/>
      <c r="D312" s="34"/>
      <c r="E312" s="34"/>
      <c r="F312" s="38">
        <v>0</v>
      </c>
      <c r="G312" s="38">
        <v>0</v>
      </c>
      <c r="H312" s="38">
        <v>0</v>
      </c>
      <c r="I312" s="38">
        <v>0</v>
      </c>
      <c r="J312" s="38">
        <v>0</v>
      </c>
      <c r="K312" s="38">
        <v>0</v>
      </c>
      <c r="L312" s="38">
        <v>0</v>
      </c>
      <c r="M312" s="38">
        <v>0</v>
      </c>
      <c r="N312" s="38">
        <v>0</v>
      </c>
      <c r="O312" s="38">
        <v>0</v>
      </c>
      <c r="P312" s="34"/>
      <c r="Q312" s="36"/>
      <c r="R312" s="37"/>
    </row>
    <row r="313" spans="1:18" ht="69.75" x14ac:dyDescent="0.25">
      <c r="A313" s="32" t="s">
        <v>829</v>
      </c>
      <c r="B313" s="33" t="s">
        <v>830</v>
      </c>
      <c r="C313" s="34" t="s">
        <v>831</v>
      </c>
      <c r="D313" s="34" t="s">
        <v>832</v>
      </c>
      <c r="E313" s="34" t="s">
        <v>41</v>
      </c>
      <c r="F313" s="35">
        <f>SUM(F314:F315)+23950</f>
        <v>23950</v>
      </c>
      <c r="G313" s="35">
        <f>SUM(G314:G315)+23950</f>
        <v>23950</v>
      </c>
      <c r="H313" s="35">
        <f t="shared" ref="H313:O313" si="144">SUM(H314:H315)</f>
        <v>0</v>
      </c>
      <c r="I313" s="35">
        <f t="shared" si="144"/>
        <v>0</v>
      </c>
      <c r="J313" s="35">
        <f t="shared" si="144"/>
        <v>0</v>
      </c>
      <c r="K313" s="35">
        <f t="shared" si="144"/>
        <v>0</v>
      </c>
      <c r="L313" s="35">
        <f t="shared" si="144"/>
        <v>0</v>
      </c>
      <c r="M313" s="35">
        <f t="shared" si="144"/>
        <v>0</v>
      </c>
      <c r="N313" s="35">
        <f t="shared" si="144"/>
        <v>0</v>
      </c>
      <c r="O313" s="35">
        <f t="shared" si="144"/>
        <v>0</v>
      </c>
      <c r="P313" s="34" t="s">
        <v>780</v>
      </c>
      <c r="Q313" s="36" t="s">
        <v>36</v>
      </c>
      <c r="R313" s="37" t="s">
        <v>37</v>
      </c>
    </row>
    <row r="314" spans="1:18" ht="93" x14ac:dyDescent="0.25">
      <c r="A314" s="32" t="s">
        <v>833</v>
      </c>
      <c r="B314" s="33" t="s">
        <v>834</v>
      </c>
      <c r="C314" s="34"/>
      <c r="D314" s="34"/>
      <c r="E314" s="34"/>
      <c r="F314" s="38">
        <v>0</v>
      </c>
      <c r="G314" s="38">
        <v>0</v>
      </c>
      <c r="H314" s="38">
        <v>0</v>
      </c>
      <c r="I314" s="38">
        <v>0</v>
      </c>
      <c r="J314" s="38">
        <v>0</v>
      </c>
      <c r="K314" s="38">
        <v>0</v>
      </c>
      <c r="L314" s="38">
        <v>0</v>
      </c>
      <c r="M314" s="38">
        <v>0</v>
      </c>
      <c r="N314" s="38">
        <v>0</v>
      </c>
      <c r="O314" s="38">
        <v>0</v>
      </c>
      <c r="P314" s="34"/>
      <c r="Q314" s="36"/>
      <c r="R314" s="37"/>
    </row>
    <row r="315" spans="1:18" ht="139.5" x14ac:dyDescent="0.25">
      <c r="A315" s="32" t="s">
        <v>835</v>
      </c>
      <c r="B315" s="33" t="s">
        <v>836</v>
      </c>
      <c r="C315" s="34"/>
      <c r="D315" s="34"/>
      <c r="E315" s="34"/>
      <c r="F315" s="38">
        <v>0</v>
      </c>
      <c r="G315" s="38">
        <v>0</v>
      </c>
      <c r="H315" s="38">
        <v>0</v>
      </c>
      <c r="I315" s="38">
        <v>0</v>
      </c>
      <c r="J315" s="38">
        <v>0</v>
      </c>
      <c r="K315" s="38">
        <v>0</v>
      </c>
      <c r="L315" s="38">
        <v>0</v>
      </c>
      <c r="M315" s="38">
        <v>0</v>
      </c>
      <c r="N315" s="38">
        <v>0</v>
      </c>
      <c r="O315" s="38">
        <v>0</v>
      </c>
      <c r="P315" s="34"/>
      <c r="Q315" s="36"/>
      <c r="R315" s="37"/>
    </row>
    <row r="316" spans="1:18" ht="69.75" x14ac:dyDescent="0.25">
      <c r="A316" s="32" t="s">
        <v>837</v>
      </c>
      <c r="B316" s="33" t="s">
        <v>838</v>
      </c>
      <c r="C316" s="34" t="s">
        <v>839</v>
      </c>
      <c r="D316" s="34" t="s">
        <v>840</v>
      </c>
      <c r="E316" s="34" t="s">
        <v>41</v>
      </c>
      <c r="F316" s="35">
        <f>SUM(F317:F317)+40227</f>
        <v>40227</v>
      </c>
      <c r="G316" s="35">
        <f>SUM(G317:G317)+40227</f>
        <v>40227</v>
      </c>
      <c r="H316" s="35">
        <f t="shared" ref="H316:O316" si="145">SUM(H317:H317)</f>
        <v>0</v>
      </c>
      <c r="I316" s="35">
        <f t="shared" si="145"/>
        <v>0</v>
      </c>
      <c r="J316" s="35">
        <f t="shared" si="145"/>
        <v>0</v>
      </c>
      <c r="K316" s="35">
        <f t="shared" si="145"/>
        <v>0</v>
      </c>
      <c r="L316" s="35">
        <f t="shared" si="145"/>
        <v>0</v>
      </c>
      <c r="M316" s="35">
        <f t="shared" si="145"/>
        <v>0</v>
      </c>
      <c r="N316" s="35">
        <f t="shared" si="145"/>
        <v>0</v>
      </c>
      <c r="O316" s="35">
        <f t="shared" si="145"/>
        <v>0</v>
      </c>
      <c r="P316" s="34" t="s">
        <v>780</v>
      </c>
      <c r="Q316" s="36" t="s">
        <v>36</v>
      </c>
      <c r="R316" s="37" t="s">
        <v>37</v>
      </c>
    </row>
    <row r="317" spans="1:18" ht="93" x14ac:dyDescent="0.25">
      <c r="A317" s="32" t="s">
        <v>841</v>
      </c>
      <c r="B317" s="33" t="s">
        <v>842</v>
      </c>
      <c r="C317" s="34"/>
      <c r="D317" s="34"/>
      <c r="E317" s="34"/>
      <c r="F317" s="38">
        <v>0</v>
      </c>
      <c r="G317" s="38">
        <v>0</v>
      </c>
      <c r="H317" s="38">
        <v>0</v>
      </c>
      <c r="I317" s="38">
        <v>0</v>
      </c>
      <c r="J317" s="38">
        <v>0</v>
      </c>
      <c r="K317" s="38">
        <v>0</v>
      </c>
      <c r="L317" s="38">
        <v>0</v>
      </c>
      <c r="M317" s="38">
        <v>0</v>
      </c>
      <c r="N317" s="38">
        <v>0</v>
      </c>
      <c r="O317" s="38">
        <v>0</v>
      </c>
      <c r="P317" s="34"/>
      <c r="Q317" s="36"/>
      <c r="R317" s="37"/>
    </row>
    <row r="318" spans="1:18" ht="69.75" x14ac:dyDescent="0.25">
      <c r="A318" s="32" t="s">
        <v>843</v>
      </c>
      <c r="B318" s="33" t="s">
        <v>844</v>
      </c>
      <c r="C318" s="34" t="s">
        <v>845</v>
      </c>
      <c r="D318" s="34" t="s">
        <v>846</v>
      </c>
      <c r="E318" s="34" t="s">
        <v>41</v>
      </c>
      <c r="F318" s="35">
        <f>SUM(F319:F319)+17720</f>
        <v>17720</v>
      </c>
      <c r="G318" s="35">
        <f>SUM(G319:G319)+17720</f>
        <v>17720</v>
      </c>
      <c r="H318" s="35">
        <f t="shared" ref="H318:O318" si="146">SUM(H319:H319)</f>
        <v>0</v>
      </c>
      <c r="I318" s="35">
        <f t="shared" si="146"/>
        <v>0</v>
      </c>
      <c r="J318" s="35">
        <f t="shared" si="146"/>
        <v>0</v>
      </c>
      <c r="K318" s="35">
        <f t="shared" si="146"/>
        <v>0</v>
      </c>
      <c r="L318" s="35">
        <f t="shared" si="146"/>
        <v>0</v>
      </c>
      <c r="M318" s="35">
        <f t="shared" si="146"/>
        <v>0</v>
      </c>
      <c r="N318" s="35">
        <f t="shared" si="146"/>
        <v>0</v>
      </c>
      <c r="O318" s="35">
        <f t="shared" si="146"/>
        <v>0</v>
      </c>
      <c r="P318" s="34" t="s">
        <v>780</v>
      </c>
      <c r="Q318" s="36" t="s">
        <v>36</v>
      </c>
      <c r="R318" s="37" t="s">
        <v>37</v>
      </c>
    </row>
    <row r="319" spans="1:18" ht="93" x14ac:dyDescent="0.25">
      <c r="A319" s="32" t="s">
        <v>847</v>
      </c>
      <c r="B319" s="33" t="s">
        <v>848</v>
      </c>
      <c r="C319" s="34"/>
      <c r="D319" s="34"/>
      <c r="E319" s="34"/>
      <c r="F319" s="38">
        <v>0</v>
      </c>
      <c r="G319" s="38">
        <v>0</v>
      </c>
      <c r="H319" s="38">
        <v>0</v>
      </c>
      <c r="I319" s="38">
        <v>0</v>
      </c>
      <c r="J319" s="38">
        <v>0</v>
      </c>
      <c r="K319" s="38">
        <v>0</v>
      </c>
      <c r="L319" s="38">
        <v>0</v>
      </c>
      <c r="M319" s="38">
        <v>0</v>
      </c>
      <c r="N319" s="38">
        <v>0</v>
      </c>
      <c r="O319" s="38">
        <v>0</v>
      </c>
      <c r="P319" s="34"/>
      <c r="Q319" s="36"/>
      <c r="R319" s="37"/>
    </row>
    <row r="320" spans="1:18" ht="69.75" x14ac:dyDescent="0.25">
      <c r="A320" s="32" t="s">
        <v>849</v>
      </c>
      <c r="B320" s="33" t="s">
        <v>850</v>
      </c>
      <c r="C320" s="34" t="s">
        <v>851</v>
      </c>
      <c r="D320" s="34" t="s">
        <v>852</v>
      </c>
      <c r="E320" s="34" t="s">
        <v>41</v>
      </c>
      <c r="F320" s="35">
        <f>SUM(F321:F321)+25000</f>
        <v>25000</v>
      </c>
      <c r="G320" s="35">
        <f>SUM(G321:G321)+25000</f>
        <v>25000</v>
      </c>
      <c r="H320" s="35">
        <f t="shared" ref="H320:O320" si="147">SUM(H321:H321)</f>
        <v>0</v>
      </c>
      <c r="I320" s="35">
        <f t="shared" si="147"/>
        <v>0</v>
      </c>
      <c r="J320" s="35">
        <f t="shared" si="147"/>
        <v>0</v>
      </c>
      <c r="K320" s="35">
        <f t="shared" si="147"/>
        <v>0</v>
      </c>
      <c r="L320" s="35">
        <f t="shared" si="147"/>
        <v>0</v>
      </c>
      <c r="M320" s="35">
        <f t="shared" si="147"/>
        <v>0</v>
      </c>
      <c r="N320" s="35">
        <f t="shared" si="147"/>
        <v>0</v>
      </c>
      <c r="O320" s="35">
        <f t="shared" si="147"/>
        <v>0</v>
      </c>
      <c r="P320" s="34" t="s">
        <v>780</v>
      </c>
      <c r="Q320" s="36" t="s">
        <v>36</v>
      </c>
      <c r="R320" s="37" t="s">
        <v>62</v>
      </c>
    </row>
    <row r="321" spans="1:18" ht="93" x14ac:dyDescent="0.25">
      <c r="A321" s="32" t="s">
        <v>853</v>
      </c>
      <c r="B321" s="33" t="s">
        <v>854</v>
      </c>
      <c r="C321" s="34"/>
      <c r="D321" s="34"/>
      <c r="E321" s="34"/>
      <c r="F321" s="38">
        <v>0</v>
      </c>
      <c r="G321" s="38">
        <v>0</v>
      </c>
      <c r="H321" s="38">
        <v>0</v>
      </c>
      <c r="I321" s="38">
        <v>0</v>
      </c>
      <c r="J321" s="38">
        <v>0</v>
      </c>
      <c r="K321" s="38">
        <v>0</v>
      </c>
      <c r="L321" s="38">
        <v>0</v>
      </c>
      <c r="M321" s="38">
        <v>0</v>
      </c>
      <c r="N321" s="38">
        <v>0</v>
      </c>
      <c r="O321" s="38">
        <v>0</v>
      </c>
      <c r="P321" s="34"/>
      <c r="Q321" s="36"/>
      <c r="R321" s="37"/>
    </row>
    <row r="322" spans="1:18" ht="69.75" x14ac:dyDescent="0.25">
      <c r="A322" s="32" t="s">
        <v>855</v>
      </c>
      <c r="B322" s="33" t="s">
        <v>856</v>
      </c>
      <c r="C322" s="34" t="s">
        <v>857</v>
      </c>
      <c r="D322" s="34" t="s">
        <v>858</v>
      </c>
      <c r="E322" s="34" t="s">
        <v>41</v>
      </c>
      <c r="F322" s="35">
        <f>SUM(F323:F323)+25389.61</f>
        <v>25389.61</v>
      </c>
      <c r="G322" s="35">
        <f>SUM(G323:G323)+24522</f>
        <v>24522</v>
      </c>
      <c r="H322" s="35">
        <f>SUM(H323:H323)+867.61</f>
        <v>867.61</v>
      </c>
      <c r="I322" s="35">
        <f t="shared" ref="I322:O322" si="148">SUM(I323:I323)</f>
        <v>0</v>
      </c>
      <c r="J322" s="35">
        <f t="shared" si="148"/>
        <v>0</v>
      </c>
      <c r="K322" s="35">
        <f t="shared" si="148"/>
        <v>0</v>
      </c>
      <c r="L322" s="35">
        <f t="shared" si="148"/>
        <v>0</v>
      </c>
      <c r="M322" s="35">
        <f t="shared" si="148"/>
        <v>0</v>
      </c>
      <c r="N322" s="35">
        <f t="shared" si="148"/>
        <v>0</v>
      </c>
      <c r="O322" s="35">
        <f t="shared" si="148"/>
        <v>0</v>
      </c>
      <c r="P322" s="34" t="s">
        <v>780</v>
      </c>
      <c r="Q322" s="36" t="s">
        <v>36</v>
      </c>
      <c r="R322" s="37" t="s">
        <v>37</v>
      </c>
    </row>
    <row r="323" spans="1:18" ht="93" x14ac:dyDescent="0.25">
      <c r="A323" s="32" t="s">
        <v>859</v>
      </c>
      <c r="B323" s="33" t="s">
        <v>860</v>
      </c>
      <c r="C323" s="34"/>
      <c r="D323" s="34"/>
      <c r="E323" s="34"/>
      <c r="F323" s="38">
        <v>0</v>
      </c>
      <c r="G323" s="38">
        <v>0</v>
      </c>
      <c r="H323" s="38">
        <v>0</v>
      </c>
      <c r="I323" s="38">
        <v>0</v>
      </c>
      <c r="J323" s="38">
        <v>0</v>
      </c>
      <c r="K323" s="38">
        <v>0</v>
      </c>
      <c r="L323" s="38">
        <v>0</v>
      </c>
      <c r="M323" s="38">
        <v>0</v>
      </c>
      <c r="N323" s="38">
        <v>0</v>
      </c>
      <c r="O323" s="38">
        <v>0</v>
      </c>
      <c r="P323" s="34"/>
      <c r="Q323" s="36"/>
      <c r="R323" s="37"/>
    </row>
    <row r="324" spans="1:18" ht="180" x14ac:dyDescent="0.25">
      <c r="A324" s="26" t="s">
        <v>861</v>
      </c>
      <c r="B324" s="27" t="s">
        <v>862</v>
      </c>
      <c r="C324" s="28" t="s">
        <v>261</v>
      </c>
      <c r="D324" s="28" t="s">
        <v>286</v>
      </c>
      <c r="E324" s="28" t="s">
        <v>34</v>
      </c>
      <c r="F324" s="29">
        <f t="shared" ref="F324:O324" si="149">SUM(F325:F325)</f>
        <v>316311.8</v>
      </c>
      <c r="G324" s="29">
        <f t="shared" si="149"/>
        <v>316311.8</v>
      </c>
      <c r="H324" s="29">
        <f t="shared" si="149"/>
        <v>0</v>
      </c>
      <c r="I324" s="29">
        <f t="shared" si="149"/>
        <v>0</v>
      </c>
      <c r="J324" s="29">
        <f t="shared" si="149"/>
        <v>0</v>
      </c>
      <c r="K324" s="29">
        <f t="shared" si="149"/>
        <v>0</v>
      </c>
      <c r="L324" s="29">
        <f t="shared" si="149"/>
        <v>0</v>
      </c>
      <c r="M324" s="29">
        <f t="shared" si="149"/>
        <v>0</v>
      </c>
      <c r="N324" s="29">
        <f t="shared" si="149"/>
        <v>0</v>
      </c>
      <c r="O324" s="29">
        <f t="shared" si="149"/>
        <v>0</v>
      </c>
      <c r="P324" s="28" t="s">
        <v>863</v>
      </c>
      <c r="Q324" s="30" t="s">
        <v>30</v>
      </c>
      <c r="R324" s="31" t="s">
        <v>864</v>
      </c>
    </row>
    <row r="325" spans="1:18" ht="162.75" x14ac:dyDescent="0.25">
      <c r="A325" s="32" t="s">
        <v>865</v>
      </c>
      <c r="B325" s="33" t="s">
        <v>866</v>
      </c>
      <c r="C325" s="34" t="s">
        <v>261</v>
      </c>
      <c r="D325" s="34" t="s">
        <v>286</v>
      </c>
      <c r="E325" s="34" t="s">
        <v>41</v>
      </c>
      <c r="F325" s="35">
        <f>SUM(F326:F326)+316311.8</f>
        <v>316311.8</v>
      </c>
      <c r="G325" s="35">
        <f>SUM(G326:G326)+316311.8</f>
        <v>316311.8</v>
      </c>
      <c r="H325" s="35">
        <f t="shared" ref="H325:O325" si="150">SUM(H326:H326)</f>
        <v>0</v>
      </c>
      <c r="I325" s="35">
        <f t="shared" si="150"/>
        <v>0</v>
      </c>
      <c r="J325" s="35">
        <f t="shared" si="150"/>
        <v>0</v>
      </c>
      <c r="K325" s="35">
        <f t="shared" si="150"/>
        <v>0</v>
      </c>
      <c r="L325" s="35">
        <f t="shared" si="150"/>
        <v>0</v>
      </c>
      <c r="M325" s="35">
        <f t="shared" si="150"/>
        <v>0</v>
      </c>
      <c r="N325" s="35">
        <f t="shared" si="150"/>
        <v>0</v>
      </c>
      <c r="O325" s="35">
        <f t="shared" si="150"/>
        <v>0</v>
      </c>
      <c r="P325" s="34" t="s">
        <v>863</v>
      </c>
      <c r="Q325" s="36" t="s">
        <v>30</v>
      </c>
      <c r="R325" s="37" t="s">
        <v>864</v>
      </c>
    </row>
    <row r="326" spans="1:18" ht="46.5" x14ac:dyDescent="0.25">
      <c r="A326" s="32" t="s">
        <v>867</v>
      </c>
      <c r="B326" s="33" t="s">
        <v>868</v>
      </c>
      <c r="C326" s="34"/>
      <c r="D326" s="34"/>
      <c r="E326" s="34"/>
      <c r="F326" s="38">
        <v>0</v>
      </c>
      <c r="G326" s="38">
        <v>0</v>
      </c>
      <c r="H326" s="38">
        <v>0</v>
      </c>
      <c r="I326" s="38">
        <v>0</v>
      </c>
      <c r="J326" s="38">
        <v>0</v>
      </c>
      <c r="K326" s="38">
        <v>0</v>
      </c>
      <c r="L326" s="38">
        <v>0</v>
      </c>
      <c r="M326" s="38">
        <v>0</v>
      </c>
      <c r="N326" s="38">
        <v>0</v>
      </c>
      <c r="O326" s="38">
        <v>0</v>
      </c>
      <c r="P326" s="34"/>
      <c r="Q326" s="36"/>
      <c r="R326" s="37"/>
    </row>
    <row r="327" spans="1:18" ht="45" x14ac:dyDescent="0.25">
      <c r="A327" s="26" t="s">
        <v>869</v>
      </c>
      <c r="B327" s="27" t="s">
        <v>870</v>
      </c>
      <c r="C327" s="28" t="s">
        <v>619</v>
      </c>
      <c r="D327" s="28" t="s">
        <v>620</v>
      </c>
      <c r="E327" s="28" t="s">
        <v>34</v>
      </c>
      <c r="F327" s="29">
        <f t="shared" ref="F327:O327" si="151">F328+F330+F332</f>
        <v>76242.399999999994</v>
      </c>
      <c r="G327" s="29">
        <f t="shared" si="151"/>
        <v>76242.399999999994</v>
      </c>
      <c r="H327" s="29">
        <f t="shared" si="151"/>
        <v>0</v>
      </c>
      <c r="I327" s="29">
        <f t="shared" si="151"/>
        <v>0</v>
      </c>
      <c r="J327" s="29">
        <f t="shared" si="151"/>
        <v>0</v>
      </c>
      <c r="K327" s="29">
        <f t="shared" si="151"/>
        <v>0</v>
      </c>
      <c r="L327" s="29">
        <f t="shared" si="151"/>
        <v>0</v>
      </c>
      <c r="M327" s="29">
        <f t="shared" si="151"/>
        <v>0</v>
      </c>
      <c r="N327" s="29">
        <f t="shared" si="151"/>
        <v>0</v>
      </c>
      <c r="O327" s="29">
        <f t="shared" si="151"/>
        <v>0</v>
      </c>
      <c r="P327" s="28" t="s">
        <v>871</v>
      </c>
      <c r="Q327" s="30" t="s">
        <v>36</v>
      </c>
      <c r="R327" s="31" t="s">
        <v>872</v>
      </c>
    </row>
    <row r="328" spans="1:18" ht="69.75" x14ac:dyDescent="0.25">
      <c r="A328" s="32" t="s">
        <v>873</v>
      </c>
      <c r="B328" s="33" t="s">
        <v>874</v>
      </c>
      <c r="C328" s="34" t="s">
        <v>619</v>
      </c>
      <c r="D328" s="34" t="s">
        <v>620</v>
      </c>
      <c r="E328" s="34" t="s">
        <v>41</v>
      </c>
      <c r="F328" s="35">
        <f>SUM(F329:F329)+45200</f>
        <v>45200</v>
      </c>
      <c r="G328" s="35">
        <f>SUM(G329:G329)+45200</f>
        <v>45200</v>
      </c>
      <c r="H328" s="35">
        <f t="shared" ref="H328:O328" si="152">SUM(H329:H329)</f>
        <v>0</v>
      </c>
      <c r="I328" s="35">
        <f t="shared" si="152"/>
        <v>0</v>
      </c>
      <c r="J328" s="35">
        <f t="shared" si="152"/>
        <v>0</v>
      </c>
      <c r="K328" s="35">
        <f t="shared" si="152"/>
        <v>0</v>
      </c>
      <c r="L328" s="35">
        <f t="shared" si="152"/>
        <v>0</v>
      </c>
      <c r="M328" s="35">
        <f t="shared" si="152"/>
        <v>0</v>
      </c>
      <c r="N328" s="35">
        <f t="shared" si="152"/>
        <v>0</v>
      </c>
      <c r="O328" s="35">
        <f t="shared" si="152"/>
        <v>0</v>
      </c>
      <c r="P328" s="34" t="s">
        <v>871</v>
      </c>
      <c r="Q328" s="36" t="s">
        <v>36</v>
      </c>
      <c r="R328" s="37" t="s">
        <v>875</v>
      </c>
    </row>
    <row r="329" spans="1:18" ht="69.75" x14ac:dyDescent="0.25">
      <c r="A329" s="32" t="s">
        <v>876</v>
      </c>
      <c r="B329" s="33" t="s">
        <v>877</v>
      </c>
      <c r="C329" s="34"/>
      <c r="D329" s="34"/>
      <c r="E329" s="34"/>
      <c r="F329" s="38">
        <v>0</v>
      </c>
      <c r="G329" s="38">
        <v>0</v>
      </c>
      <c r="H329" s="38">
        <v>0</v>
      </c>
      <c r="I329" s="38">
        <v>0</v>
      </c>
      <c r="J329" s="38">
        <v>0</v>
      </c>
      <c r="K329" s="38">
        <v>0</v>
      </c>
      <c r="L329" s="38">
        <v>0</v>
      </c>
      <c r="M329" s="38">
        <v>0</v>
      </c>
      <c r="N329" s="38">
        <v>0</v>
      </c>
      <c r="O329" s="38">
        <v>0</v>
      </c>
      <c r="P329" s="34"/>
      <c r="Q329" s="36"/>
      <c r="R329" s="37"/>
    </row>
    <row r="330" spans="1:18" ht="46.5" x14ac:dyDescent="0.25">
      <c r="A330" s="32" t="s">
        <v>878</v>
      </c>
      <c r="B330" s="33" t="s">
        <v>879</v>
      </c>
      <c r="C330" s="34" t="s">
        <v>619</v>
      </c>
      <c r="D330" s="34" t="s">
        <v>620</v>
      </c>
      <c r="E330" s="34" t="s">
        <v>41</v>
      </c>
      <c r="F330" s="35">
        <f>SUM(F331:F331)+6824</f>
        <v>6824</v>
      </c>
      <c r="G330" s="35">
        <f>SUM(G331:G331)+6824</f>
        <v>6824</v>
      </c>
      <c r="H330" s="35">
        <f t="shared" ref="H330:O330" si="153">SUM(H331:H331)</f>
        <v>0</v>
      </c>
      <c r="I330" s="35">
        <f t="shared" si="153"/>
        <v>0</v>
      </c>
      <c r="J330" s="35">
        <f t="shared" si="153"/>
        <v>0</v>
      </c>
      <c r="K330" s="35">
        <f t="shared" si="153"/>
        <v>0</v>
      </c>
      <c r="L330" s="35">
        <f t="shared" si="153"/>
        <v>0</v>
      </c>
      <c r="M330" s="35">
        <f t="shared" si="153"/>
        <v>0</v>
      </c>
      <c r="N330" s="35">
        <f t="shared" si="153"/>
        <v>0</v>
      </c>
      <c r="O330" s="35">
        <f t="shared" si="153"/>
        <v>0</v>
      </c>
      <c r="P330" s="34" t="s">
        <v>880</v>
      </c>
      <c r="Q330" s="36" t="s">
        <v>36</v>
      </c>
      <c r="R330" s="37" t="s">
        <v>881</v>
      </c>
    </row>
    <row r="331" spans="1:18" ht="46.5" x14ac:dyDescent="0.25">
      <c r="A331" s="32" t="s">
        <v>882</v>
      </c>
      <c r="B331" s="33" t="s">
        <v>883</v>
      </c>
      <c r="C331" s="34"/>
      <c r="D331" s="34"/>
      <c r="E331" s="34"/>
      <c r="F331" s="38">
        <v>0</v>
      </c>
      <c r="G331" s="38">
        <v>0</v>
      </c>
      <c r="H331" s="38">
        <v>0</v>
      </c>
      <c r="I331" s="38">
        <v>0</v>
      </c>
      <c r="J331" s="38">
        <v>0</v>
      </c>
      <c r="K331" s="38">
        <v>0</v>
      </c>
      <c r="L331" s="38">
        <v>0</v>
      </c>
      <c r="M331" s="38">
        <v>0</v>
      </c>
      <c r="N331" s="38">
        <v>0</v>
      </c>
      <c r="O331" s="38">
        <v>0</v>
      </c>
      <c r="P331" s="34"/>
      <c r="Q331" s="36"/>
      <c r="R331" s="37"/>
    </row>
    <row r="332" spans="1:18" ht="93" x14ac:dyDescent="0.25">
      <c r="A332" s="32" t="s">
        <v>884</v>
      </c>
      <c r="B332" s="33" t="s">
        <v>885</v>
      </c>
      <c r="C332" s="34"/>
      <c r="D332" s="34" t="s">
        <v>886</v>
      </c>
      <c r="E332" s="34" t="s">
        <v>41</v>
      </c>
      <c r="F332" s="35">
        <f>SUM(F333:F333)+24218.4</f>
        <v>24218.400000000001</v>
      </c>
      <c r="G332" s="35">
        <f>SUM(G333:G333)+24218.4</f>
        <v>24218.400000000001</v>
      </c>
      <c r="H332" s="35">
        <f t="shared" ref="H332:O332" si="154">SUM(H333:H333)</f>
        <v>0</v>
      </c>
      <c r="I332" s="35">
        <f t="shared" si="154"/>
        <v>0</v>
      </c>
      <c r="J332" s="35">
        <f t="shared" si="154"/>
        <v>0</v>
      </c>
      <c r="K332" s="35">
        <f t="shared" si="154"/>
        <v>0</v>
      </c>
      <c r="L332" s="35">
        <f t="shared" si="154"/>
        <v>0</v>
      </c>
      <c r="M332" s="35">
        <f t="shared" si="154"/>
        <v>0</v>
      </c>
      <c r="N332" s="35">
        <f t="shared" si="154"/>
        <v>0</v>
      </c>
      <c r="O332" s="35">
        <f t="shared" si="154"/>
        <v>0</v>
      </c>
      <c r="P332" s="34" t="s">
        <v>871</v>
      </c>
      <c r="Q332" s="36" t="s">
        <v>36</v>
      </c>
      <c r="R332" s="37" t="s">
        <v>887</v>
      </c>
    </row>
    <row r="333" spans="1:18" ht="93" x14ac:dyDescent="0.25">
      <c r="A333" s="32" t="s">
        <v>888</v>
      </c>
      <c r="B333" s="33" t="s">
        <v>889</v>
      </c>
      <c r="C333" s="34"/>
      <c r="D333" s="34"/>
      <c r="E333" s="34"/>
      <c r="F333" s="38">
        <v>0</v>
      </c>
      <c r="G333" s="38">
        <v>0</v>
      </c>
      <c r="H333" s="38">
        <v>0</v>
      </c>
      <c r="I333" s="38">
        <v>0</v>
      </c>
      <c r="J333" s="38">
        <v>0</v>
      </c>
      <c r="K333" s="38">
        <v>0</v>
      </c>
      <c r="L333" s="38">
        <v>0</v>
      </c>
      <c r="M333" s="38">
        <v>0</v>
      </c>
      <c r="N333" s="38">
        <v>0</v>
      </c>
      <c r="O333" s="38">
        <v>0</v>
      </c>
      <c r="P333" s="34"/>
      <c r="Q333" s="36"/>
      <c r="R333" s="37"/>
    </row>
    <row r="334" spans="1:18" ht="45" x14ac:dyDescent="0.25">
      <c r="A334" s="26" t="s">
        <v>890</v>
      </c>
      <c r="B334" s="27" t="s">
        <v>891</v>
      </c>
      <c r="C334" s="28" t="s">
        <v>892</v>
      </c>
      <c r="D334" s="28" t="s">
        <v>893</v>
      </c>
      <c r="E334" s="28" t="s">
        <v>34</v>
      </c>
      <c r="F334" s="29">
        <f t="shared" ref="F334:O334" si="155">SUM(F335:F335)</f>
        <v>325386</v>
      </c>
      <c r="G334" s="29">
        <f t="shared" si="155"/>
        <v>325386</v>
      </c>
      <c r="H334" s="29">
        <f t="shared" si="155"/>
        <v>0</v>
      </c>
      <c r="I334" s="29">
        <f t="shared" si="155"/>
        <v>0</v>
      </c>
      <c r="J334" s="29">
        <f t="shared" si="155"/>
        <v>0</v>
      </c>
      <c r="K334" s="29">
        <f t="shared" si="155"/>
        <v>0</v>
      </c>
      <c r="L334" s="29">
        <f t="shared" si="155"/>
        <v>0</v>
      </c>
      <c r="M334" s="29">
        <f t="shared" si="155"/>
        <v>0</v>
      </c>
      <c r="N334" s="29">
        <f t="shared" si="155"/>
        <v>0</v>
      </c>
      <c r="O334" s="29">
        <f t="shared" si="155"/>
        <v>0</v>
      </c>
      <c r="P334" s="28" t="s">
        <v>894</v>
      </c>
      <c r="Q334" s="30" t="s">
        <v>36</v>
      </c>
      <c r="R334" s="31" t="s">
        <v>186</v>
      </c>
    </row>
    <row r="335" spans="1:18" ht="46.5" x14ac:dyDescent="0.25">
      <c r="A335" s="32" t="s">
        <v>895</v>
      </c>
      <c r="B335" s="33" t="s">
        <v>896</v>
      </c>
      <c r="C335" s="34" t="s">
        <v>892</v>
      </c>
      <c r="D335" s="34" t="s">
        <v>893</v>
      </c>
      <c r="E335" s="34" t="s">
        <v>41</v>
      </c>
      <c r="F335" s="35">
        <f>SUM(F336:F336)+325386</f>
        <v>325386</v>
      </c>
      <c r="G335" s="35">
        <f>SUM(G336:G336)+325386</f>
        <v>325386</v>
      </c>
      <c r="H335" s="35">
        <f t="shared" ref="H335:O335" si="156">SUM(H336:H336)</f>
        <v>0</v>
      </c>
      <c r="I335" s="35">
        <f t="shared" si="156"/>
        <v>0</v>
      </c>
      <c r="J335" s="35">
        <f t="shared" si="156"/>
        <v>0</v>
      </c>
      <c r="K335" s="35">
        <f t="shared" si="156"/>
        <v>0</v>
      </c>
      <c r="L335" s="35">
        <f t="shared" si="156"/>
        <v>0</v>
      </c>
      <c r="M335" s="35">
        <f t="shared" si="156"/>
        <v>0</v>
      </c>
      <c r="N335" s="35">
        <f t="shared" si="156"/>
        <v>0</v>
      </c>
      <c r="O335" s="35">
        <f t="shared" si="156"/>
        <v>0</v>
      </c>
      <c r="P335" s="34" t="s">
        <v>894</v>
      </c>
      <c r="Q335" s="36" t="s">
        <v>36</v>
      </c>
      <c r="R335" s="37" t="s">
        <v>186</v>
      </c>
    </row>
    <row r="336" spans="1:18" ht="46.5" x14ac:dyDescent="0.25">
      <c r="A336" s="32" t="s">
        <v>897</v>
      </c>
      <c r="B336" s="33" t="s">
        <v>898</v>
      </c>
      <c r="C336" s="34"/>
      <c r="D336" s="34"/>
      <c r="E336" s="34"/>
      <c r="F336" s="38">
        <v>0</v>
      </c>
      <c r="G336" s="38">
        <v>0</v>
      </c>
      <c r="H336" s="38">
        <v>0</v>
      </c>
      <c r="I336" s="38">
        <v>0</v>
      </c>
      <c r="J336" s="38">
        <v>0</v>
      </c>
      <c r="K336" s="38">
        <v>0</v>
      </c>
      <c r="L336" s="38">
        <v>0</v>
      </c>
      <c r="M336" s="38">
        <v>0</v>
      </c>
      <c r="N336" s="38">
        <v>0</v>
      </c>
      <c r="O336" s="38">
        <v>0</v>
      </c>
      <c r="P336" s="34"/>
      <c r="Q336" s="36"/>
      <c r="R336" s="37"/>
    </row>
    <row r="337" spans="1:18" ht="135" x14ac:dyDescent="0.25">
      <c r="A337" s="26" t="s">
        <v>899</v>
      </c>
      <c r="B337" s="27" t="s">
        <v>900</v>
      </c>
      <c r="C337" s="28" t="s">
        <v>892</v>
      </c>
      <c r="D337" s="28" t="s">
        <v>901</v>
      </c>
      <c r="E337" s="28" t="s">
        <v>34</v>
      </c>
      <c r="F337" s="29">
        <f t="shared" ref="F337:O337" si="157">F338+F341+F343+F345</f>
        <v>74805.47</v>
      </c>
      <c r="G337" s="29">
        <f t="shared" si="157"/>
        <v>26553.919999999998</v>
      </c>
      <c r="H337" s="29">
        <f t="shared" si="157"/>
        <v>0</v>
      </c>
      <c r="I337" s="29">
        <f t="shared" si="157"/>
        <v>0</v>
      </c>
      <c r="J337" s="29">
        <f t="shared" si="157"/>
        <v>0</v>
      </c>
      <c r="K337" s="29">
        <f t="shared" si="157"/>
        <v>0</v>
      </c>
      <c r="L337" s="29">
        <f t="shared" si="157"/>
        <v>0</v>
      </c>
      <c r="M337" s="29">
        <f t="shared" si="157"/>
        <v>48251.55</v>
      </c>
      <c r="N337" s="29">
        <f t="shared" si="157"/>
        <v>0</v>
      </c>
      <c r="O337" s="29">
        <f t="shared" si="157"/>
        <v>0</v>
      </c>
      <c r="P337" s="28" t="s">
        <v>902</v>
      </c>
      <c r="Q337" s="30" t="s">
        <v>30</v>
      </c>
      <c r="R337" s="31" t="s">
        <v>31</v>
      </c>
    </row>
    <row r="338" spans="1:18" ht="46.5" x14ac:dyDescent="0.25">
      <c r="A338" s="32" t="s">
        <v>903</v>
      </c>
      <c r="B338" s="33" t="s">
        <v>904</v>
      </c>
      <c r="C338" s="34" t="s">
        <v>892</v>
      </c>
      <c r="D338" s="34" t="s">
        <v>905</v>
      </c>
      <c r="E338" s="34"/>
      <c r="F338" s="35">
        <f>SUM(F339:F340)+9000</f>
        <v>9000</v>
      </c>
      <c r="G338" s="35">
        <f>SUM(G339:G340)+9000</f>
        <v>9000</v>
      </c>
      <c r="H338" s="35">
        <f t="shared" ref="H338:O338" si="158">SUM(H339:H340)</f>
        <v>0</v>
      </c>
      <c r="I338" s="35">
        <f t="shared" si="158"/>
        <v>0</v>
      </c>
      <c r="J338" s="35">
        <f t="shared" si="158"/>
        <v>0</v>
      </c>
      <c r="K338" s="35">
        <f t="shared" si="158"/>
        <v>0</v>
      </c>
      <c r="L338" s="35">
        <f t="shared" si="158"/>
        <v>0</v>
      </c>
      <c r="M338" s="35">
        <f t="shared" si="158"/>
        <v>0</v>
      </c>
      <c r="N338" s="35">
        <f t="shared" si="158"/>
        <v>0</v>
      </c>
      <c r="O338" s="35">
        <f t="shared" si="158"/>
        <v>0</v>
      </c>
      <c r="P338" s="34" t="s">
        <v>906</v>
      </c>
      <c r="Q338" s="36" t="s">
        <v>36</v>
      </c>
      <c r="R338" s="37" t="s">
        <v>168</v>
      </c>
    </row>
    <row r="339" spans="1:18" ht="69.75" x14ac:dyDescent="0.25">
      <c r="A339" s="32" t="s">
        <v>907</v>
      </c>
      <c r="B339" s="33" t="s">
        <v>908</v>
      </c>
      <c r="C339" s="34"/>
      <c r="D339" s="34"/>
      <c r="E339" s="34"/>
      <c r="F339" s="38">
        <v>0</v>
      </c>
      <c r="G339" s="38">
        <v>0</v>
      </c>
      <c r="H339" s="38">
        <v>0</v>
      </c>
      <c r="I339" s="38">
        <v>0</v>
      </c>
      <c r="J339" s="38">
        <v>0</v>
      </c>
      <c r="K339" s="38">
        <v>0</v>
      </c>
      <c r="L339" s="38">
        <v>0</v>
      </c>
      <c r="M339" s="38">
        <v>0</v>
      </c>
      <c r="N339" s="38">
        <v>0</v>
      </c>
      <c r="O339" s="38">
        <v>0</v>
      </c>
      <c r="P339" s="34"/>
      <c r="Q339" s="36"/>
      <c r="R339" s="37"/>
    </row>
    <row r="340" spans="1:18" ht="46.5" x14ac:dyDescent="0.25">
      <c r="A340" s="32" t="s">
        <v>909</v>
      </c>
      <c r="B340" s="33" t="s">
        <v>910</v>
      </c>
      <c r="C340" s="34"/>
      <c r="D340" s="34"/>
      <c r="E340" s="34"/>
      <c r="F340" s="38">
        <v>0</v>
      </c>
      <c r="G340" s="38">
        <v>0</v>
      </c>
      <c r="H340" s="38">
        <v>0</v>
      </c>
      <c r="I340" s="38">
        <v>0</v>
      </c>
      <c r="J340" s="38">
        <v>0</v>
      </c>
      <c r="K340" s="38">
        <v>0</v>
      </c>
      <c r="L340" s="38">
        <v>0</v>
      </c>
      <c r="M340" s="38">
        <v>0</v>
      </c>
      <c r="N340" s="38">
        <v>0</v>
      </c>
      <c r="O340" s="38">
        <v>0</v>
      </c>
      <c r="P340" s="34"/>
      <c r="Q340" s="36"/>
      <c r="R340" s="37"/>
    </row>
    <row r="341" spans="1:18" ht="69.75" x14ac:dyDescent="0.25">
      <c r="A341" s="32" t="s">
        <v>911</v>
      </c>
      <c r="B341" s="33" t="s">
        <v>912</v>
      </c>
      <c r="C341" s="34" t="s">
        <v>892</v>
      </c>
      <c r="D341" s="34" t="s">
        <v>913</v>
      </c>
      <c r="E341" s="34"/>
      <c r="F341" s="35">
        <f>SUM(F342:F342)+5000</f>
        <v>5000</v>
      </c>
      <c r="G341" s="35">
        <f>SUM(G342:G342)+5000</f>
        <v>5000</v>
      </c>
      <c r="H341" s="35">
        <f t="shared" ref="H341:O341" si="159">SUM(H342:H342)</f>
        <v>0</v>
      </c>
      <c r="I341" s="35">
        <f t="shared" si="159"/>
        <v>0</v>
      </c>
      <c r="J341" s="35">
        <f t="shared" si="159"/>
        <v>0</v>
      </c>
      <c r="K341" s="35">
        <f t="shared" si="159"/>
        <v>0</v>
      </c>
      <c r="L341" s="35">
        <f t="shared" si="159"/>
        <v>0</v>
      </c>
      <c r="M341" s="35">
        <f t="shared" si="159"/>
        <v>0</v>
      </c>
      <c r="N341" s="35">
        <f t="shared" si="159"/>
        <v>0</v>
      </c>
      <c r="O341" s="35">
        <f t="shared" si="159"/>
        <v>0</v>
      </c>
      <c r="P341" s="34" t="s">
        <v>906</v>
      </c>
      <c r="Q341" s="36" t="s">
        <v>36</v>
      </c>
      <c r="R341" s="37" t="s">
        <v>203</v>
      </c>
    </row>
    <row r="342" spans="1:18" ht="69.75" x14ac:dyDescent="0.25">
      <c r="A342" s="32" t="s">
        <v>914</v>
      </c>
      <c r="B342" s="33" t="s">
        <v>915</v>
      </c>
      <c r="C342" s="34"/>
      <c r="D342" s="34"/>
      <c r="E342" s="34"/>
      <c r="F342" s="38">
        <v>0</v>
      </c>
      <c r="G342" s="38">
        <v>0</v>
      </c>
      <c r="H342" s="38">
        <v>0</v>
      </c>
      <c r="I342" s="38">
        <v>0</v>
      </c>
      <c r="J342" s="38">
        <v>0</v>
      </c>
      <c r="K342" s="38">
        <v>0</v>
      </c>
      <c r="L342" s="38">
        <v>0</v>
      </c>
      <c r="M342" s="38">
        <v>0</v>
      </c>
      <c r="N342" s="38">
        <v>0</v>
      </c>
      <c r="O342" s="38">
        <v>0</v>
      </c>
      <c r="P342" s="34"/>
      <c r="Q342" s="36"/>
      <c r="R342" s="37"/>
    </row>
    <row r="343" spans="1:18" ht="69.75" x14ac:dyDescent="0.25">
      <c r="A343" s="32" t="s">
        <v>916</v>
      </c>
      <c r="B343" s="33" t="s">
        <v>917</v>
      </c>
      <c r="C343" s="34" t="s">
        <v>892</v>
      </c>
      <c r="D343" s="34" t="s">
        <v>901</v>
      </c>
      <c r="E343" s="34"/>
      <c r="F343" s="35">
        <f>SUM(F344:F344)+6000</f>
        <v>6000</v>
      </c>
      <c r="G343" s="35">
        <f>SUM(G344:G344)+6000</f>
        <v>6000</v>
      </c>
      <c r="H343" s="35">
        <f t="shared" ref="H343:O343" si="160">SUM(H344:H344)</f>
        <v>0</v>
      </c>
      <c r="I343" s="35">
        <f t="shared" si="160"/>
        <v>0</v>
      </c>
      <c r="J343" s="35">
        <f t="shared" si="160"/>
        <v>0</v>
      </c>
      <c r="K343" s="35">
        <f t="shared" si="160"/>
        <v>0</v>
      </c>
      <c r="L343" s="35">
        <f t="shared" si="160"/>
        <v>0</v>
      </c>
      <c r="M343" s="35">
        <f t="shared" si="160"/>
        <v>0</v>
      </c>
      <c r="N343" s="35">
        <f t="shared" si="160"/>
        <v>0</v>
      </c>
      <c r="O343" s="35">
        <f t="shared" si="160"/>
        <v>0</v>
      </c>
      <c r="P343" s="34" t="s">
        <v>906</v>
      </c>
      <c r="Q343" s="36" t="s">
        <v>36</v>
      </c>
      <c r="R343" s="37" t="s">
        <v>203</v>
      </c>
    </row>
    <row r="344" spans="1:18" ht="69.75" x14ac:dyDescent="0.25">
      <c r="A344" s="32" t="s">
        <v>918</v>
      </c>
      <c r="B344" s="33" t="s">
        <v>919</v>
      </c>
      <c r="C344" s="34"/>
      <c r="D344" s="34"/>
      <c r="E344" s="34"/>
      <c r="F344" s="38">
        <v>0</v>
      </c>
      <c r="G344" s="38">
        <v>0</v>
      </c>
      <c r="H344" s="38">
        <v>0</v>
      </c>
      <c r="I344" s="38">
        <v>0</v>
      </c>
      <c r="J344" s="38">
        <v>0</v>
      </c>
      <c r="K344" s="38">
        <v>0</v>
      </c>
      <c r="L344" s="38">
        <v>0</v>
      </c>
      <c r="M344" s="38">
        <v>0</v>
      </c>
      <c r="N344" s="38">
        <v>0</v>
      </c>
      <c r="O344" s="38">
        <v>0</v>
      </c>
      <c r="P344" s="34"/>
      <c r="Q344" s="36"/>
      <c r="R344" s="37"/>
    </row>
    <row r="345" spans="1:18" ht="69.75" x14ac:dyDescent="0.25">
      <c r="A345" s="32" t="s">
        <v>920</v>
      </c>
      <c r="B345" s="33" t="s">
        <v>921</v>
      </c>
      <c r="C345" s="34" t="s">
        <v>922</v>
      </c>
      <c r="D345" s="34" t="s">
        <v>923</v>
      </c>
      <c r="E345" s="34" t="s">
        <v>41</v>
      </c>
      <c r="F345" s="35">
        <f>SUM(F346:F347)+54805.47</f>
        <v>54805.47</v>
      </c>
      <c r="G345" s="35">
        <f>SUM(G346:G347)+6553.92</f>
        <v>6553.92</v>
      </c>
      <c r="H345" s="35">
        <f>SUM(H346:H347)</f>
        <v>0</v>
      </c>
      <c r="I345" s="35">
        <f>SUM(I346:I347)</f>
        <v>0</v>
      </c>
      <c r="J345" s="35">
        <f>SUM(J346:J347)</f>
        <v>0</v>
      </c>
      <c r="K345" s="35">
        <f>SUM(K346:K347)</f>
        <v>0</v>
      </c>
      <c r="L345" s="35">
        <f>SUM(L346:L347)</f>
        <v>0</v>
      </c>
      <c r="M345" s="35">
        <f>SUM(M346:M347)+48251.55</f>
        <v>48251.55</v>
      </c>
      <c r="N345" s="35">
        <f>SUM(N346:N347)</f>
        <v>0</v>
      </c>
      <c r="O345" s="35">
        <f>SUM(O346:O347)</f>
        <v>0</v>
      </c>
      <c r="P345" s="34" t="s">
        <v>906</v>
      </c>
      <c r="Q345" s="36" t="s">
        <v>36</v>
      </c>
      <c r="R345" s="37" t="s">
        <v>247</v>
      </c>
    </row>
    <row r="346" spans="1:18" ht="46.5" x14ac:dyDescent="0.25">
      <c r="A346" s="32" t="s">
        <v>924</v>
      </c>
      <c r="B346" s="33" t="s">
        <v>925</v>
      </c>
      <c r="C346" s="34"/>
      <c r="D346" s="34"/>
      <c r="E346" s="34"/>
      <c r="F346" s="38">
        <v>0</v>
      </c>
      <c r="G346" s="38">
        <v>0</v>
      </c>
      <c r="H346" s="38">
        <v>0</v>
      </c>
      <c r="I346" s="38">
        <v>0</v>
      </c>
      <c r="J346" s="38">
        <v>0</v>
      </c>
      <c r="K346" s="38">
        <v>0</v>
      </c>
      <c r="L346" s="38">
        <v>0</v>
      </c>
      <c r="M346" s="38">
        <v>0</v>
      </c>
      <c r="N346" s="38">
        <v>0</v>
      </c>
      <c r="O346" s="38">
        <v>0</v>
      </c>
      <c r="P346" s="34"/>
      <c r="Q346" s="36"/>
      <c r="R346" s="37"/>
    </row>
    <row r="347" spans="1:18" ht="69.75" x14ac:dyDescent="0.25">
      <c r="A347" s="32" t="s">
        <v>926</v>
      </c>
      <c r="B347" s="33" t="s">
        <v>927</v>
      </c>
      <c r="C347" s="34"/>
      <c r="D347" s="34"/>
      <c r="E347" s="34"/>
      <c r="F347" s="38">
        <v>0</v>
      </c>
      <c r="G347" s="38">
        <v>0</v>
      </c>
      <c r="H347" s="38">
        <v>0</v>
      </c>
      <c r="I347" s="38">
        <v>0</v>
      </c>
      <c r="J347" s="38">
        <v>0</v>
      </c>
      <c r="K347" s="38">
        <v>0</v>
      </c>
      <c r="L347" s="38">
        <v>0</v>
      </c>
      <c r="M347" s="38">
        <v>0</v>
      </c>
      <c r="N347" s="38">
        <v>0</v>
      </c>
      <c r="O347" s="38">
        <v>0</v>
      </c>
      <c r="P347" s="34"/>
      <c r="Q347" s="36"/>
      <c r="R347" s="37"/>
    </row>
    <row r="348" spans="1:18" ht="45" x14ac:dyDescent="0.25">
      <c r="A348" s="26" t="s">
        <v>928</v>
      </c>
      <c r="B348" s="27" t="s">
        <v>929</v>
      </c>
      <c r="C348" s="28" t="s">
        <v>892</v>
      </c>
      <c r="D348" s="28" t="s">
        <v>930</v>
      </c>
      <c r="E348" s="28" t="s">
        <v>34</v>
      </c>
      <c r="F348" s="29">
        <f t="shared" ref="F348:O348" si="161">F349+F351</f>
        <v>772955</v>
      </c>
      <c r="G348" s="29">
        <f t="shared" si="161"/>
        <v>772955</v>
      </c>
      <c r="H348" s="29">
        <f t="shared" si="161"/>
        <v>0</v>
      </c>
      <c r="I348" s="29">
        <f t="shared" si="161"/>
        <v>0</v>
      </c>
      <c r="J348" s="29">
        <f t="shared" si="161"/>
        <v>0</v>
      </c>
      <c r="K348" s="29">
        <f t="shared" si="161"/>
        <v>0</v>
      </c>
      <c r="L348" s="29">
        <f t="shared" si="161"/>
        <v>0</v>
      </c>
      <c r="M348" s="29">
        <f t="shared" si="161"/>
        <v>0</v>
      </c>
      <c r="N348" s="29">
        <f t="shared" si="161"/>
        <v>0</v>
      </c>
      <c r="O348" s="29">
        <f t="shared" si="161"/>
        <v>0</v>
      </c>
      <c r="P348" s="28" t="s">
        <v>931</v>
      </c>
      <c r="Q348" s="30" t="s">
        <v>30</v>
      </c>
      <c r="R348" s="31" t="s">
        <v>31</v>
      </c>
    </row>
    <row r="349" spans="1:18" ht="69.75" x14ac:dyDescent="0.25">
      <c r="A349" s="32" t="s">
        <v>932</v>
      </c>
      <c r="B349" s="33" t="s">
        <v>933</v>
      </c>
      <c r="C349" s="34" t="s">
        <v>892</v>
      </c>
      <c r="D349" s="34" t="s">
        <v>930</v>
      </c>
      <c r="E349" s="34" t="s">
        <v>41</v>
      </c>
      <c r="F349" s="35">
        <f>SUM(F350:F350)+700270</f>
        <v>700270</v>
      </c>
      <c r="G349" s="35">
        <f>SUM(G350:G350)+700270</f>
        <v>700270</v>
      </c>
      <c r="H349" s="35">
        <f t="shared" ref="H349:O349" si="162">SUM(H350:H350)</f>
        <v>0</v>
      </c>
      <c r="I349" s="35">
        <f t="shared" si="162"/>
        <v>0</v>
      </c>
      <c r="J349" s="35">
        <f t="shared" si="162"/>
        <v>0</v>
      </c>
      <c r="K349" s="35">
        <f t="shared" si="162"/>
        <v>0</v>
      </c>
      <c r="L349" s="35">
        <f t="shared" si="162"/>
        <v>0</v>
      </c>
      <c r="M349" s="35">
        <f t="shared" si="162"/>
        <v>0</v>
      </c>
      <c r="N349" s="35">
        <f t="shared" si="162"/>
        <v>0</v>
      </c>
      <c r="O349" s="35">
        <f t="shared" si="162"/>
        <v>0</v>
      </c>
      <c r="P349" s="34" t="s">
        <v>934</v>
      </c>
      <c r="Q349" s="36" t="s">
        <v>30</v>
      </c>
      <c r="R349" s="37" t="s">
        <v>31</v>
      </c>
    </row>
    <row r="350" spans="1:18" ht="69.75" x14ac:dyDescent="0.25">
      <c r="A350" s="32" t="s">
        <v>935</v>
      </c>
      <c r="B350" s="33" t="s">
        <v>936</v>
      </c>
      <c r="C350" s="34"/>
      <c r="D350" s="34"/>
      <c r="E350" s="34"/>
      <c r="F350" s="38">
        <v>0</v>
      </c>
      <c r="G350" s="38">
        <v>0</v>
      </c>
      <c r="H350" s="38">
        <v>0</v>
      </c>
      <c r="I350" s="38">
        <v>0</v>
      </c>
      <c r="J350" s="38">
        <v>0</v>
      </c>
      <c r="K350" s="38">
        <v>0</v>
      </c>
      <c r="L350" s="38">
        <v>0</v>
      </c>
      <c r="M350" s="38">
        <v>0</v>
      </c>
      <c r="N350" s="38">
        <v>0</v>
      </c>
      <c r="O350" s="38">
        <v>0</v>
      </c>
      <c r="P350" s="34"/>
      <c r="Q350" s="36"/>
      <c r="R350" s="37"/>
    </row>
    <row r="351" spans="1:18" ht="69.75" x14ac:dyDescent="0.25">
      <c r="A351" s="32" t="s">
        <v>937</v>
      </c>
      <c r="B351" s="33" t="s">
        <v>938</v>
      </c>
      <c r="C351" s="34" t="s">
        <v>892</v>
      </c>
      <c r="D351" s="34" t="s">
        <v>930</v>
      </c>
      <c r="E351" s="34" t="s">
        <v>41</v>
      </c>
      <c r="F351" s="35">
        <f>SUM(F352:F352)+72685</f>
        <v>72685</v>
      </c>
      <c r="G351" s="35">
        <f>SUM(G352:G352)+72685</f>
        <v>72685</v>
      </c>
      <c r="H351" s="35">
        <f t="shared" ref="H351:O351" si="163">SUM(H352:H352)</f>
        <v>0</v>
      </c>
      <c r="I351" s="35">
        <f t="shared" si="163"/>
        <v>0</v>
      </c>
      <c r="J351" s="35">
        <f t="shared" si="163"/>
        <v>0</v>
      </c>
      <c r="K351" s="35">
        <f t="shared" si="163"/>
        <v>0</v>
      </c>
      <c r="L351" s="35">
        <f t="shared" si="163"/>
        <v>0</v>
      </c>
      <c r="M351" s="35">
        <f t="shared" si="163"/>
        <v>0</v>
      </c>
      <c r="N351" s="35">
        <f t="shared" si="163"/>
        <v>0</v>
      </c>
      <c r="O351" s="35">
        <f t="shared" si="163"/>
        <v>0</v>
      </c>
      <c r="P351" s="34" t="s">
        <v>939</v>
      </c>
      <c r="Q351" s="36" t="s">
        <v>30</v>
      </c>
      <c r="R351" s="37" t="s">
        <v>31</v>
      </c>
    </row>
    <row r="352" spans="1:18" ht="69.75" x14ac:dyDescent="0.25">
      <c r="A352" s="32" t="s">
        <v>940</v>
      </c>
      <c r="B352" s="33" t="s">
        <v>941</v>
      </c>
      <c r="C352" s="34"/>
      <c r="D352" s="34"/>
      <c r="E352" s="34"/>
      <c r="F352" s="38">
        <v>0</v>
      </c>
      <c r="G352" s="38">
        <v>0</v>
      </c>
      <c r="H352" s="38">
        <v>0</v>
      </c>
      <c r="I352" s="38">
        <v>0</v>
      </c>
      <c r="J352" s="38">
        <v>0</v>
      </c>
      <c r="K352" s="38">
        <v>0</v>
      </c>
      <c r="L352" s="38">
        <v>0</v>
      </c>
      <c r="M352" s="38">
        <v>0</v>
      </c>
      <c r="N352" s="38">
        <v>0</v>
      </c>
      <c r="O352" s="38">
        <v>0</v>
      </c>
      <c r="P352" s="34"/>
      <c r="Q352" s="36"/>
      <c r="R352" s="37"/>
    </row>
    <row r="353" spans="1:18" ht="67.5" x14ac:dyDescent="0.25">
      <c r="A353" s="26" t="s">
        <v>942</v>
      </c>
      <c r="B353" s="27" t="s">
        <v>943</v>
      </c>
      <c r="C353" s="28" t="s">
        <v>619</v>
      </c>
      <c r="D353" s="28" t="s">
        <v>620</v>
      </c>
      <c r="E353" s="28" t="s">
        <v>34</v>
      </c>
      <c r="F353" s="29">
        <f t="shared" ref="F353:O353" si="164">F354+F356+F359+F361</f>
        <v>0</v>
      </c>
      <c r="G353" s="29">
        <f t="shared" si="164"/>
        <v>0</v>
      </c>
      <c r="H353" s="29">
        <f t="shared" si="164"/>
        <v>0</v>
      </c>
      <c r="I353" s="29">
        <f t="shared" si="164"/>
        <v>0</v>
      </c>
      <c r="J353" s="29">
        <f t="shared" si="164"/>
        <v>0</v>
      </c>
      <c r="K353" s="29">
        <f t="shared" si="164"/>
        <v>0</v>
      </c>
      <c r="L353" s="29">
        <f t="shared" si="164"/>
        <v>0</v>
      </c>
      <c r="M353" s="29">
        <f t="shared" si="164"/>
        <v>0</v>
      </c>
      <c r="N353" s="29">
        <f t="shared" si="164"/>
        <v>0</v>
      </c>
      <c r="O353" s="29">
        <f t="shared" si="164"/>
        <v>0</v>
      </c>
      <c r="P353" s="28" t="s">
        <v>944</v>
      </c>
      <c r="Q353" s="30" t="s">
        <v>36</v>
      </c>
      <c r="R353" s="31" t="s">
        <v>48</v>
      </c>
    </row>
    <row r="354" spans="1:18" ht="93" x14ac:dyDescent="0.25">
      <c r="A354" s="32" t="s">
        <v>945</v>
      </c>
      <c r="B354" s="33" t="s">
        <v>946</v>
      </c>
      <c r="C354" s="34" t="s">
        <v>947</v>
      </c>
      <c r="D354" s="34" t="s">
        <v>620</v>
      </c>
      <c r="E354" s="34"/>
      <c r="F354" s="35">
        <f t="shared" ref="F354:O354" si="165">SUM(F355:F355)</f>
        <v>0</v>
      </c>
      <c r="G354" s="35">
        <f t="shared" si="165"/>
        <v>0</v>
      </c>
      <c r="H354" s="35">
        <f t="shared" si="165"/>
        <v>0</v>
      </c>
      <c r="I354" s="35">
        <f t="shared" si="165"/>
        <v>0</v>
      </c>
      <c r="J354" s="35">
        <f t="shared" si="165"/>
        <v>0</v>
      </c>
      <c r="K354" s="35">
        <f t="shared" si="165"/>
        <v>0</v>
      </c>
      <c r="L354" s="35">
        <f t="shared" si="165"/>
        <v>0</v>
      </c>
      <c r="M354" s="35">
        <f t="shared" si="165"/>
        <v>0</v>
      </c>
      <c r="N354" s="35">
        <f t="shared" si="165"/>
        <v>0</v>
      </c>
      <c r="O354" s="35">
        <f t="shared" si="165"/>
        <v>0</v>
      </c>
      <c r="P354" s="34" t="s">
        <v>948</v>
      </c>
      <c r="Q354" s="36" t="s">
        <v>36</v>
      </c>
      <c r="R354" s="37" t="s">
        <v>37</v>
      </c>
    </row>
    <row r="355" spans="1:18" ht="116.25" x14ac:dyDescent="0.25">
      <c r="A355" s="32" t="s">
        <v>949</v>
      </c>
      <c r="B355" s="33" t="s">
        <v>950</v>
      </c>
      <c r="C355" s="34"/>
      <c r="D355" s="34"/>
      <c r="E355" s="34"/>
      <c r="F355" s="38">
        <v>0</v>
      </c>
      <c r="G355" s="38">
        <v>0</v>
      </c>
      <c r="H355" s="38">
        <v>0</v>
      </c>
      <c r="I355" s="38">
        <v>0</v>
      </c>
      <c r="J355" s="38">
        <v>0</v>
      </c>
      <c r="K355" s="38">
        <v>0</v>
      </c>
      <c r="L355" s="38">
        <v>0</v>
      </c>
      <c r="M355" s="38">
        <v>0</v>
      </c>
      <c r="N355" s="38">
        <v>0</v>
      </c>
      <c r="O355" s="38">
        <v>0</v>
      </c>
      <c r="P355" s="34"/>
      <c r="Q355" s="36"/>
      <c r="R355" s="37"/>
    </row>
    <row r="356" spans="1:18" ht="93" x14ac:dyDescent="0.25">
      <c r="A356" s="32" t="s">
        <v>951</v>
      </c>
      <c r="B356" s="33" t="s">
        <v>952</v>
      </c>
      <c r="C356" s="34" t="s">
        <v>619</v>
      </c>
      <c r="D356" s="34" t="s">
        <v>620</v>
      </c>
      <c r="E356" s="34" t="s">
        <v>41</v>
      </c>
      <c r="F356" s="35">
        <f t="shared" ref="F356:O356" si="166">SUM(F357:F358)</f>
        <v>0</v>
      </c>
      <c r="G356" s="35">
        <f t="shared" si="166"/>
        <v>0</v>
      </c>
      <c r="H356" s="35">
        <f t="shared" si="166"/>
        <v>0</v>
      </c>
      <c r="I356" s="35">
        <f t="shared" si="166"/>
        <v>0</v>
      </c>
      <c r="J356" s="35">
        <f t="shared" si="166"/>
        <v>0</v>
      </c>
      <c r="K356" s="35">
        <f t="shared" si="166"/>
        <v>0</v>
      </c>
      <c r="L356" s="35">
        <f t="shared" si="166"/>
        <v>0</v>
      </c>
      <c r="M356" s="35">
        <f t="shared" si="166"/>
        <v>0</v>
      </c>
      <c r="N356" s="35">
        <f t="shared" si="166"/>
        <v>0</v>
      </c>
      <c r="O356" s="35">
        <f t="shared" si="166"/>
        <v>0</v>
      </c>
      <c r="P356" s="34" t="s">
        <v>953</v>
      </c>
      <c r="Q356" s="36" t="s">
        <v>36</v>
      </c>
      <c r="R356" s="37" t="s">
        <v>954</v>
      </c>
    </row>
    <row r="357" spans="1:18" ht="46.5" x14ac:dyDescent="0.25">
      <c r="A357" s="32" t="s">
        <v>955</v>
      </c>
      <c r="B357" s="33" t="s">
        <v>956</v>
      </c>
      <c r="C357" s="34"/>
      <c r="D357" s="34"/>
      <c r="E357" s="34"/>
      <c r="F357" s="38">
        <v>0</v>
      </c>
      <c r="G357" s="38">
        <v>0</v>
      </c>
      <c r="H357" s="38">
        <v>0</v>
      </c>
      <c r="I357" s="38">
        <v>0</v>
      </c>
      <c r="J357" s="38">
        <v>0</v>
      </c>
      <c r="K357" s="38">
        <v>0</v>
      </c>
      <c r="L357" s="38">
        <v>0</v>
      </c>
      <c r="M357" s="38">
        <v>0</v>
      </c>
      <c r="N357" s="38">
        <v>0</v>
      </c>
      <c r="O357" s="38">
        <v>0</v>
      </c>
      <c r="P357" s="34"/>
      <c r="Q357" s="36"/>
      <c r="R357" s="37"/>
    </row>
    <row r="358" spans="1:18" ht="69.75" x14ac:dyDescent="0.25">
      <c r="A358" s="32" t="s">
        <v>957</v>
      </c>
      <c r="B358" s="33" t="s">
        <v>958</v>
      </c>
      <c r="C358" s="34"/>
      <c r="D358" s="34"/>
      <c r="E358" s="34"/>
      <c r="F358" s="38">
        <v>0</v>
      </c>
      <c r="G358" s="38">
        <v>0</v>
      </c>
      <c r="H358" s="38">
        <v>0</v>
      </c>
      <c r="I358" s="38">
        <v>0</v>
      </c>
      <c r="J358" s="38">
        <v>0</v>
      </c>
      <c r="K358" s="38">
        <v>0</v>
      </c>
      <c r="L358" s="38">
        <v>0</v>
      </c>
      <c r="M358" s="38">
        <v>0</v>
      </c>
      <c r="N358" s="38">
        <v>0</v>
      </c>
      <c r="O358" s="38">
        <v>0</v>
      </c>
      <c r="P358" s="34"/>
      <c r="Q358" s="36"/>
      <c r="R358" s="37"/>
    </row>
    <row r="359" spans="1:18" ht="209.25" x14ac:dyDescent="0.25">
      <c r="A359" s="32" t="s">
        <v>959</v>
      </c>
      <c r="B359" s="33" t="s">
        <v>960</v>
      </c>
      <c r="C359" s="34" t="s">
        <v>961</v>
      </c>
      <c r="D359" s="34" t="s">
        <v>620</v>
      </c>
      <c r="E359" s="34" t="s">
        <v>201</v>
      </c>
      <c r="F359" s="35">
        <f t="shared" ref="F359:O359" si="167">SUM(F360:F360)</f>
        <v>0</v>
      </c>
      <c r="G359" s="35">
        <f t="shared" si="167"/>
        <v>0</v>
      </c>
      <c r="H359" s="35">
        <f t="shared" si="167"/>
        <v>0</v>
      </c>
      <c r="I359" s="35">
        <f t="shared" si="167"/>
        <v>0</v>
      </c>
      <c r="J359" s="35">
        <f t="shared" si="167"/>
        <v>0</v>
      </c>
      <c r="K359" s="35">
        <f t="shared" si="167"/>
        <v>0</v>
      </c>
      <c r="L359" s="35">
        <f t="shared" si="167"/>
        <v>0</v>
      </c>
      <c r="M359" s="35">
        <f t="shared" si="167"/>
        <v>0</v>
      </c>
      <c r="N359" s="35">
        <f t="shared" si="167"/>
        <v>0</v>
      </c>
      <c r="O359" s="35">
        <f t="shared" si="167"/>
        <v>0</v>
      </c>
      <c r="P359" s="34" t="s">
        <v>962</v>
      </c>
      <c r="Q359" s="36" t="s">
        <v>30</v>
      </c>
      <c r="R359" s="37" t="s">
        <v>963</v>
      </c>
    </row>
    <row r="360" spans="1:18" ht="69.75" x14ac:dyDescent="0.25">
      <c r="A360" s="32" t="s">
        <v>964</v>
      </c>
      <c r="B360" s="33" t="s">
        <v>965</v>
      </c>
      <c r="C360" s="34"/>
      <c r="D360" s="34"/>
      <c r="E360" s="34"/>
      <c r="F360" s="38">
        <v>0</v>
      </c>
      <c r="G360" s="38">
        <v>0</v>
      </c>
      <c r="H360" s="38">
        <v>0</v>
      </c>
      <c r="I360" s="38">
        <v>0</v>
      </c>
      <c r="J360" s="38">
        <v>0</v>
      </c>
      <c r="K360" s="38">
        <v>0</v>
      </c>
      <c r="L360" s="38">
        <v>0</v>
      </c>
      <c r="M360" s="38">
        <v>0</v>
      </c>
      <c r="N360" s="38">
        <v>0</v>
      </c>
      <c r="O360" s="38">
        <v>0</v>
      </c>
      <c r="P360" s="34"/>
      <c r="Q360" s="36"/>
      <c r="R360" s="37"/>
    </row>
    <row r="361" spans="1:18" ht="93" x14ac:dyDescent="0.25">
      <c r="A361" s="32" t="s">
        <v>966</v>
      </c>
      <c r="B361" s="33" t="s">
        <v>967</v>
      </c>
      <c r="C361" s="34" t="s">
        <v>619</v>
      </c>
      <c r="D361" s="34" t="s">
        <v>620</v>
      </c>
      <c r="E361" s="34"/>
      <c r="F361" s="35">
        <f t="shared" ref="F361:O361" si="168">SUM(F362:F362)</f>
        <v>0</v>
      </c>
      <c r="G361" s="35">
        <f t="shared" si="168"/>
        <v>0</v>
      </c>
      <c r="H361" s="35">
        <f t="shared" si="168"/>
        <v>0</v>
      </c>
      <c r="I361" s="35">
        <f t="shared" si="168"/>
        <v>0</v>
      </c>
      <c r="J361" s="35">
        <f t="shared" si="168"/>
        <v>0</v>
      </c>
      <c r="K361" s="35">
        <f t="shared" si="168"/>
        <v>0</v>
      </c>
      <c r="L361" s="35">
        <f t="shared" si="168"/>
        <v>0</v>
      </c>
      <c r="M361" s="35">
        <f t="shared" si="168"/>
        <v>0</v>
      </c>
      <c r="N361" s="35">
        <f t="shared" si="168"/>
        <v>0</v>
      </c>
      <c r="O361" s="35">
        <f t="shared" si="168"/>
        <v>0</v>
      </c>
      <c r="P361" s="34" t="s">
        <v>968</v>
      </c>
      <c r="Q361" s="36" t="s">
        <v>36</v>
      </c>
      <c r="R361" s="37" t="s">
        <v>251</v>
      </c>
    </row>
    <row r="362" spans="1:18" ht="46.5" x14ac:dyDescent="0.25">
      <c r="A362" s="32" t="s">
        <v>969</v>
      </c>
      <c r="B362" s="33" t="s">
        <v>970</v>
      </c>
      <c r="C362" s="34"/>
      <c r="D362" s="34"/>
      <c r="E362" s="34"/>
      <c r="F362" s="38">
        <v>0</v>
      </c>
      <c r="G362" s="38">
        <v>0</v>
      </c>
      <c r="H362" s="38">
        <v>0</v>
      </c>
      <c r="I362" s="38">
        <v>0</v>
      </c>
      <c r="J362" s="38">
        <v>0</v>
      </c>
      <c r="K362" s="38">
        <v>0</v>
      </c>
      <c r="L362" s="38">
        <v>0</v>
      </c>
      <c r="M362" s="38">
        <v>0</v>
      </c>
      <c r="N362" s="38">
        <v>0</v>
      </c>
      <c r="O362" s="38">
        <v>0</v>
      </c>
      <c r="P362" s="34"/>
      <c r="Q362" s="36"/>
      <c r="R362" s="37"/>
    </row>
    <row r="363" spans="1:18" ht="112.5" x14ac:dyDescent="0.25">
      <c r="A363" s="20" t="s">
        <v>971</v>
      </c>
      <c r="B363" s="21" t="s">
        <v>972</v>
      </c>
      <c r="C363" s="22" t="s">
        <v>769</v>
      </c>
      <c r="D363" s="22" t="s">
        <v>770</v>
      </c>
      <c r="E363" s="22"/>
      <c r="F363" s="23">
        <f t="shared" ref="F363:O363" si="169">SUM(F364:F364)</f>
        <v>10300</v>
      </c>
      <c r="G363" s="23">
        <f t="shared" si="169"/>
        <v>10300</v>
      </c>
      <c r="H363" s="23">
        <f t="shared" si="169"/>
        <v>0</v>
      </c>
      <c r="I363" s="23">
        <f t="shared" si="169"/>
        <v>0</v>
      </c>
      <c r="J363" s="23">
        <f t="shared" si="169"/>
        <v>0</v>
      </c>
      <c r="K363" s="23">
        <f t="shared" si="169"/>
        <v>0</v>
      </c>
      <c r="L363" s="23">
        <f t="shared" si="169"/>
        <v>0</v>
      </c>
      <c r="M363" s="23">
        <f t="shared" si="169"/>
        <v>0</v>
      </c>
      <c r="N363" s="23">
        <f t="shared" si="169"/>
        <v>0</v>
      </c>
      <c r="O363" s="23">
        <f t="shared" si="169"/>
        <v>0</v>
      </c>
      <c r="P363" s="22" t="s">
        <v>243</v>
      </c>
      <c r="Q363" s="24" t="s">
        <v>30</v>
      </c>
      <c r="R363" s="25" t="s">
        <v>625</v>
      </c>
    </row>
    <row r="364" spans="1:18" ht="135" x14ac:dyDescent="0.25">
      <c r="A364" s="26" t="s">
        <v>973</v>
      </c>
      <c r="B364" s="27" t="s">
        <v>974</v>
      </c>
      <c r="C364" s="28" t="s">
        <v>769</v>
      </c>
      <c r="D364" s="28" t="s">
        <v>770</v>
      </c>
      <c r="E364" s="28" t="s">
        <v>232</v>
      </c>
      <c r="F364" s="29">
        <f t="shared" ref="F364:O364" si="170">F365+F367</f>
        <v>10300</v>
      </c>
      <c r="G364" s="29">
        <f t="shared" si="170"/>
        <v>10300</v>
      </c>
      <c r="H364" s="29">
        <f t="shared" si="170"/>
        <v>0</v>
      </c>
      <c r="I364" s="29">
        <f t="shared" si="170"/>
        <v>0</v>
      </c>
      <c r="J364" s="29">
        <f t="shared" si="170"/>
        <v>0</v>
      </c>
      <c r="K364" s="29">
        <f t="shared" si="170"/>
        <v>0</v>
      </c>
      <c r="L364" s="29">
        <f t="shared" si="170"/>
        <v>0</v>
      </c>
      <c r="M364" s="29">
        <f t="shared" si="170"/>
        <v>0</v>
      </c>
      <c r="N364" s="29">
        <f t="shared" si="170"/>
        <v>0</v>
      </c>
      <c r="O364" s="29">
        <f t="shared" si="170"/>
        <v>0</v>
      </c>
      <c r="P364" s="28" t="s">
        <v>975</v>
      </c>
      <c r="Q364" s="30" t="s">
        <v>30</v>
      </c>
      <c r="R364" s="31" t="s">
        <v>976</v>
      </c>
    </row>
    <row r="365" spans="1:18" ht="69.75" x14ac:dyDescent="0.25">
      <c r="A365" s="32" t="s">
        <v>977</v>
      </c>
      <c r="B365" s="33" t="s">
        <v>978</v>
      </c>
      <c r="C365" s="34" t="s">
        <v>769</v>
      </c>
      <c r="D365" s="34" t="s">
        <v>770</v>
      </c>
      <c r="E365" s="34" t="s">
        <v>236</v>
      </c>
      <c r="F365" s="35">
        <f>SUM(F366:F366)+10000</f>
        <v>10000</v>
      </c>
      <c r="G365" s="35">
        <f>SUM(G366:G366)+10000</f>
        <v>10000</v>
      </c>
      <c r="H365" s="35">
        <f t="shared" ref="H365:O365" si="171">SUM(H366:H366)</f>
        <v>0</v>
      </c>
      <c r="I365" s="35">
        <f t="shared" si="171"/>
        <v>0</v>
      </c>
      <c r="J365" s="35">
        <f t="shared" si="171"/>
        <v>0</v>
      </c>
      <c r="K365" s="35">
        <f t="shared" si="171"/>
        <v>0</v>
      </c>
      <c r="L365" s="35">
        <f t="shared" si="171"/>
        <v>0</v>
      </c>
      <c r="M365" s="35">
        <f t="shared" si="171"/>
        <v>0</v>
      </c>
      <c r="N365" s="35">
        <f t="shared" si="171"/>
        <v>0</v>
      </c>
      <c r="O365" s="35">
        <f t="shared" si="171"/>
        <v>0</v>
      </c>
      <c r="P365" s="34" t="s">
        <v>979</v>
      </c>
      <c r="Q365" s="36" t="s">
        <v>36</v>
      </c>
      <c r="R365" s="37" t="s">
        <v>170</v>
      </c>
    </row>
    <row r="366" spans="1:18" ht="46.5" x14ac:dyDescent="0.25">
      <c r="A366" s="32" t="s">
        <v>980</v>
      </c>
      <c r="B366" s="33" t="s">
        <v>981</v>
      </c>
      <c r="C366" s="34"/>
      <c r="D366" s="34"/>
      <c r="E366" s="34"/>
      <c r="F366" s="38">
        <v>0</v>
      </c>
      <c r="G366" s="38">
        <v>0</v>
      </c>
      <c r="H366" s="38">
        <v>0</v>
      </c>
      <c r="I366" s="38">
        <v>0</v>
      </c>
      <c r="J366" s="38">
        <v>0</v>
      </c>
      <c r="K366" s="38">
        <v>0</v>
      </c>
      <c r="L366" s="38">
        <v>0</v>
      </c>
      <c r="M366" s="38">
        <v>0</v>
      </c>
      <c r="N366" s="38">
        <v>0</v>
      </c>
      <c r="O366" s="38">
        <v>0</v>
      </c>
      <c r="P366" s="34"/>
      <c r="Q366" s="36"/>
      <c r="R366" s="37"/>
    </row>
    <row r="367" spans="1:18" ht="46.5" x14ac:dyDescent="0.25">
      <c r="A367" s="32" t="s">
        <v>982</v>
      </c>
      <c r="B367" s="33" t="s">
        <v>983</v>
      </c>
      <c r="C367" s="34" t="s">
        <v>769</v>
      </c>
      <c r="D367" s="34" t="s">
        <v>770</v>
      </c>
      <c r="E367" s="34" t="s">
        <v>236</v>
      </c>
      <c r="F367" s="35">
        <f>SUM(F368:F368)+300</f>
        <v>300</v>
      </c>
      <c r="G367" s="35">
        <f>SUM(G368:G368)+300</f>
        <v>300</v>
      </c>
      <c r="H367" s="35">
        <f t="shared" ref="H367:O367" si="172">SUM(H368:H368)</f>
        <v>0</v>
      </c>
      <c r="I367" s="35">
        <f t="shared" si="172"/>
        <v>0</v>
      </c>
      <c r="J367" s="35">
        <f t="shared" si="172"/>
        <v>0</v>
      </c>
      <c r="K367" s="35">
        <f t="shared" si="172"/>
        <v>0</v>
      </c>
      <c r="L367" s="35">
        <f t="shared" si="172"/>
        <v>0</v>
      </c>
      <c r="M367" s="35">
        <f t="shared" si="172"/>
        <v>0</v>
      </c>
      <c r="N367" s="35">
        <f t="shared" si="172"/>
        <v>0</v>
      </c>
      <c r="O367" s="35">
        <f t="shared" si="172"/>
        <v>0</v>
      </c>
      <c r="P367" s="34" t="s">
        <v>984</v>
      </c>
      <c r="Q367" s="36" t="s">
        <v>36</v>
      </c>
      <c r="R367" s="37" t="s">
        <v>371</v>
      </c>
    </row>
    <row r="368" spans="1:18" ht="46.5" x14ac:dyDescent="0.25">
      <c r="A368" s="32" t="s">
        <v>985</v>
      </c>
      <c r="B368" s="33" t="s">
        <v>986</v>
      </c>
      <c r="C368" s="34"/>
      <c r="D368" s="34"/>
      <c r="E368" s="34"/>
      <c r="F368" s="38">
        <v>0</v>
      </c>
      <c r="G368" s="38">
        <v>0</v>
      </c>
      <c r="H368" s="38">
        <v>0</v>
      </c>
      <c r="I368" s="38">
        <v>0</v>
      </c>
      <c r="J368" s="38">
        <v>0</v>
      </c>
      <c r="K368" s="38">
        <v>0</v>
      </c>
      <c r="L368" s="38">
        <v>0</v>
      </c>
      <c r="M368" s="38">
        <v>0</v>
      </c>
      <c r="N368" s="38">
        <v>0</v>
      </c>
      <c r="O368" s="38">
        <v>0</v>
      </c>
      <c r="P368" s="34"/>
      <c r="Q368" s="36"/>
      <c r="R368" s="37"/>
    </row>
    <row r="369" spans="1:18" ht="45" x14ac:dyDescent="0.25">
      <c r="A369" s="14" t="s">
        <v>987</v>
      </c>
      <c r="B369" s="15" t="s">
        <v>988</v>
      </c>
      <c r="C369" s="16" t="s">
        <v>261</v>
      </c>
      <c r="D369" s="16" t="s">
        <v>989</v>
      </c>
      <c r="E369" s="16"/>
      <c r="F369" s="17">
        <f t="shared" ref="F369:O369" si="173">F370+F454+F469+F521+F528</f>
        <v>8009653.5800000001</v>
      </c>
      <c r="G369" s="17">
        <f t="shared" si="173"/>
        <v>5681920.3000000007</v>
      </c>
      <c r="H369" s="17">
        <f t="shared" si="173"/>
        <v>21856.23</v>
      </c>
      <c r="I369" s="17">
        <f t="shared" si="173"/>
        <v>147134.04999999999</v>
      </c>
      <c r="J369" s="17">
        <f t="shared" si="173"/>
        <v>321200</v>
      </c>
      <c r="K369" s="17">
        <f t="shared" si="173"/>
        <v>0</v>
      </c>
      <c r="L369" s="17">
        <f t="shared" si="173"/>
        <v>0</v>
      </c>
      <c r="M369" s="17">
        <f t="shared" si="173"/>
        <v>1836100</v>
      </c>
      <c r="N369" s="17">
        <f t="shared" si="173"/>
        <v>0</v>
      </c>
      <c r="O369" s="17">
        <f t="shared" si="173"/>
        <v>0</v>
      </c>
      <c r="P369" s="16"/>
      <c r="Q369" s="18"/>
      <c r="R369" s="19"/>
    </row>
    <row r="370" spans="1:18" ht="45" x14ac:dyDescent="0.25">
      <c r="A370" s="20" t="s">
        <v>990</v>
      </c>
      <c r="B370" s="21" t="s">
        <v>991</v>
      </c>
      <c r="C370" s="22" t="s">
        <v>261</v>
      </c>
      <c r="D370" s="22" t="s">
        <v>265</v>
      </c>
      <c r="E370" s="22"/>
      <c r="F370" s="23">
        <f t="shared" ref="F370:O370" si="174">F371+F402+F437+F444+F447+F450</f>
        <v>2714795.05</v>
      </c>
      <c r="G370" s="23">
        <f t="shared" si="174"/>
        <v>2566218</v>
      </c>
      <c r="H370" s="23">
        <f t="shared" si="174"/>
        <v>0</v>
      </c>
      <c r="I370" s="23">
        <f t="shared" si="174"/>
        <v>147134.04999999999</v>
      </c>
      <c r="J370" s="23">
        <f t="shared" si="174"/>
        <v>0</v>
      </c>
      <c r="K370" s="23">
        <f t="shared" si="174"/>
        <v>0</v>
      </c>
      <c r="L370" s="23">
        <f t="shared" si="174"/>
        <v>0</v>
      </c>
      <c r="M370" s="23">
        <f t="shared" si="174"/>
        <v>0</v>
      </c>
      <c r="N370" s="23">
        <f t="shared" si="174"/>
        <v>0</v>
      </c>
      <c r="O370" s="23">
        <f t="shared" si="174"/>
        <v>0</v>
      </c>
      <c r="P370" s="22" t="s">
        <v>992</v>
      </c>
      <c r="Q370" s="24" t="s">
        <v>30</v>
      </c>
      <c r="R370" s="25" t="s">
        <v>64</v>
      </c>
    </row>
    <row r="371" spans="1:18" ht="67.5" x14ac:dyDescent="0.25">
      <c r="A371" s="26" t="s">
        <v>993</v>
      </c>
      <c r="B371" s="27" t="s">
        <v>994</v>
      </c>
      <c r="C371" s="28" t="s">
        <v>261</v>
      </c>
      <c r="D371" s="28" t="s">
        <v>265</v>
      </c>
      <c r="E371" s="28" t="s">
        <v>34</v>
      </c>
      <c r="F371" s="29">
        <f t="shared" ref="F371:O371" si="175">F372+F374+F376+F378+F380+F382+F384+F386+F388+F390+F392+F394+F396+F398+F400</f>
        <v>171134.05</v>
      </c>
      <c r="G371" s="29">
        <f t="shared" si="175"/>
        <v>24000</v>
      </c>
      <c r="H371" s="29">
        <f t="shared" si="175"/>
        <v>0</v>
      </c>
      <c r="I371" s="29">
        <f t="shared" si="175"/>
        <v>147134.04999999999</v>
      </c>
      <c r="J371" s="29">
        <f t="shared" si="175"/>
        <v>0</v>
      </c>
      <c r="K371" s="29">
        <f t="shared" si="175"/>
        <v>0</v>
      </c>
      <c r="L371" s="29">
        <f t="shared" si="175"/>
        <v>0</v>
      </c>
      <c r="M371" s="29">
        <f t="shared" si="175"/>
        <v>0</v>
      </c>
      <c r="N371" s="29">
        <f t="shared" si="175"/>
        <v>0</v>
      </c>
      <c r="O371" s="29">
        <f t="shared" si="175"/>
        <v>0</v>
      </c>
      <c r="P371" s="28" t="s">
        <v>995</v>
      </c>
      <c r="Q371" s="30" t="s">
        <v>36</v>
      </c>
      <c r="R371" s="31" t="s">
        <v>168</v>
      </c>
    </row>
    <row r="372" spans="1:18" ht="93" x14ac:dyDescent="0.25">
      <c r="A372" s="32" t="s">
        <v>996</v>
      </c>
      <c r="B372" s="33" t="s">
        <v>997</v>
      </c>
      <c r="C372" s="34" t="s">
        <v>261</v>
      </c>
      <c r="D372" s="34" t="s">
        <v>989</v>
      </c>
      <c r="E372" s="34" t="s">
        <v>41</v>
      </c>
      <c r="F372" s="35">
        <f>SUM(F373:F373)+42000</f>
        <v>42000</v>
      </c>
      <c r="G372" s="35">
        <f>SUM(G373:G373)</f>
        <v>0</v>
      </c>
      <c r="H372" s="35">
        <f>SUM(H373:H373)</f>
        <v>0</v>
      </c>
      <c r="I372" s="35">
        <f>SUM(I373:I373)+42000</f>
        <v>42000</v>
      </c>
      <c r="J372" s="35">
        <f t="shared" ref="J372:O372" si="176">SUM(J373:J373)</f>
        <v>0</v>
      </c>
      <c r="K372" s="35">
        <f t="shared" si="176"/>
        <v>0</v>
      </c>
      <c r="L372" s="35">
        <f t="shared" si="176"/>
        <v>0</v>
      </c>
      <c r="M372" s="35">
        <f t="shared" si="176"/>
        <v>0</v>
      </c>
      <c r="N372" s="35">
        <f t="shared" si="176"/>
        <v>0</v>
      </c>
      <c r="O372" s="35">
        <f t="shared" si="176"/>
        <v>0</v>
      </c>
      <c r="P372" s="34" t="s">
        <v>998</v>
      </c>
      <c r="Q372" s="36" t="s">
        <v>36</v>
      </c>
      <c r="R372" s="37" t="s">
        <v>203</v>
      </c>
    </row>
    <row r="373" spans="1:18" ht="69.75" x14ac:dyDescent="0.25">
      <c r="A373" s="32" t="s">
        <v>999</v>
      </c>
      <c r="B373" s="33" t="s">
        <v>1000</v>
      </c>
      <c r="C373" s="34"/>
      <c r="D373" s="34"/>
      <c r="E373" s="34"/>
      <c r="F373" s="38">
        <v>0</v>
      </c>
      <c r="G373" s="38">
        <v>0</v>
      </c>
      <c r="H373" s="38">
        <v>0</v>
      </c>
      <c r="I373" s="38">
        <v>0</v>
      </c>
      <c r="J373" s="38">
        <v>0</v>
      </c>
      <c r="K373" s="38">
        <v>0</v>
      </c>
      <c r="L373" s="38">
        <v>0</v>
      </c>
      <c r="M373" s="38">
        <v>0</v>
      </c>
      <c r="N373" s="38">
        <v>0</v>
      </c>
      <c r="O373" s="38">
        <v>0</v>
      </c>
      <c r="P373" s="34"/>
      <c r="Q373" s="36"/>
      <c r="R373" s="37"/>
    </row>
    <row r="374" spans="1:18" ht="93" x14ac:dyDescent="0.25">
      <c r="A374" s="32" t="s">
        <v>1001</v>
      </c>
      <c r="B374" s="33" t="s">
        <v>1002</v>
      </c>
      <c r="C374" s="34" t="s">
        <v>261</v>
      </c>
      <c r="D374" s="34" t="s">
        <v>989</v>
      </c>
      <c r="E374" s="34" t="s">
        <v>41</v>
      </c>
      <c r="F374" s="35">
        <f>SUM(F375:F375)+3000</f>
        <v>3000</v>
      </c>
      <c r="G374" s="35">
        <f>SUM(G375:G375)</f>
        <v>0</v>
      </c>
      <c r="H374" s="35">
        <f>SUM(H375:H375)</f>
        <v>0</v>
      </c>
      <c r="I374" s="35">
        <f>SUM(I375:I375)+3000</f>
        <v>3000</v>
      </c>
      <c r="J374" s="35">
        <f t="shared" ref="J374:O374" si="177">SUM(J375:J375)</f>
        <v>0</v>
      </c>
      <c r="K374" s="35">
        <f t="shared" si="177"/>
        <v>0</v>
      </c>
      <c r="L374" s="35">
        <f t="shared" si="177"/>
        <v>0</v>
      </c>
      <c r="M374" s="35">
        <f t="shared" si="177"/>
        <v>0</v>
      </c>
      <c r="N374" s="35">
        <f t="shared" si="177"/>
        <v>0</v>
      </c>
      <c r="O374" s="35">
        <f t="shared" si="177"/>
        <v>0</v>
      </c>
      <c r="P374" s="34" t="s">
        <v>1003</v>
      </c>
      <c r="Q374" s="36" t="s">
        <v>36</v>
      </c>
      <c r="R374" s="37" t="s">
        <v>186</v>
      </c>
    </row>
    <row r="375" spans="1:18" ht="93" x14ac:dyDescent="0.25">
      <c r="A375" s="32" t="s">
        <v>1004</v>
      </c>
      <c r="B375" s="33" t="s">
        <v>1005</v>
      </c>
      <c r="C375" s="34"/>
      <c r="D375" s="34"/>
      <c r="E375" s="34"/>
      <c r="F375" s="38">
        <v>0</v>
      </c>
      <c r="G375" s="38">
        <v>0</v>
      </c>
      <c r="H375" s="38">
        <v>0</v>
      </c>
      <c r="I375" s="38">
        <v>0</v>
      </c>
      <c r="J375" s="38">
        <v>0</v>
      </c>
      <c r="K375" s="38">
        <v>0</v>
      </c>
      <c r="L375" s="38">
        <v>0</v>
      </c>
      <c r="M375" s="38">
        <v>0</v>
      </c>
      <c r="N375" s="38">
        <v>0</v>
      </c>
      <c r="O375" s="38">
        <v>0</v>
      </c>
      <c r="P375" s="34"/>
      <c r="Q375" s="36"/>
      <c r="R375" s="37"/>
    </row>
    <row r="376" spans="1:18" ht="93" x14ac:dyDescent="0.25">
      <c r="A376" s="32" t="s">
        <v>1006</v>
      </c>
      <c r="B376" s="33" t="s">
        <v>1007</v>
      </c>
      <c r="C376" s="34" t="s">
        <v>1008</v>
      </c>
      <c r="D376" s="34" t="s">
        <v>1009</v>
      </c>
      <c r="E376" s="34" t="s">
        <v>41</v>
      </c>
      <c r="F376" s="35">
        <f>SUM(F377:F377)+32488</f>
        <v>32488</v>
      </c>
      <c r="G376" s="35">
        <f>SUM(G377:G377)</f>
        <v>0</v>
      </c>
      <c r="H376" s="35">
        <f>SUM(H377:H377)</f>
        <v>0</v>
      </c>
      <c r="I376" s="35">
        <f>SUM(I377:I377)+32488</f>
        <v>32488</v>
      </c>
      <c r="J376" s="35">
        <f t="shared" ref="J376:O376" si="178">SUM(J377:J377)</f>
        <v>0</v>
      </c>
      <c r="K376" s="35">
        <f t="shared" si="178"/>
        <v>0</v>
      </c>
      <c r="L376" s="35">
        <f t="shared" si="178"/>
        <v>0</v>
      </c>
      <c r="M376" s="35">
        <f t="shared" si="178"/>
        <v>0</v>
      </c>
      <c r="N376" s="35">
        <f t="shared" si="178"/>
        <v>0</v>
      </c>
      <c r="O376" s="35">
        <f t="shared" si="178"/>
        <v>0</v>
      </c>
      <c r="P376" s="34" t="s">
        <v>1010</v>
      </c>
      <c r="Q376" s="36" t="s">
        <v>36</v>
      </c>
      <c r="R376" s="37" t="s">
        <v>186</v>
      </c>
    </row>
    <row r="377" spans="1:18" ht="46.5" x14ac:dyDescent="0.25">
      <c r="A377" s="32" t="s">
        <v>1011</v>
      </c>
      <c r="B377" s="33" t="s">
        <v>1012</v>
      </c>
      <c r="C377" s="34"/>
      <c r="D377" s="34"/>
      <c r="E377" s="34"/>
      <c r="F377" s="38">
        <v>0</v>
      </c>
      <c r="G377" s="38">
        <v>0</v>
      </c>
      <c r="H377" s="38">
        <v>0</v>
      </c>
      <c r="I377" s="38">
        <v>0</v>
      </c>
      <c r="J377" s="38">
        <v>0</v>
      </c>
      <c r="K377" s="38">
        <v>0</v>
      </c>
      <c r="L377" s="38">
        <v>0</v>
      </c>
      <c r="M377" s="38">
        <v>0</v>
      </c>
      <c r="N377" s="38">
        <v>0</v>
      </c>
      <c r="O377" s="38">
        <v>0</v>
      </c>
      <c r="P377" s="34"/>
      <c r="Q377" s="36"/>
      <c r="R377" s="37"/>
    </row>
    <row r="378" spans="1:18" ht="116.25" x14ac:dyDescent="0.25">
      <c r="A378" s="32" t="s">
        <v>1013</v>
      </c>
      <c r="B378" s="33" t="s">
        <v>1014</v>
      </c>
      <c r="C378" s="34" t="s">
        <v>261</v>
      </c>
      <c r="D378" s="34" t="s">
        <v>989</v>
      </c>
      <c r="E378" s="34" t="s">
        <v>41</v>
      </c>
      <c r="F378" s="35">
        <f>SUM(F379:F379)+3000</f>
        <v>3000</v>
      </c>
      <c r="G378" s="35">
        <f>SUM(G379:G379)</f>
        <v>0</v>
      </c>
      <c r="H378" s="35">
        <f>SUM(H379:H379)</f>
        <v>0</v>
      </c>
      <c r="I378" s="35">
        <f>SUM(I379:I379)+3000</f>
        <v>3000</v>
      </c>
      <c r="J378" s="35">
        <f t="shared" ref="J378:O378" si="179">SUM(J379:J379)</f>
        <v>0</v>
      </c>
      <c r="K378" s="35">
        <f t="shared" si="179"/>
        <v>0</v>
      </c>
      <c r="L378" s="35">
        <f t="shared" si="179"/>
        <v>0</v>
      </c>
      <c r="M378" s="35">
        <f t="shared" si="179"/>
        <v>0</v>
      </c>
      <c r="N378" s="35">
        <f t="shared" si="179"/>
        <v>0</v>
      </c>
      <c r="O378" s="35">
        <f t="shared" si="179"/>
        <v>0</v>
      </c>
      <c r="P378" s="34" t="s">
        <v>1015</v>
      </c>
      <c r="Q378" s="36" t="s">
        <v>1016</v>
      </c>
      <c r="R378" s="37" t="s">
        <v>162</v>
      </c>
    </row>
    <row r="379" spans="1:18" ht="69.75" x14ac:dyDescent="0.25">
      <c r="A379" s="32" t="s">
        <v>1017</v>
      </c>
      <c r="B379" s="33" t="s">
        <v>1018</v>
      </c>
      <c r="C379" s="34"/>
      <c r="D379" s="34"/>
      <c r="E379" s="34"/>
      <c r="F379" s="38">
        <v>0</v>
      </c>
      <c r="G379" s="38">
        <v>0</v>
      </c>
      <c r="H379" s="38">
        <v>0</v>
      </c>
      <c r="I379" s="38">
        <v>0</v>
      </c>
      <c r="J379" s="38">
        <v>0</v>
      </c>
      <c r="K379" s="38">
        <v>0</v>
      </c>
      <c r="L379" s="38">
        <v>0</v>
      </c>
      <c r="M379" s="38">
        <v>0</v>
      </c>
      <c r="N379" s="38">
        <v>0</v>
      </c>
      <c r="O379" s="38">
        <v>0</v>
      </c>
      <c r="P379" s="34"/>
      <c r="Q379" s="36"/>
      <c r="R379" s="37"/>
    </row>
    <row r="380" spans="1:18" ht="69.75" x14ac:dyDescent="0.25">
      <c r="A380" s="32" t="s">
        <v>1019</v>
      </c>
      <c r="B380" s="33" t="s">
        <v>1020</v>
      </c>
      <c r="C380" s="34" t="s">
        <v>261</v>
      </c>
      <c r="D380" s="34" t="s">
        <v>989</v>
      </c>
      <c r="E380" s="34" t="s">
        <v>41</v>
      </c>
      <c r="F380" s="35">
        <f>SUM(F381:F381)+12200</f>
        <v>12200</v>
      </c>
      <c r="G380" s="35">
        <f>SUM(G381:G381)</f>
        <v>0</v>
      </c>
      <c r="H380" s="35">
        <f>SUM(H381:H381)</f>
        <v>0</v>
      </c>
      <c r="I380" s="35">
        <f>SUM(I381:I381)+12200</f>
        <v>12200</v>
      </c>
      <c r="J380" s="35">
        <f t="shared" ref="J380:O380" si="180">SUM(J381:J381)</f>
        <v>0</v>
      </c>
      <c r="K380" s="35">
        <f t="shared" si="180"/>
        <v>0</v>
      </c>
      <c r="L380" s="35">
        <f t="shared" si="180"/>
        <v>0</v>
      </c>
      <c r="M380" s="35">
        <f t="shared" si="180"/>
        <v>0</v>
      </c>
      <c r="N380" s="35">
        <f t="shared" si="180"/>
        <v>0</v>
      </c>
      <c r="O380" s="35">
        <f t="shared" si="180"/>
        <v>0</v>
      </c>
      <c r="P380" s="34" t="s">
        <v>1021</v>
      </c>
      <c r="Q380" s="36" t="s">
        <v>36</v>
      </c>
      <c r="R380" s="37" t="s">
        <v>48</v>
      </c>
    </row>
    <row r="381" spans="1:18" ht="46.5" x14ac:dyDescent="0.25">
      <c r="A381" s="32" t="s">
        <v>1022</v>
      </c>
      <c r="B381" s="33" t="s">
        <v>1023</v>
      </c>
      <c r="C381" s="34"/>
      <c r="D381" s="34"/>
      <c r="E381" s="34"/>
      <c r="F381" s="38">
        <v>0</v>
      </c>
      <c r="G381" s="38">
        <v>0</v>
      </c>
      <c r="H381" s="38">
        <v>0</v>
      </c>
      <c r="I381" s="38">
        <v>0</v>
      </c>
      <c r="J381" s="38">
        <v>0</v>
      </c>
      <c r="K381" s="38">
        <v>0</v>
      </c>
      <c r="L381" s="38">
        <v>0</v>
      </c>
      <c r="M381" s="38">
        <v>0</v>
      </c>
      <c r="N381" s="38">
        <v>0</v>
      </c>
      <c r="O381" s="38">
        <v>0</v>
      </c>
      <c r="P381" s="34"/>
      <c r="Q381" s="36"/>
      <c r="R381" s="37"/>
    </row>
    <row r="382" spans="1:18" ht="69.75" x14ac:dyDescent="0.25">
      <c r="A382" s="32" t="s">
        <v>1024</v>
      </c>
      <c r="B382" s="33" t="s">
        <v>1025</v>
      </c>
      <c r="C382" s="34" t="s">
        <v>261</v>
      </c>
      <c r="D382" s="34" t="s">
        <v>989</v>
      </c>
      <c r="E382" s="34" t="s">
        <v>41</v>
      </c>
      <c r="F382" s="35">
        <f>SUM(F383:F383)+1500</f>
        <v>1500</v>
      </c>
      <c r="G382" s="35">
        <f>SUM(G383:G383)</f>
        <v>0</v>
      </c>
      <c r="H382" s="35">
        <f>SUM(H383:H383)</f>
        <v>0</v>
      </c>
      <c r="I382" s="35">
        <f>SUM(I383:I383)+1500</f>
        <v>1500</v>
      </c>
      <c r="J382" s="35">
        <f t="shared" ref="J382:O382" si="181">SUM(J383:J383)</f>
        <v>0</v>
      </c>
      <c r="K382" s="35">
        <f t="shared" si="181"/>
        <v>0</v>
      </c>
      <c r="L382" s="35">
        <f t="shared" si="181"/>
        <v>0</v>
      </c>
      <c r="M382" s="35">
        <f t="shared" si="181"/>
        <v>0</v>
      </c>
      <c r="N382" s="35">
        <f t="shared" si="181"/>
        <v>0</v>
      </c>
      <c r="O382" s="35">
        <f t="shared" si="181"/>
        <v>0</v>
      </c>
      <c r="P382" s="34" t="s">
        <v>1026</v>
      </c>
      <c r="Q382" s="36" t="s">
        <v>36</v>
      </c>
      <c r="R382" s="37" t="s">
        <v>37</v>
      </c>
    </row>
    <row r="383" spans="1:18" ht="46.5" x14ac:dyDescent="0.25">
      <c r="A383" s="32" t="s">
        <v>1027</v>
      </c>
      <c r="B383" s="33" t="s">
        <v>1028</v>
      </c>
      <c r="C383" s="34"/>
      <c r="D383" s="34"/>
      <c r="E383" s="34"/>
      <c r="F383" s="38">
        <v>0</v>
      </c>
      <c r="G383" s="38">
        <v>0</v>
      </c>
      <c r="H383" s="38">
        <v>0</v>
      </c>
      <c r="I383" s="38">
        <v>0</v>
      </c>
      <c r="J383" s="38">
        <v>0</v>
      </c>
      <c r="K383" s="38">
        <v>0</v>
      </c>
      <c r="L383" s="38">
        <v>0</v>
      </c>
      <c r="M383" s="38">
        <v>0</v>
      </c>
      <c r="N383" s="38">
        <v>0</v>
      </c>
      <c r="O383" s="38">
        <v>0</v>
      </c>
      <c r="P383" s="34"/>
      <c r="Q383" s="36"/>
      <c r="R383" s="37"/>
    </row>
    <row r="384" spans="1:18" ht="93" x14ac:dyDescent="0.25">
      <c r="A384" s="32" t="s">
        <v>1029</v>
      </c>
      <c r="B384" s="33" t="s">
        <v>1030</v>
      </c>
      <c r="C384" s="34" t="s">
        <v>261</v>
      </c>
      <c r="D384" s="34" t="s">
        <v>989</v>
      </c>
      <c r="E384" s="34" t="s">
        <v>41</v>
      </c>
      <c r="F384" s="35">
        <f>SUM(F385:F385)+22500</f>
        <v>22500</v>
      </c>
      <c r="G384" s="35">
        <f>SUM(G385:G385)+19000</f>
        <v>19000</v>
      </c>
      <c r="H384" s="35">
        <f>SUM(H385:H385)</f>
        <v>0</v>
      </c>
      <c r="I384" s="35">
        <f>SUM(I385:I385)+3500</f>
        <v>3500</v>
      </c>
      <c r="J384" s="35">
        <f t="shared" ref="J384:O384" si="182">SUM(J385:J385)</f>
        <v>0</v>
      </c>
      <c r="K384" s="35">
        <f t="shared" si="182"/>
        <v>0</v>
      </c>
      <c r="L384" s="35">
        <f t="shared" si="182"/>
        <v>0</v>
      </c>
      <c r="M384" s="35">
        <f t="shared" si="182"/>
        <v>0</v>
      </c>
      <c r="N384" s="35">
        <f t="shared" si="182"/>
        <v>0</v>
      </c>
      <c r="O384" s="35">
        <f t="shared" si="182"/>
        <v>0</v>
      </c>
      <c r="P384" s="34" t="s">
        <v>1031</v>
      </c>
      <c r="Q384" s="36" t="s">
        <v>36</v>
      </c>
      <c r="R384" s="37" t="s">
        <v>1032</v>
      </c>
    </row>
    <row r="385" spans="1:18" ht="93" x14ac:dyDescent="0.25">
      <c r="A385" s="32" t="s">
        <v>1033</v>
      </c>
      <c r="B385" s="33" t="s">
        <v>1034</v>
      </c>
      <c r="C385" s="34"/>
      <c r="D385" s="34"/>
      <c r="E385" s="34"/>
      <c r="F385" s="38">
        <v>0</v>
      </c>
      <c r="G385" s="38">
        <v>0</v>
      </c>
      <c r="H385" s="38">
        <v>0</v>
      </c>
      <c r="I385" s="38">
        <v>0</v>
      </c>
      <c r="J385" s="38">
        <v>0</v>
      </c>
      <c r="K385" s="38">
        <v>0</v>
      </c>
      <c r="L385" s="38">
        <v>0</v>
      </c>
      <c r="M385" s="38">
        <v>0</v>
      </c>
      <c r="N385" s="38">
        <v>0</v>
      </c>
      <c r="O385" s="38">
        <v>0</v>
      </c>
      <c r="P385" s="34"/>
      <c r="Q385" s="36"/>
      <c r="R385" s="37"/>
    </row>
    <row r="386" spans="1:18" ht="69.75" x14ac:dyDescent="0.25">
      <c r="A386" s="32" t="s">
        <v>1035</v>
      </c>
      <c r="B386" s="33" t="s">
        <v>1036</v>
      </c>
      <c r="C386" s="34" t="s">
        <v>261</v>
      </c>
      <c r="D386" s="34" t="s">
        <v>989</v>
      </c>
      <c r="E386" s="34" t="s">
        <v>41</v>
      </c>
      <c r="F386" s="35">
        <f>SUM(F387:F387)+7100</f>
        <v>7100</v>
      </c>
      <c r="G386" s="35">
        <f>SUM(G387:G387)</f>
        <v>0</v>
      </c>
      <c r="H386" s="35">
        <f>SUM(H387:H387)</f>
        <v>0</v>
      </c>
      <c r="I386" s="35">
        <f>SUM(I387:I387)+7100</f>
        <v>7100</v>
      </c>
      <c r="J386" s="35">
        <f t="shared" ref="J386:O386" si="183">SUM(J387:J387)</f>
        <v>0</v>
      </c>
      <c r="K386" s="35">
        <f t="shared" si="183"/>
        <v>0</v>
      </c>
      <c r="L386" s="35">
        <f t="shared" si="183"/>
        <v>0</v>
      </c>
      <c r="M386" s="35">
        <f t="shared" si="183"/>
        <v>0</v>
      </c>
      <c r="N386" s="35">
        <f t="shared" si="183"/>
        <v>0</v>
      </c>
      <c r="O386" s="35">
        <f t="shared" si="183"/>
        <v>0</v>
      </c>
      <c r="P386" s="34" t="s">
        <v>1037</v>
      </c>
      <c r="Q386" s="36" t="s">
        <v>36</v>
      </c>
      <c r="R386" s="37" t="s">
        <v>371</v>
      </c>
    </row>
    <row r="387" spans="1:18" ht="93" x14ac:dyDescent="0.25">
      <c r="A387" s="32" t="s">
        <v>1038</v>
      </c>
      <c r="B387" s="33" t="s">
        <v>1039</v>
      </c>
      <c r="C387" s="34"/>
      <c r="D387" s="34"/>
      <c r="E387" s="34"/>
      <c r="F387" s="38">
        <v>0</v>
      </c>
      <c r="G387" s="38">
        <v>0</v>
      </c>
      <c r="H387" s="38">
        <v>0</v>
      </c>
      <c r="I387" s="38">
        <v>0</v>
      </c>
      <c r="J387" s="38">
        <v>0</v>
      </c>
      <c r="K387" s="38">
        <v>0</v>
      </c>
      <c r="L387" s="38">
        <v>0</v>
      </c>
      <c r="M387" s="38">
        <v>0</v>
      </c>
      <c r="N387" s="38">
        <v>0</v>
      </c>
      <c r="O387" s="38">
        <v>0</v>
      </c>
      <c r="P387" s="34"/>
      <c r="Q387" s="36"/>
      <c r="R387" s="37"/>
    </row>
    <row r="388" spans="1:18" ht="69.75" x14ac:dyDescent="0.25">
      <c r="A388" s="32" t="s">
        <v>1040</v>
      </c>
      <c r="B388" s="33" t="s">
        <v>1041</v>
      </c>
      <c r="C388" s="34" t="s">
        <v>261</v>
      </c>
      <c r="D388" s="34" t="s">
        <v>989</v>
      </c>
      <c r="E388" s="34" t="s">
        <v>41</v>
      </c>
      <c r="F388" s="35">
        <f>SUM(F389:F389)+3700</f>
        <v>3700</v>
      </c>
      <c r="G388" s="35">
        <f>SUM(G389:G389)</f>
        <v>0</v>
      </c>
      <c r="H388" s="35">
        <f>SUM(H389:H389)</f>
        <v>0</v>
      </c>
      <c r="I388" s="35">
        <f>SUM(I389:I389)+3700</f>
        <v>3700</v>
      </c>
      <c r="J388" s="35">
        <f t="shared" ref="J388:O388" si="184">SUM(J389:J389)</f>
        <v>0</v>
      </c>
      <c r="K388" s="35">
        <f t="shared" si="184"/>
        <v>0</v>
      </c>
      <c r="L388" s="35">
        <f t="shared" si="184"/>
        <v>0</v>
      </c>
      <c r="M388" s="35">
        <f t="shared" si="184"/>
        <v>0</v>
      </c>
      <c r="N388" s="35">
        <f t="shared" si="184"/>
        <v>0</v>
      </c>
      <c r="O388" s="35">
        <f t="shared" si="184"/>
        <v>0</v>
      </c>
      <c r="P388" s="34" t="s">
        <v>1042</v>
      </c>
      <c r="Q388" s="36" t="s">
        <v>36</v>
      </c>
      <c r="R388" s="37" t="s">
        <v>48</v>
      </c>
    </row>
    <row r="389" spans="1:18" ht="69.75" x14ac:dyDescent="0.25">
      <c r="A389" s="32" t="s">
        <v>1043</v>
      </c>
      <c r="B389" s="33" t="s">
        <v>1044</v>
      </c>
      <c r="C389" s="34"/>
      <c r="D389" s="34"/>
      <c r="E389" s="34"/>
      <c r="F389" s="38">
        <v>0</v>
      </c>
      <c r="G389" s="38">
        <v>0</v>
      </c>
      <c r="H389" s="38">
        <v>0</v>
      </c>
      <c r="I389" s="38">
        <v>0</v>
      </c>
      <c r="J389" s="38">
        <v>0</v>
      </c>
      <c r="K389" s="38">
        <v>0</v>
      </c>
      <c r="L389" s="38">
        <v>0</v>
      </c>
      <c r="M389" s="38">
        <v>0</v>
      </c>
      <c r="N389" s="38">
        <v>0</v>
      </c>
      <c r="O389" s="38">
        <v>0</v>
      </c>
      <c r="P389" s="34"/>
      <c r="Q389" s="36"/>
      <c r="R389" s="37"/>
    </row>
    <row r="390" spans="1:18" ht="69.75" x14ac:dyDescent="0.25">
      <c r="A390" s="32" t="s">
        <v>1045</v>
      </c>
      <c r="B390" s="33" t="s">
        <v>1046</v>
      </c>
      <c r="C390" s="34" t="s">
        <v>261</v>
      </c>
      <c r="D390" s="34" t="s">
        <v>989</v>
      </c>
      <c r="E390" s="34" t="s">
        <v>41</v>
      </c>
      <c r="F390" s="35">
        <f>SUM(F391:F391)+9000</f>
        <v>9000</v>
      </c>
      <c r="G390" s="35">
        <f>SUM(G391:G391)+5000</f>
        <v>5000</v>
      </c>
      <c r="H390" s="35">
        <f>SUM(H391:H391)</f>
        <v>0</v>
      </c>
      <c r="I390" s="35">
        <f>SUM(I391:I391)+4000</f>
        <v>4000</v>
      </c>
      <c r="J390" s="35">
        <f t="shared" ref="J390:O390" si="185">SUM(J391:J391)</f>
        <v>0</v>
      </c>
      <c r="K390" s="35">
        <f t="shared" si="185"/>
        <v>0</v>
      </c>
      <c r="L390" s="35">
        <f t="shared" si="185"/>
        <v>0</v>
      </c>
      <c r="M390" s="35">
        <f t="shared" si="185"/>
        <v>0</v>
      </c>
      <c r="N390" s="35">
        <f t="shared" si="185"/>
        <v>0</v>
      </c>
      <c r="O390" s="35">
        <f t="shared" si="185"/>
        <v>0</v>
      </c>
      <c r="P390" s="34" t="s">
        <v>1047</v>
      </c>
      <c r="Q390" s="36" t="s">
        <v>36</v>
      </c>
      <c r="R390" s="37" t="s">
        <v>186</v>
      </c>
    </row>
    <row r="391" spans="1:18" ht="69.75" x14ac:dyDescent="0.25">
      <c r="A391" s="32" t="s">
        <v>1048</v>
      </c>
      <c r="B391" s="33" t="s">
        <v>1049</v>
      </c>
      <c r="C391" s="34"/>
      <c r="D391" s="34"/>
      <c r="E391" s="34"/>
      <c r="F391" s="38">
        <v>0</v>
      </c>
      <c r="G391" s="38">
        <v>0</v>
      </c>
      <c r="H391" s="38">
        <v>0</v>
      </c>
      <c r="I391" s="38">
        <v>0</v>
      </c>
      <c r="J391" s="38">
        <v>0</v>
      </c>
      <c r="K391" s="38">
        <v>0</v>
      </c>
      <c r="L391" s="38">
        <v>0</v>
      </c>
      <c r="M391" s="38">
        <v>0</v>
      </c>
      <c r="N391" s="38">
        <v>0</v>
      </c>
      <c r="O391" s="38">
        <v>0</v>
      </c>
      <c r="P391" s="34"/>
      <c r="Q391" s="36"/>
      <c r="R391" s="37"/>
    </row>
    <row r="392" spans="1:18" ht="139.5" x14ac:dyDescent="0.25">
      <c r="A392" s="32" t="s">
        <v>1050</v>
      </c>
      <c r="B392" s="33" t="s">
        <v>1051</v>
      </c>
      <c r="C392" s="34" t="s">
        <v>261</v>
      </c>
      <c r="D392" s="34" t="s">
        <v>989</v>
      </c>
      <c r="E392" s="34" t="s">
        <v>41</v>
      </c>
      <c r="F392" s="35">
        <f>SUM(F393:F393)+2000</f>
        <v>2000</v>
      </c>
      <c r="G392" s="35">
        <f>SUM(G393:G393)</f>
        <v>0</v>
      </c>
      <c r="H392" s="35">
        <f>SUM(H393:H393)</f>
        <v>0</v>
      </c>
      <c r="I392" s="35">
        <f>SUM(I393:I393)+2000</f>
        <v>2000</v>
      </c>
      <c r="J392" s="35">
        <f t="shared" ref="J392:O392" si="186">SUM(J393:J393)</f>
        <v>0</v>
      </c>
      <c r="K392" s="35">
        <f t="shared" si="186"/>
        <v>0</v>
      </c>
      <c r="L392" s="35">
        <f t="shared" si="186"/>
        <v>0</v>
      </c>
      <c r="M392" s="35">
        <f t="shared" si="186"/>
        <v>0</v>
      </c>
      <c r="N392" s="35">
        <f t="shared" si="186"/>
        <v>0</v>
      </c>
      <c r="O392" s="35">
        <f t="shared" si="186"/>
        <v>0</v>
      </c>
      <c r="P392" s="34" t="s">
        <v>686</v>
      </c>
      <c r="Q392" s="36" t="s">
        <v>36</v>
      </c>
      <c r="R392" s="37" t="s">
        <v>48</v>
      </c>
    </row>
    <row r="393" spans="1:18" ht="46.5" x14ac:dyDescent="0.25">
      <c r="A393" s="32" t="s">
        <v>1052</v>
      </c>
      <c r="B393" s="33" t="s">
        <v>1053</v>
      </c>
      <c r="C393" s="34"/>
      <c r="D393" s="34"/>
      <c r="E393" s="34"/>
      <c r="F393" s="38">
        <v>0</v>
      </c>
      <c r="G393" s="38">
        <v>0</v>
      </c>
      <c r="H393" s="38">
        <v>0</v>
      </c>
      <c r="I393" s="38">
        <v>0</v>
      </c>
      <c r="J393" s="38">
        <v>0</v>
      </c>
      <c r="K393" s="38">
        <v>0</v>
      </c>
      <c r="L393" s="38">
        <v>0</v>
      </c>
      <c r="M393" s="38">
        <v>0</v>
      </c>
      <c r="N393" s="38">
        <v>0</v>
      </c>
      <c r="O393" s="38">
        <v>0</v>
      </c>
      <c r="P393" s="34"/>
      <c r="Q393" s="36"/>
      <c r="R393" s="37"/>
    </row>
    <row r="394" spans="1:18" ht="46.5" x14ac:dyDescent="0.25">
      <c r="A394" s="32" t="s">
        <v>1054</v>
      </c>
      <c r="B394" s="33" t="s">
        <v>1055</v>
      </c>
      <c r="C394" s="34" t="s">
        <v>261</v>
      </c>
      <c r="D394" s="34" t="s">
        <v>989</v>
      </c>
      <c r="E394" s="34" t="s">
        <v>41</v>
      </c>
      <c r="F394" s="35">
        <f>SUM(F395:F395)+6046.05</f>
        <v>6046.05</v>
      </c>
      <c r="G394" s="35">
        <f>SUM(G395:G395)</f>
        <v>0</v>
      </c>
      <c r="H394" s="35">
        <f>SUM(H395:H395)</f>
        <v>0</v>
      </c>
      <c r="I394" s="35">
        <f>SUM(I395:I395)+6046.05</f>
        <v>6046.05</v>
      </c>
      <c r="J394" s="35">
        <f t="shared" ref="J394:O394" si="187">SUM(J395:J395)</f>
        <v>0</v>
      </c>
      <c r="K394" s="35">
        <f t="shared" si="187"/>
        <v>0</v>
      </c>
      <c r="L394" s="35">
        <f t="shared" si="187"/>
        <v>0</v>
      </c>
      <c r="M394" s="35">
        <f t="shared" si="187"/>
        <v>0</v>
      </c>
      <c r="N394" s="35">
        <f t="shared" si="187"/>
        <v>0</v>
      </c>
      <c r="O394" s="35">
        <f t="shared" si="187"/>
        <v>0</v>
      </c>
      <c r="P394" s="34" t="s">
        <v>1056</v>
      </c>
      <c r="Q394" s="36" t="s">
        <v>36</v>
      </c>
      <c r="R394" s="37" t="s">
        <v>1057</v>
      </c>
    </row>
    <row r="395" spans="1:18" ht="69.75" x14ac:dyDescent="0.25">
      <c r="A395" s="32" t="s">
        <v>1058</v>
      </c>
      <c r="B395" s="33" t="s">
        <v>1059</v>
      </c>
      <c r="C395" s="34"/>
      <c r="D395" s="34"/>
      <c r="E395" s="34"/>
      <c r="F395" s="38">
        <v>0</v>
      </c>
      <c r="G395" s="38">
        <v>0</v>
      </c>
      <c r="H395" s="38">
        <v>0</v>
      </c>
      <c r="I395" s="38">
        <v>0</v>
      </c>
      <c r="J395" s="38">
        <v>0</v>
      </c>
      <c r="K395" s="38">
        <v>0</v>
      </c>
      <c r="L395" s="38">
        <v>0</v>
      </c>
      <c r="M395" s="38">
        <v>0</v>
      </c>
      <c r="N395" s="38">
        <v>0</v>
      </c>
      <c r="O395" s="38">
        <v>0</v>
      </c>
      <c r="P395" s="34"/>
      <c r="Q395" s="36"/>
      <c r="R395" s="37"/>
    </row>
    <row r="396" spans="1:18" ht="69.75" x14ac:dyDescent="0.25">
      <c r="A396" s="32" t="s">
        <v>1060</v>
      </c>
      <c r="B396" s="33" t="s">
        <v>1061</v>
      </c>
      <c r="C396" s="34" t="s">
        <v>261</v>
      </c>
      <c r="D396" s="34" t="s">
        <v>989</v>
      </c>
      <c r="E396" s="34" t="s">
        <v>41</v>
      </c>
      <c r="F396" s="35">
        <f>SUM(F397:F397)+24600</f>
        <v>24600</v>
      </c>
      <c r="G396" s="35">
        <f>SUM(G397:G397)</f>
        <v>0</v>
      </c>
      <c r="H396" s="35">
        <f>SUM(H397:H397)</f>
        <v>0</v>
      </c>
      <c r="I396" s="35">
        <f>SUM(I397:I397)+24600</f>
        <v>24600</v>
      </c>
      <c r="J396" s="35">
        <f t="shared" ref="J396:O396" si="188">SUM(J397:J397)</f>
        <v>0</v>
      </c>
      <c r="K396" s="35">
        <f t="shared" si="188"/>
        <v>0</v>
      </c>
      <c r="L396" s="35">
        <f t="shared" si="188"/>
        <v>0</v>
      </c>
      <c r="M396" s="35">
        <f t="shared" si="188"/>
        <v>0</v>
      </c>
      <c r="N396" s="35">
        <f t="shared" si="188"/>
        <v>0</v>
      </c>
      <c r="O396" s="35">
        <f t="shared" si="188"/>
        <v>0</v>
      </c>
      <c r="P396" s="34" t="s">
        <v>1062</v>
      </c>
      <c r="Q396" s="36" t="s">
        <v>36</v>
      </c>
      <c r="R396" s="37" t="s">
        <v>1057</v>
      </c>
    </row>
    <row r="397" spans="1:18" ht="69.75" x14ac:dyDescent="0.25">
      <c r="A397" s="32" t="s">
        <v>1063</v>
      </c>
      <c r="B397" s="33" t="s">
        <v>1064</v>
      </c>
      <c r="C397" s="34"/>
      <c r="D397" s="34"/>
      <c r="E397" s="34"/>
      <c r="F397" s="38">
        <v>0</v>
      </c>
      <c r="G397" s="38">
        <v>0</v>
      </c>
      <c r="H397" s="38">
        <v>0</v>
      </c>
      <c r="I397" s="38">
        <v>0</v>
      </c>
      <c r="J397" s="38">
        <v>0</v>
      </c>
      <c r="K397" s="38">
        <v>0</v>
      </c>
      <c r="L397" s="38">
        <v>0</v>
      </c>
      <c r="M397" s="38">
        <v>0</v>
      </c>
      <c r="N397" s="38">
        <v>0</v>
      </c>
      <c r="O397" s="38">
        <v>0</v>
      </c>
      <c r="P397" s="34"/>
      <c r="Q397" s="36"/>
      <c r="R397" s="37"/>
    </row>
    <row r="398" spans="1:18" ht="69.75" x14ac:dyDescent="0.25">
      <c r="A398" s="32" t="s">
        <v>1065</v>
      </c>
      <c r="B398" s="33" t="s">
        <v>1066</v>
      </c>
      <c r="C398" s="34" t="s">
        <v>261</v>
      </c>
      <c r="D398" s="34" t="s">
        <v>989</v>
      </c>
      <c r="E398" s="34" t="s">
        <v>41</v>
      </c>
      <c r="F398" s="35">
        <f>SUM(F399:F399)+1000</f>
        <v>1000</v>
      </c>
      <c r="G398" s="35">
        <f>SUM(G399:G399)</f>
        <v>0</v>
      </c>
      <c r="H398" s="35">
        <f>SUM(H399:H399)</f>
        <v>0</v>
      </c>
      <c r="I398" s="35">
        <f>SUM(I399:I399)+1000</f>
        <v>1000</v>
      </c>
      <c r="J398" s="35">
        <f t="shared" ref="J398:O398" si="189">SUM(J399:J399)</f>
        <v>0</v>
      </c>
      <c r="K398" s="35">
        <f t="shared" si="189"/>
        <v>0</v>
      </c>
      <c r="L398" s="35">
        <f t="shared" si="189"/>
        <v>0</v>
      </c>
      <c r="M398" s="35">
        <f t="shared" si="189"/>
        <v>0</v>
      </c>
      <c r="N398" s="35">
        <f t="shared" si="189"/>
        <v>0</v>
      </c>
      <c r="O398" s="35">
        <f t="shared" si="189"/>
        <v>0</v>
      </c>
      <c r="P398" s="34" t="s">
        <v>1067</v>
      </c>
      <c r="Q398" s="36" t="s">
        <v>36</v>
      </c>
      <c r="R398" s="37" t="s">
        <v>48</v>
      </c>
    </row>
    <row r="399" spans="1:18" ht="46.5" x14ac:dyDescent="0.25">
      <c r="A399" s="32" t="s">
        <v>1068</v>
      </c>
      <c r="B399" s="33" t="s">
        <v>1069</v>
      </c>
      <c r="C399" s="34"/>
      <c r="D399" s="34"/>
      <c r="E399" s="34"/>
      <c r="F399" s="38">
        <v>0</v>
      </c>
      <c r="G399" s="38">
        <v>0</v>
      </c>
      <c r="H399" s="38">
        <v>0</v>
      </c>
      <c r="I399" s="38">
        <v>0</v>
      </c>
      <c r="J399" s="38">
        <v>0</v>
      </c>
      <c r="K399" s="38">
        <v>0</v>
      </c>
      <c r="L399" s="38">
        <v>0</v>
      </c>
      <c r="M399" s="38">
        <v>0</v>
      </c>
      <c r="N399" s="38">
        <v>0</v>
      </c>
      <c r="O399" s="38">
        <v>0</v>
      </c>
      <c r="P399" s="34"/>
      <c r="Q399" s="36"/>
      <c r="R399" s="37"/>
    </row>
    <row r="400" spans="1:18" ht="93" x14ac:dyDescent="0.25">
      <c r="A400" s="32" t="s">
        <v>1070</v>
      </c>
      <c r="B400" s="33" t="s">
        <v>1071</v>
      </c>
      <c r="C400" s="34" t="s">
        <v>261</v>
      </c>
      <c r="D400" s="34" t="s">
        <v>989</v>
      </c>
      <c r="E400" s="34" t="s">
        <v>41</v>
      </c>
      <c r="F400" s="35">
        <f>SUM(F401:F401)+1000</f>
        <v>1000</v>
      </c>
      <c r="G400" s="35">
        <f>SUM(G401:G401)</f>
        <v>0</v>
      </c>
      <c r="H400" s="35">
        <f>SUM(H401:H401)</f>
        <v>0</v>
      </c>
      <c r="I400" s="35">
        <f>SUM(I401:I401)+1000</f>
        <v>1000</v>
      </c>
      <c r="J400" s="35">
        <f t="shared" ref="J400:O400" si="190">SUM(J401:J401)</f>
        <v>0</v>
      </c>
      <c r="K400" s="35">
        <f t="shared" si="190"/>
        <v>0</v>
      </c>
      <c r="L400" s="35">
        <f t="shared" si="190"/>
        <v>0</v>
      </c>
      <c r="M400" s="35">
        <f t="shared" si="190"/>
        <v>0</v>
      </c>
      <c r="N400" s="35">
        <f t="shared" si="190"/>
        <v>0</v>
      </c>
      <c r="O400" s="35">
        <f t="shared" si="190"/>
        <v>0</v>
      </c>
      <c r="P400" s="34" t="s">
        <v>1072</v>
      </c>
      <c r="Q400" s="36" t="s">
        <v>36</v>
      </c>
      <c r="R400" s="37" t="s">
        <v>48</v>
      </c>
    </row>
    <row r="401" spans="1:18" ht="93" x14ac:dyDescent="0.25">
      <c r="A401" s="32" t="s">
        <v>1073</v>
      </c>
      <c r="B401" s="33" t="s">
        <v>1074</v>
      </c>
      <c r="C401" s="34"/>
      <c r="D401" s="34"/>
      <c r="E401" s="34"/>
      <c r="F401" s="38">
        <v>0</v>
      </c>
      <c r="G401" s="38">
        <v>0</v>
      </c>
      <c r="H401" s="38">
        <v>0</v>
      </c>
      <c r="I401" s="38">
        <v>0</v>
      </c>
      <c r="J401" s="38">
        <v>0</v>
      </c>
      <c r="K401" s="38">
        <v>0</v>
      </c>
      <c r="L401" s="38">
        <v>0</v>
      </c>
      <c r="M401" s="38">
        <v>0</v>
      </c>
      <c r="N401" s="38">
        <v>0</v>
      </c>
      <c r="O401" s="38">
        <v>0</v>
      </c>
      <c r="P401" s="34"/>
      <c r="Q401" s="36"/>
      <c r="R401" s="37"/>
    </row>
    <row r="402" spans="1:18" ht="135" x14ac:dyDescent="0.25">
      <c r="A402" s="26" t="s">
        <v>1075</v>
      </c>
      <c r="B402" s="27" t="s">
        <v>1076</v>
      </c>
      <c r="C402" s="28" t="s">
        <v>261</v>
      </c>
      <c r="D402" s="28" t="s">
        <v>265</v>
      </c>
      <c r="E402" s="28" t="s">
        <v>34</v>
      </c>
      <c r="F402" s="29">
        <f t="shared" ref="F402:O402" si="191">F403+F405+F407+F409+F411+F413+F415+F417+F419+F421+F423+F425+F427+F429+F431+F433+F435</f>
        <v>2294661</v>
      </c>
      <c r="G402" s="29">
        <f t="shared" si="191"/>
        <v>2293218</v>
      </c>
      <c r="H402" s="29">
        <f t="shared" si="191"/>
        <v>0</v>
      </c>
      <c r="I402" s="29">
        <f t="shared" si="191"/>
        <v>0</v>
      </c>
      <c r="J402" s="29">
        <f t="shared" si="191"/>
        <v>0</v>
      </c>
      <c r="K402" s="29">
        <f t="shared" si="191"/>
        <v>0</v>
      </c>
      <c r="L402" s="29">
        <f t="shared" si="191"/>
        <v>0</v>
      </c>
      <c r="M402" s="29">
        <f t="shared" si="191"/>
        <v>0</v>
      </c>
      <c r="N402" s="29">
        <f t="shared" si="191"/>
        <v>0</v>
      </c>
      <c r="O402" s="29">
        <f t="shared" si="191"/>
        <v>0</v>
      </c>
      <c r="P402" s="28" t="s">
        <v>269</v>
      </c>
      <c r="Q402" s="30" t="s">
        <v>36</v>
      </c>
      <c r="R402" s="31" t="s">
        <v>48</v>
      </c>
    </row>
    <row r="403" spans="1:18" ht="69.75" x14ac:dyDescent="0.25">
      <c r="A403" s="32" t="s">
        <v>1077</v>
      </c>
      <c r="B403" s="33" t="s">
        <v>1078</v>
      </c>
      <c r="C403" s="34" t="s">
        <v>261</v>
      </c>
      <c r="D403" s="34" t="s">
        <v>989</v>
      </c>
      <c r="E403" s="34" t="s">
        <v>41</v>
      </c>
      <c r="F403" s="35">
        <f>SUM(F404:F404)+11000</f>
        <v>11000</v>
      </c>
      <c r="G403" s="35">
        <f>SUM(G404:G404)+11000</f>
        <v>11000</v>
      </c>
      <c r="H403" s="35">
        <f t="shared" ref="H403:O403" si="192">SUM(H404:H404)</f>
        <v>0</v>
      </c>
      <c r="I403" s="35">
        <f t="shared" si="192"/>
        <v>0</v>
      </c>
      <c r="J403" s="35">
        <f t="shared" si="192"/>
        <v>0</v>
      </c>
      <c r="K403" s="35">
        <f t="shared" si="192"/>
        <v>0</v>
      </c>
      <c r="L403" s="35">
        <f t="shared" si="192"/>
        <v>0</v>
      </c>
      <c r="M403" s="35">
        <f t="shared" si="192"/>
        <v>0</v>
      </c>
      <c r="N403" s="35">
        <f t="shared" si="192"/>
        <v>0</v>
      </c>
      <c r="O403" s="35">
        <f t="shared" si="192"/>
        <v>0</v>
      </c>
      <c r="P403" s="34" t="s">
        <v>1079</v>
      </c>
      <c r="Q403" s="36" t="s">
        <v>36</v>
      </c>
      <c r="R403" s="37" t="s">
        <v>203</v>
      </c>
    </row>
    <row r="404" spans="1:18" ht="139.5" x14ac:dyDescent="0.25">
      <c r="A404" s="32" t="s">
        <v>1080</v>
      </c>
      <c r="B404" s="33" t="s">
        <v>1081</v>
      </c>
      <c r="C404" s="34"/>
      <c r="D404" s="34"/>
      <c r="E404" s="34"/>
      <c r="F404" s="38">
        <v>0</v>
      </c>
      <c r="G404" s="38">
        <v>0</v>
      </c>
      <c r="H404" s="38">
        <v>0</v>
      </c>
      <c r="I404" s="38">
        <v>0</v>
      </c>
      <c r="J404" s="38">
        <v>0</v>
      </c>
      <c r="K404" s="38">
        <v>0</v>
      </c>
      <c r="L404" s="38">
        <v>0</v>
      </c>
      <c r="M404" s="38">
        <v>0</v>
      </c>
      <c r="N404" s="38">
        <v>0</v>
      </c>
      <c r="O404" s="38">
        <v>0</v>
      </c>
      <c r="P404" s="34"/>
      <c r="Q404" s="36"/>
      <c r="R404" s="37"/>
    </row>
    <row r="405" spans="1:18" ht="69.75" x14ac:dyDescent="0.25">
      <c r="A405" s="32" t="s">
        <v>1082</v>
      </c>
      <c r="B405" s="33" t="s">
        <v>1083</v>
      </c>
      <c r="C405" s="34" t="s">
        <v>261</v>
      </c>
      <c r="D405" s="34" t="s">
        <v>989</v>
      </c>
      <c r="E405" s="34" t="s">
        <v>41</v>
      </c>
      <c r="F405" s="35">
        <f>SUM(F406:F406)+2000</f>
        <v>2000</v>
      </c>
      <c r="G405" s="35">
        <f>SUM(G406:G406)+2000</f>
        <v>2000</v>
      </c>
      <c r="H405" s="35">
        <f t="shared" ref="H405:O405" si="193">SUM(H406:H406)</f>
        <v>0</v>
      </c>
      <c r="I405" s="35">
        <f t="shared" si="193"/>
        <v>0</v>
      </c>
      <c r="J405" s="35">
        <f t="shared" si="193"/>
        <v>0</v>
      </c>
      <c r="K405" s="35">
        <f t="shared" si="193"/>
        <v>0</v>
      </c>
      <c r="L405" s="35">
        <f t="shared" si="193"/>
        <v>0</v>
      </c>
      <c r="M405" s="35">
        <f t="shared" si="193"/>
        <v>0</v>
      </c>
      <c r="N405" s="35">
        <f t="shared" si="193"/>
        <v>0</v>
      </c>
      <c r="O405" s="35">
        <f t="shared" si="193"/>
        <v>0</v>
      </c>
      <c r="P405" s="34" t="s">
        <v>1072</v>
      </c>
      <c r="Q405" s="36" t="s">
        <v>36</v>
      </c>
      <c r="R405" s="37" t="s">
        <v>48</v>
      </c>
    </row>
    <row r="406" spans="1:18" ht="93" x14ac:dyDescent="0.25">
      <c r="A406" s="32" t="s">
        <v>1084</v>
      </c>
      <c r="B406" s="33" t="s">
        <v>1085</v>
      </c>
      <c r="C406" s="34"/>
      <c r="D406" s="34"/>
      <c r="E406" s="34"/>
      <c r="F406" s="38">
        <v>0</v>
      </c>
      <c r="G406" s="38">
        <v>0</v>
      </c>
      <c r="H406" s="38">
        <v>0</v>
      </c>
      <c r="I406" s="38">
        <v>0</v>
      </c>
      <c r="J406" s="38">
        <v>0</v>
      </c>
      <c r="K406" s="38">
        <v>0</v>
      </c>
      <c r="L406" s="38">
        <v>0</v>
      </c>
      <c r="M406" s="38">
        <v>0</v>
      </c>
      <c r="N406" s="38">
        <v>0</v>
      </c>
      <c r="O406" s="38">
        <v>0</v>
      </c>
      <c r="P406" s="34"/>
      <c r="Q406" s="36"/>
      <c r="R406" s="37"/>
    </row>
    <row r="407" spans="1:18" ht="46.5" x14ac:dyDescent="0.25">
      <c r="A407" s="32" t="s">
        <v>1086</v>
      </c>
      <c r="B407" s="33" t="s">
        <v>1087</v>
      </c>
      <c r="C407" s="34" t="s">
        <v>778</v>
      </c>
      <c r="D407" s="34" t="s">
        <v>779</v>
      </c>
      <c r="E407" s="34" t="s">
        <v>41</v>
      </c>
      <c r="F407" s="35">
        <f>SUM(F408:F408)+81697</f>
        <v>81697</v>
      </c>
      <c r="G407" s="35">
        <f>SUM(G408:G408)+81697</f>
        <v>81697</v>
      </c>
      <c r="H407" s="35">
        <f t="shared" ref="H407:O407" si="194">SUM(H408:H408)</f>
        <v>0</v>
      </c>
      <c r="I407" s="35">
        <f t="shared" si="194"/>
        <v>0</v>
      </c>
      <c r="J407" s="35">
        <f t="shared" si="194"/>
        <v>0</v>
      </c>
      <c r="K407" s="35">
        <f t="shared" si="194"/>
        <v>0</v>
      </c>
      <c r="L407" s="35">
        <f t="shared" si="194"/>
        <v>0</v>
      </c>
      <c r="M407" s="35">
        <f t="shared" si="194"/>
        <v>0</v>
      </c>
      <c r="N407" s="35">
        <f t="shared" si="194"/>
        <v>0</v>
      </c>
      <c r="O407" s="35">
        <f t="shared" si="194"/>
        <v>0</v>
      </c>
      <c r="P407" s="34" t="s">
        <v>1088</v>
      </c>
      <c r="Q407" s="36" t="s">
        <v>1089</v>
      </c>
      <c r="R407" s="37" t="s">
        <v>95</v>
      </c>
    </row>
    <row r="408" spans="1:18" ht="69.75" x14ac:dyDescent="0.25">
      <c r="A408" s="32" t="s">
        <v>1090</v>
      </c>
      <c r="B408" s="33" t="s">
        <v>1091</v>
      </c>
      <c r="C408" s="34"/>
      <c r="D408" s="34"/>
      <c r="E408" s="34"/>
      <c r="F408" s="38">
        <v>0</v>
      </c>
      <c r="G408" s="38">
        <v>0</v>
      </c>
      <c r="H408" s="38">
        <v>0</v>
      </c>
      <c r="I408" s="38">
        <v>0</v>
      </c>
      <c r="J408" s="38">
        <v>0</v>
      </c>
      <c r="K408" s="38">
        <v>0</v>
      </c>
      <c r="L408" s="38">
        <v>0</v>
      </c>
      <c r="M408" s="38">
        <v>0</v>
      </c>
      <c r="N408" s="38">
        <v>0</v>
      </c>
      <c r="O408" s="38">
        <v>0</v>
      </c>
      <c r="P408" s="34"/>
      <c r="Q408" s="36"/>
      <c r="R408" s="37"/>
    </row>
    <row r="409" spans="1:18" ht="46.5" x14ac:dyDescent="0.25">
      <c r="A409" s="32" t="s">
        <v>1092</v>
      </c>
      <c r="B409" s="33" t="s">
        <v>1093</v>
      </c>
      <c r="C409" s="34" t="s">
        <v>787</v>
      </c>
      <c r="D409" s="34" t="s">
        <v>788</v>
      </c>
      <c r="E409" s="34" t="s">
        <v>41</v>
      </c>
      <c r="F409" s="35">
        <f>SUM(F410:F410)+165970</f>
        <v>165970</v>
      </c>
      <c r="G409" s="35">
        <f>SUM(G410:G410)+165970</f>
        <v>165970</v>
      </c>
      <c r="H409" s="35">
        <f t="shared" ref="H409:O409" si="195">SUM(H410:H410)</f>
        <v>0</v>
      </c>
      <c r="I409" s="35">
        <f t="shared" si="195"/>
        <v>0</v>
      </c>
      <c r="J409" s="35">
        <f t="shared" si="195"/>
        <v>0</v>
      </c>
      <c r="K409" s="35">
        <f t="shared" si="195"/>
        <v>0</v>
      </c>
      <c r="L409" s="35">
        <f t="shared" si="195"/>
        <v>0</v>
      </c>
      <c r="M409" s="35">
        <f t="shared" si="195"/>
        <v>0</v>
      </c>
      <c r="N409" s="35">
        <f t="shared" si="195"/>
        <v>0</v>
      </c>
      <c r="O409" s="35">
        <f t="shared" si="195"/>
        <v>0</v>
      </c>
      <c r="P409" s="34" t="s">
        <v>1088</v>
      </c>
      <c r="Q409" s="36" t="s">
        <v>1089</v>
      </c>
      <c r="R409" s="37" t="s">
        <v>1032</v>
      </c>
    </row>
    <row r="410" spans="1:18" ht="69.75" x14ac:dyDescent="0.25">
      <c r="A410" s="32" t="s">
        <v>1094</v>
      </c>
      <c r="B410" s="33" t="s">
        <v>1095</v>
      </c>
      <c r="C410" s="34"/>
      <c r="D410" s="34"/>
      <c r="E410" s="34"/>
      <c r="F410" s="38">
        <v>0</v>
      </c>
      <c r="G410" s="38">
        <v>0</v>
      </c>
      <c r="H410" s="38">
        <v>0</v>
      </c>
      <c r="I410" s="38">
        <v>0</v>
      </c>
      <c r="J410" s="38">
        <v>0</v>
      </c>
      <c r="K410" s="38">
        <v>0</v>
      </c>
      <c r="L410" s="38">
        <v>0</v>
      </c>
      <c r="M410" s="38">
        <v>0</v>
      </c>
      <c r="N410" s="38">
        <v>0</v>
      </c>
      <c r="O410" s="38">
        <v>0</v>
      </c>
      <c r="P410" s="34"/>
      <c r="Q410" s="36"/>
      <c r="R410" s="37"/>
    </row>
    <row r="411" spans="1:18" ht="46.5" x14ac:dyDescent="0.25">
      <c r="A411" s="32" t="s">
        <v>1096</v>
      </c>
      <c r="B411" s="33" t="s">
        <v>1097</v>
      </c>
      <c r="C411" s="34" t="s">
        <v>87</v>
      </c>
      <c r="D411" s="34" t="s">
        <v>793</v>
      </c>
      <c r="E411" s="34" t="s">
        <v>41</v>
      </c>
      <c r="F411" s="35">
        <f>SUM(F412:F412)+122310</f>
        <v>122310</v>
      </c>
      <c r="G411" s="35">
        <f>SUM(G412:G412)+122310</f>
        <v>122310</v>
      </c>
      <c r="H411" s="35">
        <f t="shared" ref="H411:O411" si="196">SUM(H412:H412)</f>
        <v>0</v>
      </c>
      <c r="I411" s="35">
        <f t="shared" si="196"/>
        <v>0</v>
      </c>
      <c r="J411" s="35">
        <f t="shared" si="196"/>
        <v>0</v>
      </c>
      <c r="K411" s="35">
        <f t="shared" si="196"/>
        <v>0</v>
      </c>
      <c r="L411" s="35">
        <f t="shared" si="196"/>
        <v>0</v>
      </c>
      <c r="M411" s="35">
        <f t="shared" si="196"/>
        <v>0</v>
      </c>
      <c r="N411" s="35">
        <f t="shared" si="196"/>
        <v>0</v>
      </c>
      <c r="O411" s="35">
        <f t="shared" si="196"/>
        <v>0</v>
      </c>
      <c r="P411" s="34" t="s">
        <v>1088</v>
      </c>
      <c r="Q411" s="36" t="s">
        <v>1089</v>
      </c>
      <c r="R411" s="37" t="s">
        <v>170</v>
      </c>
    </row>
    <row r="412" spans="1:18" ht="69.75" x14ac:dyDescent="0.25">
      <c r="A412" s="32" t="s">
        <v>1098</v>
      </c>
      <c r="B412" s="33" t="s">
        <v>1099</v>
      </c>
      <c r="C412" s="34"/>
      <c r="D412" s="34"/>
      <c r="E412" s="34"/>
      <c r="F412" s="38">
        <v>0</v>
      </c>
      <c r="G412" s="38">
        <v>0</v>
      </c>
      <c r="H412" s="38">
        <v>0</v>
      </c>
      <c r="I412" s="38">
        <v>0</v>
      </c>
      <c r="J412" s="38">
        <v>0</v>
      </c>
      <c r="K412" s="38">
        <v>0</v>
      </c>
      <c r="L412" s="38">
        <v>0</v>
      </c>
      <c r="M412" s="38">
        <v>0</v>
      </c>
      <c r="N412" s="38">
        <v>0</v>
      </c>
      <c r="O412" s="38">
        <v>0</v>
      </c>
      <c r="P412" s="34"/>
      <c r="Q412" s="36"/>
      <c r="R412" s="37"/>
    </row>
    <row r="413" spans="1:18" ht="46.5" x14ac:dyDescent="0.25">
      <c r="A413" s="32" t="s">
        <v>1100</v>
      </c>
      <c r="B413" s="33" t="s">
        <v>1101</v>
      </c>
      <c r="C413" s="34" t="s">
        <v>798</v>
      </c>
      <c r="D413" s="34" t="s">
        <v>799</v>
      </c>
      <c r="E413" s="34" t="s">
        <v>41</v>
      </c>
      <c r="F413" s="35">
        <f>SUM(F414:F414)+121190</f>
        <v>121190</v>
      </c>
      <c r="G413" s="35">
        <f>SUM(G414:G414)+121190</f>
        <v>121190</v>
      </c>
      <c r="H413" s="35">
        <f t="shared" ref="H413:O413" si="197">SUM(H414:H414)</f>
        <v>0</v>
      </c>
      <c r="I413" s="35">
        <f t="shared" si="197"/>
        <v>0</v>
      </c>
      <c r="J413" s="35">
        <f t="shared" si="197"/>
        <v>0</v>
      </c>
      <c r="K413" s="35">
        <f t="shared" si="197"/>
        <v>0</v>
      </c>
      <c r="L413" s="35">
        <f t="shared" si="197"/>
        <v>0</v>
      </c>
      <c r="M413" s="35">
        <f t="shared" si="197"/>
        <v>0</v>
      </c>
      <c r="N413" s="35">
        <f t="shared" si="197"/>
        <v>0</v>
      </c>
      <c r="O413" s="35">
        <f t="shared" si="197"/>
        <v>0</v>
      </c>
      <c r="P413" s="34" t="s">
        <v>1088</v>
      </c>
      <c r="Q413" s="36" t="s">
        <v>1089</v>
      </c>
      <c r="R413" s="37" t="s">
        <v>1102</v>
      </c>
    </row>
    <row r="414" spans="1:18" ht="69.75" x14ac:dyDescent="0.25">
      <c r="A414" s="32" t="s">
        <v>1103</v>
      </c>
      <c r="B414" s="33" t="s">
        <v>1104</v>
      </c>
      <c r="C414" s="34"/>
      <c r="D414" s="34"/>
      <c r="E414" s="34"/>
      <c r="F414" s="38">
        <v>0</v>
      </c>
      <c r="G414" s="38">
        <v>0</v>
      </c>
      <c r="H414" s="38">
        <v>0</v>
      </c>
      <c r="I414" s="38">
        <v>0</v>
      </c>
      <c r="J414" s="38">
        <v>0</v>
      </c>
      <c r="K414" s="38">
        <v>0</v>
      </c>
      <c r="L414" s="38">
        <v>0</v>
      </c>
      <c r="M414" s="38">
        <v>0</v>
      </c>
      <c r="N414" s="38">
        <v>0</v>
      </c>
      <c r="O414" s="38">
        <v>0</v>
      </c>
      <c r="P414" s="34"/>
      <c r="Q414" s="36"/>
      <c r="R414" s="37"/>
    </row>
    <row r="415" spans="1:18" ht="46.5" x14ac:dyDescent="0.25">
      <c r="A415" s="32" t="s">
        <v>1105</v>
      </c>
      <c r="B415" s="33" t="s">
        <v>1106</v>
      </c>
      <c r="C415" s="34" t="s">
        <v>94</v>
      </c>
      <c r="D415" s="34" t="s">
        <v>804</v>
      </c>
      <c r="E415" s="34" t="s">
        <v>41</v>
      </c>
      <c r="F415" s="35">
        <f>SUM(F416:F416)+130630</f>
        <v>130630</v>
      </c>
      <c r="G415" s="35">
        <f>SUM(G416:G416)+130630</f>
        <v>130630</v>
      </c>
      <c r="H415" s="35">
        <f t="shared" ref="H415:O415" si="198">SUM(H416:H416)</f>
        <v>0</v>
      </c>
      <c r="I415" s="35">
        <f t="shared" si="198"/>
        <v>0</v>
      </c>
      <c r="J415" s="35">
        <f t="shared" si="198"/>
        <v>0</v>
      </c>
      <c r="K415" s="35">
        <f t="shared" si="198"/>
        <v>0</v>
      </c>
      <c r="L415" s="35">
        <f t="shared" si="198"/>
        <v>0</v>
      </c>
      <c r="M415" s="35">
        <f t="shared" si="198"/>
        <v>0</v>
      </c>
      <c r="N415" s="35">
        <f t="shared" si="198"/>
        <v>0</v>
      </c>
      <c r="O415" s="35">
        <f t="shared" si="198"/>
        <v>0</v>
      </c>
      <c r="P415" s="34" t="s">
        <v>1088</v>
      </c>
      <c r="Q415" s="36" t="s">
        <v>1089</v>
      </c>
      <c r="R415" s="37" t="s">
        <v>1107</v>
      </c>
    </row>
    <row r="416" spans="1:18" ht="69.75" x14ac:dyDescent="0.25">
      <c r="A416" s="32" t="s">
        <v>1108</v>
      </c>
      <c r="B416" s="33" t="s">
        <v>1109</v>
      </c>
      <c r="C416" s="34"/>
      <c r="D416" s="34"/>
      <c r="E416" s="34"/>
      <c r="F416" s="38">
        <v>0</v>
      </c>
      <c r="G416" s="38">
        <v>0</v>
      </c>
      <c r="H416" s="38">
        <v>0</v>
      </c>
      <c r="I416" s="38">
        <v>0</v>
      </c>
      <c r="J416" s="38">
        <v>0</v>
      </c>
      <c r="K416" s="38">
        <v>0</v>
      </c>
      <c r="L416" s="38">
        <v>0</v>
      </c>
      <c r="M416" s="38">
        <v>0</v>
      </c>
      <c r="N416" s="38">
        <v>0</v>
      </c>
      <c r="O416" s="38">
        <v>0</v>
      </c>
      <c r="P416" s="34"/>
      <c r="Q416" s="36"/>
      <c r="R416" s="37"/>
    </row>
    <row r="417" spans="1:18" ht="46.5" x14ac:dyDescent="0.25">
      <c r="A417" s="32" t="s">
        <v>1110</v>
      </c>
      <c r="B417" s="33" t="s">
        <v>1111</v>
      </c>
      <c r="C417" s="34" t="s">
        <v>99</v>
      </c>
      <c r="D417" s="34" t="s">
        <v>809</v>
      </c>
      <c r="E417" s="34" t="s">
        <v>41</v>
      </c>
      <c r="F417" s="35">
        <f>SUM(F418:F418)+225314</f>
        <v>225314</v>
      </c>
      <c r="G417" s="35">
        <f>SUM(G418:G418)+225314</f>
        <v>225314</v>
      </c>
      <c r="H417" s="35">
        <f t="shared" ref="H417:O417" si="199">SUM(H418:H418)</f>
        <v>0</v>
      </c>
      <c r="I417" s="35">
        <f t="shared" si="199"/>
        <v>0</v>
      </c>
      <c r="J417" s="35">
        <f t="shared" si="199"/>
        <v>0</v>
      </c>
      <c r="K417" s="35">
        <f t="shared" si="199"/>
        <v>0</v>
      </c>
      <c r="L417" s="35">
        <f t="shared" si="199"/>
        <v>0</v>
      </c>
      <c r="M417" s="35">
        <f t="shared" si="199"/>
        <v>0</v>
      </c>
      <c r="N417" s="35">
        <f t="shared" si="199"/>
        <v>0</v>
      </c>
      <c r="O417" s="35">
        <f t="shared" si="199"/>
        <v>0</v>
      </c>
      <c r="P417" s="34" t="s">
        <v>1088</v>
      </c>
      <c r="Q417" s="36" t="s">
        <v>1089</v>
      </c>
      <c r="R417" s="37" t="s">
        <v>1112</v>
      </c>
    </row>
    <row r="418" spans="1:18" ht="69.75" x14ac:dyDescent="0.25">
      <c r="A418" s="32" t="s">
        <v>1113</v>
      </c>
      <c r="B418" s="33" t="s">
        <v>1114</v>
      </c>
      <c r="C418" s="34"/>
      <c r="D418" s="34"/>
      <c r="E418" s="34"/>
      <c r="F418" s="38">
        <v>0</v>
      </c>
      <c r="G418" s="38">
        <v>0</v>
      </c>
      <c r="H418" s="38">
        <v>0</v>
      </c>
      <c r="I418" s="38">
        <v>0</v>
      </c>
      <c r="J418" s="38">
        <v>0</v>
      </c>
      <c r="K418" s="38">
        <v>0</v>
      </c>
      <c r="L418" s="38">
        <v>0</v>
      </c>
      <c r="M418" s="38">
        <v>0</v>
      </c>
      <c r="N418" s="38">
        <v>0</v>
      </c>
      <c r="O418" s="38">
        <v>0</v>
      </c>
      <c r="P418" s="34"/>
      <c r="Q418" s="36"/>
      <c r="R418" s="37"/>
    </row>
    <row r="419" spans="1:18" ht="46.5" x14ac:dyDescent="0.25">
      <c r="A419" s="32" t="s">
        <v>1115</v>
      </c>
      <c r="B419" s="33" t="s">
        <v>1116</v>
      </c>
      <c r="C419" s="34" t="s">
        <v>104</v>
      </c>
      <c r="D419" s="34" t="s">
        <v>814</v>
      </c>
      <c r="E419" s="34" t="s">
        <v>41</v>
      </c>
      <c r="F419" s="35">
        <f>SUM(F420:F420)+133870</f>
        <v>133870</v>
      </c>
      <c r="G419" s="35">
        <f>SUM(G420:G420)+133870</f>
        <v>133870</v>
      </c>
      <c r="H419" s="35">
        <f t="shared" ref="H419:O419" si="200">SUM(H420:H420)</f>
        <v>0</v>
      </c>
      <c r="I419" s="35">
        <f t="shared" si="200"/>
        <v>0</v>
      </c>
      <c r="J419" s="35">
        <f t="shared" si="200"/>
        <v>0</v>
      </c>
      <c r="K419" s="35">
        <f t="shared" si="200"/>
        <v>0</v>
      </c>
      <c r="L419" s="35">
        <f t="shared" si="200"/>
        <v>0</v>
      </c>
      <c r="M419" s="35">
        <f t="shared" si="200"/>
        <v>0</v>
      </c>
      <c r="N419" s="35">
        <f t="shared" si="200"/>
        <v>0</v>
      </c>
      <c r="O419" s="35">
        <f t="shared" si="200"/>
        <v>0</v>
      </c>
      <c r="P419" s="34" t="s">
        <v>1088</v>
      </c>
      <c r="Q419" s="36" t="s">
        <v>1089</v>
      </c>
      <c r="R419" s="37" t="s">
        <v>1117</v>
      </c>
    </row>
    <row r="420" spans="1:18" ht="69.75" x14ac:dyDescent="0.25">
      <c r="A420" s="32" t="s">
        <v>1118</v>
      </c>
      <c r="B420" s="33" t="s">
        <v>1119</v>
      </c>
      <c r="C420" s="34"/>
      <c r="D420" s="34"/>
      <c r="E420" s="34"/>
      <c r="F420" s="38">
        <v>0</v>
      </c>
      <c r="G420" s="38">
        <v>0</v>
      </c>
      <c r="H420" s="38">
        <v>0</v>
      </c>
      <c r="I420" s="38">
        <v>0</v>
      </c>
      <c r="J420" s="38">
        <v>0</v>
      </c>
      <c r="K420" s="38">
        <v>0</v>
      </c>
      <c r="L420" s="38">
        <v>0</v>
      </c>
      <c r="M420" s="38">
        <v>0</v>
      </c>
      <c r="N420" s="38">
        <v>0</v>
      </c>
      <c r="O420" s="38">
        <v>0</v>
      </c>
      <c r="P420" s="34"/>
      <c r="Q420" s="36"/>
      <c r="R420" s="37"/>
    </row>
    <row r="421" spans="1:18" ht="46.5" x14ac:dyDescent="0.25">
      <c r="A421" s="32" t="s">
        <v>1120</v>
      </c>
      <c r="B421" s="33" t="s">
        <v>1121</v>
      </c>
      <c r="C421" s="34" t="s">
        <v>819</v>
      </c>
      <c r="D421" s="34" t="s">
        <v>820</v>
      </c>
      <c r="E421" s="34" t="s">
        <v>41</v>
      </c>
      <c r="F421" s="35">
        <f>SUM(F422:F422)+181417</f>
        <v>181417</v>
      </c>
      <c r="G421" s="35">
        <f>SUM(G422:G422)+181417</f>
        <v>181417</v>
      </c>
      <c r="H421" s="35">
        <f t="shared" ref="H421:O421" si="201">SUM(H422:H422)</f>
        <v>0</v>
      </c>
      <c r="I421" s="35">
        <f t="shared" si="201"/>
        <v>0</v>
      </c>
      <c r="J421" s="35">
        <f t="shared" si="201"/>
        <v>0</v>
      </c>
      <c r="K421" s="35">
        <f t="shared" si="201"/>
        <v>0</v>
      </c>
      <c r="L421" s="35">
        <f t="shared" si="201"/>
        <v>0</v>
      </c>
      <c r="M421" s="35">
        <f t="shared" si="201"/>
        <v>0</v>
      </c>
      <c r="N421" s="35">
        <f t="shared" si="201"/>
        <v>0</v>
      </c>
      <c r="O421" s="35">
        <f t="shared" si="201"/>
        <v>0</v>
      </c>
      <c r="P421" s="34" t="s">
        <v>1088</v>
      </c>
      <c r="Q421" s="36" t="s">
        <v>1089</v>
      </c>
      <c r="R421" s="37" t="s">
        <v>1122</v>
      </c>
    </row>
    <row r="422" spans="1:18" ht="69.75" x14ac:dyDescent="0.25">
      <c r="A422" s="32" t="s">
        <v>1123</v>
      </c>
      <c r="B422" s="33" t="s">
        <v>1124</v>
      </c>
      <c r="C422" s="34"/>
      <c r="D422" s="34"/>
      <c r="E422" s="34"/>
      <c r="F422" s="38">
        <v>0</v>
      </c>
      <c r="G422" s="38">
        <v>0</v>
      </c>
      <c r="H422" s="38">
        <v>0</v>
      </c>
      <c r="I422" s="38">
        <v>0</v>
      </c>
      <c r="J422" s="38">
        <v>0</v>
      </c>
      <c r="K422" s="38">
        <v>0</v>
      </c>
      <c r="L422" s="38">
        <v>0</v>
      </c>
      <c r="M422" s="38">
        <v>0</v>
      </c>
      <c r="N422" s="38">
        <v>0</v>
      </c>
      <c r="O422" s="38">
        <v>0</v>
      </c>
      <c r="P422" s="34"/>
      <c r="Q422" s="36"/>
      <c r="R422" s="37"/>
    </row>
    <row r="423" spans="1:18" ht="46.5" x14ac:dyDescent="0.25">
      <c r="A423" s="32" t="s">
        <v>1125</v>
      </c>
      <c r="B423" s="33" t="s">
        <v>1126</v>
      </c>
      <c r="C423" s="34" t="s">
        <v>825</v>
      </c>
      <c r="D423" s="34" t="s">
        <v>826</v>
      </c>
      <c r="E423" s="34" t="s">
        <v>41</v>
      </c>
      <c r="F423" s="35">
        <f>SUM(F424:F424)+114540</f>
        <v>114540</v>
      </c>
      <c r="G423" s="35">
        <f>SUM(G424:G424)+114540</f>
        <v>114540</v>
      </c>
      <c r="H423" s="35">
        <f t="shared" ref="H423:O423" si="202">SUM(H424:H424)</f>
        <v>0</v>
      </c>
      <c r="I423" s="35">
        <f t="shared" si="202"/>
        <v>0</v>
      </c>
      <c r="J423" s="35">
        <f t="shared" si="202"/>
        <v>0</v>
      </c>
      <c r="K423" s="35">
        <f t="shared" si="202"/>
        <v>0</v>
      </c>
      <c r="L423" s="35">
        <f t="shared" si="202"/>
        <v>0</v>
      </c>
      <c r="M423" s="35">
        <f t="shared" si="202"/>
        <v>0</v>
      </c>
      <c r="N423" s="35">
        <f t="shared" si="202"/>
        <v>0</v>
      </c>
      <c r="O423" s="35">
        <f t="shared" si="202"/>
        <v>0</v>
      </c>
      <c r="P423" s="34" t="s">
        <v>1088</v>
      </c>
      <c r="Q423" s="36" t="s">
        <v>1089</v>
      </c>
      <c r="R423" s="37" t="s">
        <v>1127</v>
      </c>
    </row>
    <row r="424" spans="1:18" ht="69.75" x14ac:dyDescent="0.25">
      <c r="A424" s="32" t="s">
        <v>1128</v>
      </c>
      <c r="B424" s="33" t="s">
        <v>1129</v>
      </c>
      <c r="C424" s="34"/>
      <c r="D424" s="34"/>
      <c r="E424" s="34"/>
      <c r="F424" s="38">
        <v>0</v>
      </c>
      <c r="G424" s="38">
        <v>0</v>
      </c>
      <c r="H424" s="38">
        <v>0</v>
      </c>
      <c r="I424" s="38">
        <v>0</v>
      </c>
      <c r="J424" s="38">
        <v>0</v>
      </c>
      <c r="K424" s="38">
        <v>0</v>
      </c>
      <c r="L424" s="38">
        <v>0</v>
      </c>
      <c r="M424" s="38">
        <v>0</v>
      </c>
      <c r="N424" s="38">
        <v>0</v>
      </c>
      <c r="O424" s="38">
        <v>0</v>
      </c>
      <c r="P424" s="34"/>
      <c r="Q424" s="36"/>
      <c r="R424" s="37"/>
    </row>
    <row r="425" spans="1:18" ht="46.5" x14ac:dyDescent="0.25">
      <c r="A425" s="32" t="s">
        <v>1130</v>
      </c>
      <c r="B425" s="33" t="s">
        <v>1131</v>
      </c>
      <c r="C425" s="34" t="s">
        <v>831</v>
      </c>
      <c r="D425" s="34" t="s">
        <v>832</v>
      </c>
      <c r="E425" s="34" t="s">
        <v>41</v>
      </c>
      <c r="F425" s="35">
        <f>SUM(F426:F426)+116820</f>
        <v>116820</v>
      </c>
      <c r="G425" s="35">
        <f>SUM(G426:G426)+116820</f>
        <v>116820</v>
      </c>
      <c r="H425" s="35">
        <f t="shared" ref="H425:O425" si="203">SUM(H426:H426)</f>
        <v>0</v>
      </c>
      <c r="I425" s="35">
        <f t="shared" si="203"/>
        <v>0</v>
      </c>
      <c r="J425" s="35">
        <f t="shared" si="203"/>
        <v>0</v>
      </c>
      <c r="K425" s="35">
        <f t="shared" si="203"/>
        <v>0</v>
      </c>
      <c r="L425" s="35">
        <f t="shared" si="203"/>
        <v>0</v>
      </c>
      <c r="M425" s="35">
        <f t="shared" si="203"/>
        <v>0</v>
      </c>
      <c r="N425" s="35">
        <f t="shared" si="203"/>
        <v>0</v>
      </c>
      <c r="O425" s="35">
        <f t="shared" si="203"/>
        <v>0</v>
      </c>
      <c r="P425" s="34" t="s">
        <v>1088</v>
      </c>
      <c r="Q425" s="36" t="s">
        <v>1089</v>
      </c>
      <c r="R425" s="37" t="s">
        <v>638</v>
      </c>
    </row>
    <row r="426" spans="1:18" ht="69.75" x14ac:dyDescent="0.25">
      <c r="A426" s="32" t="s">
        <v>1132</v>
      </c>
      <c r="B426" s="33" t="s">
        <v>1133</v>
      </c>
      <c r="C426" s="34"/>
      <c r="D426" s="34"/>
      <c r="E426" s="34"/>
      <c r="F426" s="38">
        <v>0</v>
      </c>
      <c r="G426" s="38">
        <v>0</v>
      </c>
      <c r="H426" s="38">
        <v>0</v>
      </c>
      <c r="I426" s="38">
        <v>0</v>
      </c>
      <c r="J426" s="38">
        <v>0</v>
      </c>
      <c r="K426" s="38">
        <v>0</v>
      </c>
      <c r="L426" s="38">
        <v>0</v>
      </c>
      <c r="M426" s="38">
        <v>0</v>
      </c>
      <c r="N426" s="38">
        <v>0</v>
      </c>
      <c r="O426" s="38">
        <v>0</v>
      </c>
      <c r="P426" s="34"/>
      <c r="Q426" s="36"/>
      <c r="R426" s="37"/>
    </row>
    <row r="427" spans="1:18" ht="46.5" x14ac:dyDescent="0.25">
      <c r="A427" s="32" t="s">
        <v>1134</v>
      </c>
      <c r="B427" s="33" t="s">
        <v>1135</v>
      </c>
      <c r="C427" s="34" t="s">
        <v>839</v>
      </c>
      <c r="D427" s="34" t="s">
        <v>840</v>
      </c>
      <c r="E427" s="34" t="s">
        <v>41</v>
      </c>
      <c r="F427" s="35">
        <f>SUM(F428:F428)+84080</f>
        <v>84080</v>
      </c>
      <c r="G427" s="35">
        <f>SUM(G428:G428)+84080</f>
        <v>84080</v>
      </c>
      <c r="H427" s="35">
        <f t="shared" ref="H427:O427" si="204">SUM(H428:H428)</f>
        <v>0</v>
      </c>
      <c r="I427" s="35">
        <f t="shared" si="204"/>
        <v>0</v>
      </c>
      <c r="J427" s="35">
        <f t="shared" si="204"/>
        <v>0</v>
      </c>
      <c r="K427" s="35">
        <f t="shared" si="204"/>
        <v>0</v>
      </c>
      <c r="L427" s="35">
        <f t="shared" si="204"/>
        <v>0</v>
      </c>
      <c r="M427" s="35">
        <f t="shared" si="204"/>
        <v>0</v>
      </c>
      <c r="N427" s="35">
        <f t="shared" si="204"/>
        <v>0</v>
      </c>
      <c r="O427" s="35">
        <f t="shared" si="204"/>
        <v>0</v>
      </c>
      <c r="P427" s="34" t="s">
        <v>1088</v>
      </c>
      <c r="Q427" s="36" t="s">
        <v>1089</v>
      </c>
      <c r="R427" s="37" t="s">
        <v>1136</v>
      </c>
    </row>
    <row r="428" spans="1:18" ht="69.75" x14ac:dyDescent="0.25">
      <c r="A428" s="32" t="s">
        <v>1137</v>
      </c>
      <c r="B428" s="33" t="s">
        <v>1138</v>
      </c>
      <c r="C428" s="34"/>
      <c r="D428" s="34"/>
      <c r="E428" s="34"/>
      <c r="F428" s="38">
        <v>0</v>
      </c>
      <c r="G428" s="38">
        <v>0</v>
      </c>
      <c r="H428" s="38">
        <v>0</v>
      </c>
      <c r="I428" s="38">
        <v>0</v>
      </c>
      <c r="J428" s="38">
        <v>0</v>
      </c>
      <c r="K428" s="38">
        <v>0</v>
      </c>
      <c r="L428" s="38">
        <v>0</v>
      </c>
      <c r="M428" s="38">
        <v>0</v>
      </c>
      <c r="N428" s="38">
        <v>0</v>
      </c>
      <c r="O428" s="38">
        <v>0</v>
      </c>
      <c r="P428" s="34"/>
      <c r="Q428" s="36"/>
      <c r="R428" s="37"/>
    </row>
    <row r="429" spans="1:18" ht="46.5" x14ac:dyDescent="0.25">
      <c r="A429" s="32" t="s">
        <v>1139</v>
      </c>
      <c r="B429" s="33" t="s">
        <v>1140</v>
      </c>
      <c r="C429" s="34" t="s">
        <v>845</v>
      </c>
      <c r="D429" s="34" t="s">
        <v>846</v>
      </c>
      <c r="E429" s="34" t="s">
        <v>41</v>
      </c>
      <c r="F429" s="35">
        <f>SUM(F430:F430)+155460</f>
        <v>155460</v>
      </c>
      <c r="G429" s="35">
        <f>SUM(G430:G430)+155460</f>
        <v>155460</v>
      </c>
      <c r="H429" s="35">
        <f t="shared" ref="H429:O429" si="205">SUM(H430:H430)</f>
        <v>0</v>
      </c>
      <c r="I429" s="35">
        <f t="shared" si="205"/>
        <v>0</v>
      </c>
      <c r="J429" s="35">
        <f t="shared" si="205"/>
        <v>0</v>
      </c>
      <c r="K429" s="35">
        <f t="shared" si="205"/>
        <v>0</v>
      </c>
      <c r="L429" s="35">
        <f t="shared" si="205"/>
        <v>0</v>
      </c>
      <c r="M429" s="35">
        <f t="shared" si="205"/>
        <v>0</v>
      </c>
      <c r="N429" s="35">
        <f t="shared" si="205"/>
        <v>0</v>
      </c>
      <c r="O429" s="35">
        <f t="shared" si="205"/>
        <v>0</v>
      </c>
      <c r="P429" s="34" t="s">
        <v>1088</v>
      </c>
      <c r="Q429" s="36" t="s">
        <v>1089</v>
      </c>
      <c r="R429" s="37" t="s">
        <v>1141</v>
      </c>
    </row>
    <row r="430" spans="1:18" ht="69.75" x14ac:dyDescent="0.25">
      <c r="A430" s="32" t="s">
        <v>1142</v>
      </c>
      <c r="B430" s="33" t="s">
        <v>1143</v>
      </c>
      <c r="C430" s="34"/>
      <c r="D430" s="34"/>
      <c r="E430" s="34"/>
      <c r="F430" s="38">
        <v>0</v>
      </c>
      <c r="G430" s="38">
        <v>0</v>
      </c>
      <c r="H430" s="38">
        <v>0</v>
      </c>
      <c r="I430" s="38">
        <v>0</v>
      </c>
      <c r="J430" s="38">
        <v>0</v>
      </c>
      <c r="K430" s="38">
        <v>0</v>
      </c>
      <c r="L430" s="38">
        <v>0</v>
      </c>
      <c r="M430" s="38">
        <v>0</v>
      </c>
      <c r="N430" s="38">
        <v>0</v>
      </c>
      <c r="O430" s="38">
        <v>0</v>
      </c>
      <c r="P430" s="34"/>
      <c r="Q430" s="36"/>
      <c r="R430" s="37"/>
    </row>
    <row r="431" spans="1:18" ht="46.5" x14ac:dyDescent="0.25">
      <c r="A431" s="32" t="s">
        <v>1144</v>
      </c>
      <c r="B431" s="33" t="s">
        <v>1145</v>
      </c>
      <c r="C431" s="34" t="s">
        <v>851</v>
      </c>
      <c r="D431" s="34" t="s">
        <v>852</v>
      </c>
      <c r="E431" s="34" t="s">
        <v>41</v>
      </c>
      <c r="F431" s="35">
        <f>SUM(F432:F432)+557050</f>
        <v>557050</v>
      </c>
      <c r="G431" s="35">
        <f>SUM(G432:G432)+557050</f>
        <v>557050</v>
      </c>
      <c r="H431" s="35">
        <f t="shared" ref="H431:O431" si="206">SUM(H432:H432)</f>
        <v>0</v>
      </c>
      <c r="I431" s="35">
        <f t="shared" si="206"/>
        <v>0</v>
      </c>
      <c r="J431" s="35">
        <f t="shared" si="206"/>
        <v>0</v>
      </c>
      <c r="K431" s="35">
        <f t="shared" si="206"/>
        <v>0</v>
      </c>
      <c r="L431" s="35">
        <f t="shared" si="206"/>
        <v>0</v>
      </c>
      <c r="M431" s="35">
        <f t="shared" si="206"/>
        <v>0</v>
      </c>
      <c r="N431" s="35">
        <f t="shared" si="206"/>
        <v>0</v>
      </c>
      <c r="O431" s="35">
        <f t="shared" si="206"/>
        <v>0</v>
      </c>
      <c r="P431" s="34" t="s">
        <v>1088</v>
      </c>
      <c r="Q431" s="36" t="s">
        <v>1089</v>
      </c>
      <c r="R431" s="37" t="s">
        <v>1146</v>
      </c>
    </row>
    <row r="432" spans="1:18" ht="69.75" x14ac:dyDescent="0.25">
      <c r="A432" s="32" t="s">
        <v>1147</v>
      </c>
      <c r="B432" s="33" t="s">
        <v>1148</v>
      </c>
      <c r="C432" s="34"/>
      <c r="D432" s="34"/>
      <c r="E432" s="34"/>
      <c r="F432" s="38">
        <v>0</v>
      </c>
      <c r="G432" s="38">
        <v>0</v>
      </c>
      <c r="H432" s="38">
        <v>0</v>
      </c>
      <c r="I432" s="38">
        <v>0</v>
      </c>
      <c r="J432" s="38">
        <v>0</v>
      </c>
      <c r="K432" s="38">
        <v>0</v>
      </c>
      <c r="L432" s="38">
        <v>0</v>
      </c>
      <c r="M432" s="38">
        <v>0</v>
      </c>
      <c r="N432" s="38">
        <v>0</v>
      </c>
      <c r="O432" s="38">
        <v>0</v>
      </c>
      <c r="P432" s="34"/>
      <c r="Q432" s="36"/>
      <c r="R432" s="37"/>
    </row>
    <row r="433" spans="1:18" ht="46.5" x14ac:dyDescent="0.25">
      <c r="A433" s="32" t="s">
        <v>1149</v>
      </c>
      <c r="B433" s="33" t="s">
        <v>1150</v>
      </c>
      <c r="C433" s="34" t="s">
        <v>857</v>
      </c>
      <c r="D433" s="34" t="s">
        <v>858</v>
      </c>
      <c r="E433" s="34" t="s">
        <v>41</v>
      </c>
      <c r="F433" s="35">
        <f>SUM(F434:F434)+78313</f>
        <v>78313</v>
      </c>
      <c r="G433" s="35">
        <f>SUM(G434:G434)+76870</f>
        <v>76870</v>
      </c>
      <c r="H433" s="35">
        <f t="shared" ref="H433:O433" si="207">SUM(H434:H434)</f>
        <v>0</v>
      </c>
      <c r="I433" s="35">
        <f t="shared" si="207"/>
        <v>0</v>
      </c>
      <c r="J433" s="35">
        <f t="shared" si="207"/>
        <v>0</v>
      </c>
      <c r="K433" s="35">
        <f t="shared" si="207"/>
        <v>0</v>
      </c>
      <c r="L433" s="35">
        <f t="shared" si="207"/>
        <v>0</v>
      </c>
      <c r="M433" s="35">
        <f t="shared" si="207"/>
        <v>0</v>
      </c>
      <c r="N433" s="35">
        <f t="shared" si="207"/>
        <v>0</v>
      </c>
      <c r="O433" s="35">
        <f t="shared" si="207"/>
        <v>0</v>
      </c>
      <c r="P433" s="34" t="s">
        <v>1088</v>
      </c>
      <c r="Q433" s="36" t="s">
        <v>1089</v>
      </c>
      <c r="R433" s="37" t="s">
        <v>613</v>
      </c>
    </row>
    <row r="434" spans="1:18" ht="69.75" x14ac:dyDescent="0.25">
      <c r="A434" s="32" t="s">
        <v>1151</v>
      </c>
      <c r="B434" s="33" t="s">
        <v>1152</v>
      </c>
      <c r="C434" s="34"/>
      <c r="D434" s="34"/>
      <c r="E434" s="34"/>
      <c r="F434" s="38">
        <v>0</v>
      </c>
      <c r="G434" s="38">
        <v>0</v>
      </c>
      <c r="H434" s="38">
        <v>0</v>
      </c>
      <c r="I434" s="38">
        <v>0</v>
      </c>
      <c r="J434" s="38">
        <v>0</v>
      </c>
      <c r="K434" s="38">
        <v>0</v>
      </c>
      <c r="L434" s="38">
        <v>0</v>
      </c>
      <c r="M434" s="38">
        <v>0</v>
      </c>
      <c r="N434" s="38">
        <v>0</v>
      </c>
      <c r="O434" s="38">
        <v>0</v>
      </c>
      <c r="P434" s="34"/>
      <c r="Q434" s="36"/>
      <c r="R434" s="37"/>
    </row>
    <row r="435" spans="1:18" ht="69.75" x14ac:dyDescent="0.25">
      <c r="A435" s="32" t="s">
        <v>1153</v>
      </c>
      <c r="B435" s="33" t="s">
        <v>1154</v>
      </c>
      <c r="C435" s="34" t="s">
        <v>261</v>
      </c>
      <c r="D435" s="34" t="s">
        <v>1155</v>
      </c>
      <c r="E435" s="34"/>
      <c r="F435" s="35">
        <f>SUM(F436:F436)+13000</f>
        <v>13000</v>
      </c>
      <c r="G435" s="35">
        <f>SUM(G436:G436)+13000</f>
        <v>13000</v>
      </c>
      <c r="H435" s="35">
        <f t="shared" ref="H435:O435" si="208">SUM(H436:H436)</f>
        <v>0</v>
      </c>
      <c r="I435" s="35">
        <f t="shared" si="208"/>
        <v>0</v>
      </c>
      <c r="J435" s="35">
        <f t="shared" si="208"/>
        <v>0</v>
      </c>
      <c r="K435" s="35">
        <f t="shared" si="208"/>
        <v>0</v>
      </c>
      <c r="L435" s="35">
        <f t="shared" si="208"/>
        <v>0</v>
      </c>
      <c r="M435" s="35">
        <f t="shared" si="208"/>
        <v>0</v>
      </c>
      <c r="N435" s="35">
        <f t="shared" si="208"/>
        <v>0</v>
      </c>
      <c r="O435" s="35">
        <f t="shared" si="208"/>
        <v>0</v>
      </c>
      <c r="P435" s="34" t="s">
        <v>1156</v>
      </c>
      <c r="Q435" s="36" t="s">
        <v>36</v>
      </c>
      <c r="R435" s="37" t="s">
        <v>48</v>
      </c>
    </row>
    <row r="436" spans="1:18" ht="69.75" x14ac:dyDescent="0.25">
      <c r="A436" s="32" t="s">
        <v>1157</v>
      </c>
      <c r="B436" s="33" t="s">
        <v>1158</v>
      </c>
      <c r="C436" s="34"/>
      <c r="D436" s="34"/>
      <c r="E436" s="34"/>
      <c r="F436" s="38">
        <v>0</v>
      </c>
      <c r="G436" s="38">
        <v>0</v>
      </c>
      <c r="H436" s="38">
        <v>0</v>
      </c>
      <c r="I436" s="38">
        <v>0</v>
      </c>
      <c r="J436" s="38">
        <v>0</v>
      </c>
      <c r="K436" s="38">
        <v>0</v>
      </c>
      <c r="L436" s="38">
        <v>0</v>
      </c>
      <c r="M436" s="38">
        <v>0</v>
      </c>
      <c r="N436" s="38">
        <v>0</v>
      </c>
      <c r="O436" s="38">
        <v>0</v>
      </c>
      <c r="P436" s="34"/>
      <c r="Q436" s="36"/>
      <c r="R436" s="37"/>
    </row>
    <row r="437" spans="1:18" ht="90" x14ac:dyDescent="0.25">
      <c r="A437" s="26" t="s">
        <v>1159</v>
      </c>
      <c r="B437" s="27" t="s">
        <v>1160</v>
      </c>
      <c r="C437" s="28" t="s">
        <v>261</v>
      </c>
      <c r="D437" s="28" t="s">
        <v>265</v>
      </c>
      <c r="E437" s="28" t="s">
        <v>34</v>
      </c>
      <c r="F437" s="29">
        <f t="shared" ref="F437:O437" si="209">F438+F440+F442</f>
        <v>5000</v>
      </c>
      <c r="G437" s="29">
        <f t="shared" si="209"/>
        <v>5000</v>
      </c>
      <c r="H437" s="29">
        <f t="shared" si="209"/>
        <v>0</v>
      </c>
      <c r="I437" s="29">
        <f t="shared" si="209"/>
        <v>0</v>
      </c>
      <c r="J437" s="29">
        <f t="shared" si="209"/>
        <v>0</v>
      </c>
      <c r="K437" s="29">
        <f t="shared" si="209"/>
        <v>0</v>
      </c>
      <c r="L437" s="29">
        <f t="shared" si="209"/>
        <v>0</v>
      </c>
      <c r="M437" s="29">
        <f t="shared" si="209"/>
        <v>0</v>
      </c>
      <c r="N437" s="29">
        <f t="shared" si="209"/>
        <v>0</v>
      </c>
      <c r="O437" s="29">
        <f t="shared" si="209"/>
        <v>0</v>
      </c>
      <c r="P437" s="28" t="s">
        <v>1161</v>
      </c>
      <c r="Q437" s="30" t="s">
        <v>1162</v>
      </c>
      <c r="R437" s="31" t="s">
        <v>115</v>
      </c>
    </row>
    <row r="438" spans="1:18" ht="46.5" x14ac:dyDescent="0.25">
      <c r="A438" s="32" t="s">
        <v>1163</v>
      </c>
      <c r="B438" s="33" t="s">
        <v>1164</v>
      </c>
      <c r="C438" s="34" t="s">
        <v>851</v>
      </c>
      <c r="D438" s="34" t="s">
        <v>852</v>
      </c>
      <c r="E438" s="34" t="s">
        <v>41</v>
      </c>
      <c r="F438" s="35">
        <f t="shared" ref="F438:O438" si="210">SUM(F439:F439)</f>
        <v>0</v>
      </c>
      <c r="G438" s="35">
        <f t="shared" si="210"/>
        <v>0</v>
      </c>
      <c r="H438" s="35">
        <f t="shared" si="210"/>
        <v>0</v>
      </c>
      <c r="I438" s="35">
        <f t="shared" si="210"/>
        <v>0</v>
      </c>
      <c r="J438" s="35">
        <f t="shared" si="210"/>
        <v>0</v>
      </c>
      <c r="K438" s="35">
        <f t="shared" si="210"/>
        <v>0</v>
      </c>
      <c r="L438" s="35">
        <f t="shared" si="210"/>
        <v>0</v>
      </c>
      <c r="M438" s="35">
        <f t="shared" si="210"/>
        <v>0</v>
      </c>
      <c r="N438" s="35">
        <f t="shared" si="210"/>
        <v>0</v>
      </c>
      <c r="O438" s="35">
        <f t="shared" si="210"/>
        <v>0</v>
      </c>
      <c r="P438" s="34" t="s">
        <v>1165</v>
      </c>
      <c r="Q438" s="36" t="s">
        <v>36</v>
      </c>
      <c r="R438" s="37" t="s">
        <v>48</v>
      </c>
    </row>
    <row r="439" spans="1:18" ht="46.5" x14ac:dyDescent="0.25">
      <c r="A439" s="32" t="s">
        <v>1166</v>
      </c>
      <c r="B439" s="33" t="s">
        <v>1167</v>
      </c>
      <c r="C439" s="34"/>
      <c r="D439" s="34"/>
      <c r="E439" s="34"/>
      <c r="F439" s="38">
        <v>0</v>
      </c>
      <c r="G439" s="38">
        <v>0</v>
      </c>
      <c r="H439" s="38">
        <v>0</v>
      </c>
      <c r="I439" s="38">
        <v>0</v>
      </c>
      <c r="J439" s="38">
        <v>0</v>
      </c>
      <c r="K439" s="38">
        <v>0</v>
      </c>
      <c r="L439" s="38">
        <v>0</v>
      </c>
      <c r="M439" s="38">
        <v>0</v>
      </c>
      <c r="N439" s="38">
        <v>0</v>
      </c>
      <c r="O439" s="38">
        <v>0</v>
      </c>
      <c r="P439" s="34"/>
      <c r="Q439" s="36"/>
      <c r="R439" s="37"/>
    </row>
    <row r="440" spans="1:18" ht="116.25" x14ac:dyDescent="0.25">
      <c r="A440" s="32" t="s">
        <v>1168</v>
      </c>
      <c r="B440" s="33" t="s">
        <v>1169</v>
      </c>
      <c r="C440" s="34" t="s">
        <v>261</v>
      </c>
      <c r="D440" s="34" t="s">
        <v>989</v>
      </c>
      <c r="E440" s="34" t="s">
        <v>41</v>
      </c>
      <c r="F440" s="35">
        <f>SUM(F441:F441)+5000</f>
        <v>5000</v>
      </c>
      <c r="G440" s="35">
        <f>SUM(G441:G441)+5000</f>
        <v>5000</v>
      </c>
      <c r="H440" s="35">
        <f t="shared" ref="H440:O440" si="211">SUM(H441:H441)</f>
        <v>0</v>
      </c>
      <c r="I440" s="35">
        <f t="shared" si="211"/>
        <v>0</v>
      </c>
      <c r="J440" s="35">
        <f t="shared" si="211"/>
        <v>0</v>
      </c>
      <c r="K440" s="35">
        <f t="shared" si="211"/>
        <v>0</v>
      </c>
      <c r="L440" s="35">
        <f t="shared" si="211"/>
        <v>0</v>
      </c>
      <c r="M440" s="35">
        <f t="shared" si="211"/>
        <v>0</v>
      </c>
      <c r="N440" s="35">
        <f t="shared" si="211"/>
        <v>0</v>
      </c>
      <c r="O440" s="35">
        <f t="shared" si="211"/>
        <v>0</v>
      </c>
      <c r="P440" s="34" t="s">
        <v>1170</v>
      </c>
      <c r="Q440" s="36" t="s">
        <v>1016</v>
      </c>
      <c r="R440" s="37" t="s">
        <v>251</v>
      </c>
    </row>
    <row r="441" spans="1:18" ht="69.75" x14ac:dyDescent="0.25">
      <c r="A441" s="32" t="s">
        <v>1171</v>
      </c>
      <c r="B441" s="33" t="s">
        <v>1172</v>
      </c>
      <c r="C441" s="34"/>
      <c r="D441" s="34"/>
      <c r="E441" s="34"/>
      <c r="F441" s="38">
        <v>0</v>
      </c>
      <c r="G441" s="38">
        <v>0</v>
      </c>
      <c r="H441" s="38">
        <v>0</v>
      </c>
      <c r="I441" s="38">
        <v>0</v>
      </c>
      <c r="J441" s="38">
        <v>0</v>
      </c>
      <c r="K441" s="38">
        <v>0</v>
      </c>
      <c r="L441" s="38">
        <v>0</v>
      </c>
      <c r="M441" s="38">
        <v>0</v>
      </c>
      <c r="N441" s="38">
        <v>0</v>
      </c>
      <c r="O441" s="38">
        <v>0</v>
      </c>
      <c r="P441" s="34"/>
      <c r="Q441" s="36"/>
      <c r="R441" s="37"/>
    </row>
    <row r="442" spans="1:18" ht="93" x14ac:dyDescent="0.25">
      <c r="A442" s="32" t="s">
        <v>1173</v>
      </c>
      <c r="B442" s="33" t="s">
        <v>1174</v>
      </c>
      <c r="C442" s="34" t="s">
        <v>261</v>
      </c>
      <c r="D442" s="34" t="s">
        <v>989</v>
      </c>
      <c r="E442" s="34" t="s">
        <v>41</v>
      </c>
      <c r="F442" s="35">
        <f t="shared" ref="F442:O442" si="212">SUM(F443:F443)</f>
        <v>0</v>
      </c>
      <c r="G442" s="35">
        <f t="shared" si="212"/>
        <v>0</v>
      </c>
      <c r="H442" s="35">
        <f t="shared" si="212"/>
        <v>0</v>
      </c>
      <c r="I442" s="35">
        <f t="shared" si="212"/>
        <v>0</v>
      </c>
      <c r="J442" s="35">
        <f t="shared" si="212"/>
        <v>0</v>
      </c>
      <c r="K442" s="35">
        <f t="shared" si="212"/>
        <v>0</v>
      </c>
      <c r="L442" s="35">
        <f t="shared" si="212"/>
        <v>0</v>
      </c>
      <c r="M442" s="35">
        <f t="shared" si="212"/>
        <v>0</v>
      </c>
      <c r="N442" s="35">
        <f t="shared" si="212"/>
        <v>0</v>
      </c>
      <c r="O442" s="35">
        <f t="shared" si="212"/>
        <v>0</v>
      </c>
      <c r="P442" s="34" t="s">
        <v>1175</v>
      </c>
      <c r="Q442" s="36" t="s">
        <v>36</v>
      </c>
      <c r="R442" s="37" t="s">
        <v>428</v>
      </c>
    </row>
    <row r="443" spans="1:18" ht="69.75" x14ac:dyDescent="0.25">
      <c r="A443" s="32" t="s">
        <v>1176</v>
      </c>
      <c r="B443" s="33" t="s">
        <v>1177</v>
      </c>
      <c r="C443" s="34"/>
      <c r="D443" s="34"/>
      <c r="E443" s="34"/>
      <c r="F443" s="38">
        <v>0</v>
      </c>
      <c r="G443" s="38">
        <v>0</v>
      </c>
      <c r="H443" s="38">
        <v>0</v>
      </c>
      <c r="I443" s="38">
        <v>0</v>
      </c>
      <c r="J443" s="38">
        <v>0</v>
      </c>
      <c r="K443" s="38">
        <v>0</v>
      </c>
      <c r="L443" s="38">
        <v>0</v>
      </c>
      <c r="M443" s="38">
        <v>0</v>
      </c>
      <c r="N443" s="38">
        <v>0</v>
      </c>
      <c r="O443" s="38">
        <v>0</v>
      </c>
      <c r="P443" s="34"/>
      <c r="Q443" s="36"/>
      <c r="R443" s="37"/>
    </row>
    <row r="444" spans="1:18" ht="45" x14ac:dyDescent="0.25">
      <c r="A444" s="26" t="s">
        <v>1178</v>
      </c>
      <c r="B444" s="27" t="s">
        <v>1179</v>
      </c>
      <c r="C444" s="28" t="s">
        <v>261</v>
      </c>
      <c r="D444" s="28" t="s">
        <v>286</v>
      </c>
      <c r="E444" s="28" t="s">
        <v>34</v>
      </c>
      <c r="F444" s="29">
        <f t="shared" ref="F444:O444" si="213">SUM(F445:F445)</f>
        <v>86000</v>
      </c>
      <c r="G444" s="29">
        <f t="shared" si="213"/>
        <v>86000</v>
      </c>
      <c r="H444" s="29">
        <f t="shared" si="213"/>
        <v>0</v>
      </c>
      <c r="I444" s="29">
        <f t="shared" si="213"/>
        <v>0</v>
      </c>
      <c r="J444" s="29">
        <f t="shared" si="213"/>
        <v>0</v>
      </c>
      <c r="K444" s="29">
        <f t="shared" si="213"/>
        <v>0</v>
      </c>
      <c r="L444" s="29">
        <f t="shared" si="213"/>
        <v>0</v>
      </c>
      <c r="M444" s="29">
        <f t="shared" si="213"/>
        <v>0</v>
      </c>
      <c r="N444" s="29">
        <f t="shared" si="213"/>
        <v>0</v>
      </c>
      <c r="O444" s="29">
        <f t="shared" si="213"/>
        <v>0</v>
      </c>
      <c r="P444" s="28" t="s">
        <v>1180</v>
      </c>
      <c r="Q444" s="30" t="s">
        <v>36</v>
      </c>
      <c r="R444" s="31" t="s">
        <v>48</v>
      </c>
    </row>
    <row r="445" spans="1:18" ht="46.5" x14ac:dyDescent="0.25">
      <c r="A445" s="32" t="s">
        <v>1181</v>
      </c>
      <c r="B445" s="33" t="s">
        <v>1182</v>
      </c>
      <c r="C445" s="34" t="s">
        <v>261</v>
      </c>
      <c r="D445" s="34" t="s">
        <v>286</v>
      </c>
      <c r="E445" s="34"/>
      <c r="F445" s="35">
        <f>SUM(F446:F446)+86000</f>
        <v>86000</v>
      </c>
      <c r="G445" s="35">
        <f>SUM(G446:G446)+86000</f>
        <v>86000</v>
      </c>
      <c r="H445" s="35">
        <f t="shared" ref="H445:O445" si="214">SUM(H446:H446)</f>
        <v>0</v>
      </c>
      <c r="I445" s="35">
        <f t="shared" si="214"/>
        <v>0</v>
      </c>
      <c r="J445" s="35">
        <f t="shared" si="214"/>
        <v>0</v>
      </c>
      <c r="K445" s="35">
        <f t="shared" si="214"/>
        <v>0</v>
      </c>
      <c r="L445" s="35">
        <f t="shared" si="214"/>
        <v>0</v>
      </c>
      <c r="M445" s="35">
        <f t="shared" si="214"/>
        <v>0</v>
      </c>
      <c r="N445" s="35">
        <f t="shared" si="214"/>
        <v>0</v>
      </c>
      <c r="O445" s="35">
        <f t="shared" si="214"/>
        <v>0</v>
      </c>
      <c r="P445" s="34" t="s">
        <v>1183</v>
      </c>
      <c r="Q445" s="36" t="s">
        <v>36</v>
      </c>
      <c r="R445" s="37" t="s">
        <v>48</v>
      </c>
    </row>
    <row r="446" spans="1:18" ht="46.5" x14ac:dyDescent="0.25">
      <c r="A446" s="32" t="s">
        <v>1184</v>
      </c>
      <c r="B446" s="33" t="s">
        <v>1185</v>
      </c>
      <c r="C446" s="34"/>
      <c r="D446" s="34"/>
      <c r="E446" s="34"/>
      <c r="F446" s="38">
        <v>0</v>
      </c>
      <c r="G446" s="38">
        <v>0</v>
      </c>
      <c r="H446" s="38">
        <v>0</v>
      </c>
      <c r="I446" s="38">
        <v>0</v>
      </c>
      <c r="J446" s="38">
        <v>0</v>
      </c>
      <c r="K446" s="38">
        <v>0</v>
      </c>
      <c r="L446" s="38">
        <v>0</v>
      </c>
      <c r="M446" s="38">
        <v>0</v>
      </c>
      <c r="N446" s="38">
        <v>0</v>
      </c>
      <c r="O446" s="38">
        <v>0</v>
      </c>
      <c r="P446" s="34"/>
      <c r="Q446" s="36"/>
      <c r="R446" s="37"/>
    </row>
    <row r="447" spans="1:18" ht="45" x14ac:dyDescent="0.25">
      <c r="A447" s="26" t="s">
        <v>1186</v>
      </c>
      <c r="B447" s="27" t="s">
        <v>1187</v>
      </c>
      <c r="C447" s="28" t="s">
        <v>261</v>
      </c>
      <c r="D447" s="28" t="s">
        <v>286</v>
      </c>
      <c r="E447" s="28" t="s">
        <v>34</v>
      </c>
      <c r="F447" s="29">
        <f t="shared" ref="F447:O447" si="215">SUM(F448:F448)</f>
        <v>153000</v>
      </c>
      <c r="G447" s="29">
        <f t="shared" si="215"/>
        <v>153000</v>
      </c>
      <c r="H447" s="29">
        <f t="shared" si="215"/>
        <v>0</v>
      </c>
      <c r="I447" s="29">
        <f t="shared" si="215"/>
        <v>0</v>
      </c>
      <c r="J447" s="29">
        <f t="shared" si="215"/>
        <v>0</v>
      </c>
      <c r="K447" s="29">
        <f t="shared" si="215"/>
        <v>0</v>
      </c>
      <c r="L447" s="29">
        <f t="shared" si="215"/>
        <v>0</v>
      </c>
      <c r="M447" s="29">
        <f t="shared" si="215"/>
        <v>0</v>
      </c>
      <c r="N447" s="29">
        <f t="shared" si="215"/>
        <v>0</v>
      </c>
      <c r="O447" s="29">
        <f t="shared" si="215"/>
        <v>0</v>
      </c>
      <c r="P447" s="28" t="s">
        <v>1188</v>
      </c>
      <c r="Q447" s="30" t="s">
        <v>36</v>
      </c>
      <c r="R447" s="31" t="s">
        <v>37</v>
      </c>
    </row>
    <row r="448" spans="1:18" ht="46.5" x14ac:dyDescent="0.25">
      <c r="A448" s="32" t="s">
        <v>1189</v>
      </c>
      <c r="B448" s="33" t="s">
        <v>1190</v>
      </c>
      <c r="C448" s="34" t="s">
        <v>261</v>
      </c>
      <c r="D448" s="34" t="s">
        <v>286</v>
      </c>
      <c r="E448" s="34" t="s">
        <v>41</v>
      </c>
      <c r="F448" s="35">
        <f>SUM(F449:F449)+153000</f>
        <v>153000</v>
      </c>
      <c r="G448" s="35">
        <f>SUM(G449:G449)+153000</f>
        <v>153000</v>
      </c>
      <c r="H448" s="35">
        <f t="shared" ref="H448:O448" si="216">SUM(H449:H449)</f>
        <v>0</v>
      </c>
      <c r="I448" s="35">
        <f t="shared" si="216"/>
        <v>0</v>
      </c>
      <c r="J448" s="35">
        <f t="shared" si="216"/>
        <v>0</v>
      </c>
      <c r="K448" s="35">
        <f t="shared" si="216"/>
        <v>0</v>
      </c>
      <c r="L448" s="35">
        <f t="shared" si="216"/>
        <v>0</v>
      </c>
      <c r="M448" s="35">
        <f t="shared" si="216"/>
        <v>0</v>
      </c>
      <c r="N448" s="35">
        <f t="shared" si="216"/>
        <v>0</v>
      </c>
      <c r="O448" s="35">
        <f t="shared" si="216"/>
        <v>0</v>
      </c>
      <c r="P448" s="34" t="s">
        <v>1191</v>
      </c>
      <c r="Q448" s="36" t="s">
        <v>36</v>
      </c>
      <c r="R448" s="37" t="s">
        <v>251</v>
      </c>
    </row>
    <row r="449" spans="1:18" ht="46.5" x14ac:dyDescent="0.25">
      <c r="A449" s="32" t="s">
        <v>1192</v>
      </c>
      <c r="B449" s="33" t="s">
        <v>1193</v>
      </c>
      <c r="C449" s="34"/>
      <c r="D449" s="34"/>
      <c r="E449" s="34"/>
      <c r="F449" s="38">
        <v>0</v>
      </c>
      <c r="G449" s="38">
        <v>0</v>
      </c>
      <c r="H449" s="38">
        <v>0</v>
      </c>
      <c r="I449" s="38">
        <v>0</v>
      </c>
      <c r="J449" s="38">
        <v>0</v>
      </c>
      <c r="K449" s="38">
        <v>0</v>
      </c>
      <c r="L449" s="38">
        <v>0</v>
      </c>
      <c r="M449" s="38">
        <v>0</v>
      </c>
      <c r="N449" s="38">
        <v>0</v>
      </c>
      <c r="O449" s="38">
        <v>0</v>
      </c>
      <c r="P449" s="34"/>
      <c r="Q449" s="36"/>
      <c r="R449" s="37"/>
    </row>
    <row r="450" spans="1:18" ht="112.5" x14ac:dyDescent="0.25">
      <c r="A450" s="26" t="s">
        <v>1194</v>
      </c>
      <c r="B450" s="27" t="s">
        <v>1195</v>
      </c>
      <c r="C450" s="28" t="s">
        <v>261</v>
      </c>
      <c r="D450" s="28" t="s">
        <v>286</v>
      </c>
      <c r="E450" s="28" t="s">
        <v>34</v>
      </c>
      <c r="F450" s="29">
        <f t="shared" ref="F450:O450" si="217">SUM(F451:F452)</f>
        <v>5000</v>
      </c>
      <c r="G450" s="29">
        <f t="shared" si="217"/>
        <v>5000</v>
      </c>
      <c r="H450" s="29">
        <f t="shared" si="217"/>
        <v>0</v>
      </c>
      <c r="I450" s="29">
        <f t="shared" si="217"/>
        <v>0</v>
      </c>
      <c r="J450" s="29">
        <f t="shared" si="217"/>
        <v>0</v>
      </c>
      <c r="K450" s="29">
        <f t="shared" si="217"/>
        <v>0</v>
      </c>
      <c r="L450" s="29">
        <f t="shared" si="217"/>
        <v>0</v>
      </c>
      <c r="M450" s="29">
        <f t="shared" si="217"/>
        <v>0</v>
      </c>
      <c r="N450" s="29">
        <f t="shared" si="217"/>
        <v>0</v>
      </c>
      <c r="O450" s="29">
        <f t="shared" si="217"/>
        <v>0</v>
      </c>
      <c r="P450" s="28" t="s">
        <v>1196</v>
      </c>
      <c r="Q450" s="30" t="s">
        <v>36</v>
      </c>
      <c r="R450" s="31" t="s">
        <v>1197</v>
      </c>
    </row>
    <row r="451" spans="1:18" ht="46.5" x14ac:dyDescent="0.25">
      <c r="A451" s="39"/>
      <c r="B451" s="40"/>
      <c r="C451" s="41"/>
      <c r="D451" s="41"/>
      <c r="E451" s="41"/>
      <c r="F451" s="42">
        <v>0</v>
      </c>
      <c r="G451" s="42">
        <v>0</v>
      </c>
      <c r="H451" s="42">
        <v>0</v>
      </c>
      <c r="I451" s="42">
        <v>0</v>
      </c>
      <c r="J451" s="42">
        <v>0</v>
      </c>
      <c r="K451" s="42">
        <v>0</v>
      </c>
      <c r="L451" s="42">
        <v>0</v>
      </c>
      <c r="M451" s="42">
        <v>0</v>
      </c>
      <c r="N451" s="42">
        <v>0</v>
      </c>
      <c r="O451" s="42">
        <v>0</v>
      </c>
      <c r="P451" s="41" t="s">
        <v>1198</v>
      </c>
      <c r="Q451" s="43" t="s">
        <v>36</v>
      </c>
      <c r="R451" s="44" t="s">
        <v>1199</v>
      </c>
    </row>
    <row r="452" spans="1:18" ht="116.25" x14ac:dyDescent="0.25">
      <c r="A452" s="32" t="s">
        <v>1200</v>
      </c>
      <c r="B452" s="33" t="s">
        <v>1201</v>
      </c>
      <c r="C452" s="34" t="s">
        <v>261</v>
      </c>
      <c r="D452" s="34" t="s">
        <v>286</v>
      </c>
      <c r="E452" s="34" t="s">
        <v>41</v>
      </c>
      <c r="F452" s="35">
        <f>SUM(F453:F453)+5000</f>
        <v>5000</v>
      </c>
      <c r="G452" s="35">
        <f>SUM(G453:G453)+5000</f>
        <v>5000</v>
      </c>
      <c r="H452" s="35">
        <f t="shared" ref="H452:O452" si="218">SUM(H453:H453)</f>
        <v>0</v>
      </c>
      <c r="I452" s="35">
        <f t="shared" si="218"/>
        <v>0</v>
      </c>
      <c r="J452" s="35">
        <f t="shared" si="218"/>
        <v>0</v>
      </c>
      <c r="K452" s="35">
        <f t="shared" si="218"/>
        <v>0</v>
      </c>
      <c r="L452" s="35">
        <f t="shared" si="218"/>
        <v>0</v>
      </c>
      <c r="M452" s="35">
        <f t="shared" si="218"/>
        <v>0</v>
      </c>
      <c r="N452" s="35">
        <f t="shared" si="218"/>
        <v>0</v>
      </c>
      <c r="O452" s="35">
        <f t="shared" si="218"/>
        <v>0</v>
      </c>
      <c r="P452" s="34" t="s">
        <v>1202</v>
      </c>
      <c r="Q452" s="36" t="s">
        <v>36</v>
      </c>
      <c r="R452" s="37" t="s">
        <v>251</v>
      </c>
    </row>
    <row r="453" spans="1:18" ht="93" x14ac:dyDescent="0.25">
      <c r="A453" s="32" t="s">
        <v>1203</v>
      </c>
      <c r="B453" s="33" t="s">
        <v>1204</v>
      </c>
      <c r="C453" s="34"/>
      <c r="D453" s="34"/>
      <c r="E453" s="34"/>
      <c r="F453" s="38">
        <v>0</v>
      </c>
      <c r="G453" s="38">
        <v>0</v>
      </c>
      <c r="H453" s="38">
        <v>0</v>
      </c>
      <c r="I453" s="38">
        <v>0</v>
      </c>
      <c r="J453" s="38">
        <v>0</v>
      </c>
      <c r="K453" s="38">
        <v>0</v>
      </c>
      <c r="L453" s="38">
        <v>0</v>
      </c>
      <c r="M453" s="38">
        <v>0</v>
      </c>
      <c r="N453" s="38">
        <v>0</v>
      </c>
      <c r="O453" s="38">
        <v>0</v>
      </c>
      <c r="P453" s="34"/>
      <c r="Q453" s="36"/>
      <c r="R453" s="37"/>
    </row>
    <row r="454" spans="1:18" ht="90" x14ac:dyDescent="0.25">
      <c r="A454" s="20" t="s">
        <v>1205</v>
      </c>
      <c r="B454" s="21" t="s">
        <v>1206</v>
      </c>
      <c r="C454" s="22" t="s">
        <v>261</v>
      </c>
      <c r="D454" s="22" t="s">
        <v>286</v>
      </c>
      <c r="E454" s="22"/>
      <c r="F454" s="23">
        <f t="shared" ref="F454:O454" si="219">F455+F456+F463+F466</f>
        <v>421336</v>
      </c>
      <c r="G454" s="23">
        <f t="shared" si="219"/>
        <v>421336</v>
      </c>
      <c r="H454" s="23">
        <f t="shared" si="219"/>
        <v>0</v>
      </c>
      <c r="I454" s="23">
        <f t="shared" si="219"/>
        <v>0</v>
      </c>
      <c r="J454" s="23">
        <f t="shared" si="219"/>
        <v>0</v>
      </c>
      <c r="K454" s="23">
        <f t="shared" si="219"/>
        <v>0</v>
      </c>
      <c r="L454" s="23">
        <f t="shared" si="219"/>
        <v>0</v>
      </c>
      <c r="M454" s="23">
        <f t="shared" si="219"/>
        <v>0</v>
      </c>
      <c r="N454" s="23">
        <f t="shared" si="219"/>
        <v>0</v>
      </c>
      <c r="O454" s="23">
        <f t="shared" si="219"/>
        <v>0</v>
      </c>
      <c r="P454" s="22" t="s">
        <v>1207</v>
      </c>
      <c r="Q454" s="24" t="s">
        <v>30</v>
      </c>
      <c r="R454" s="25" t="s">
        <v>168</v>
      </c>
    </row>
    <row r="455" spans="1:18" ht="46.5" x14ac:dyDescent="0.25">
      <c r="A455" s="39"/>
      <c r="B455" s="40"/>
      <c r="C455" s="41"/>
      <c r="D455" s="41"/>
      <c r="E455" s="41"/>
      <c r="F455" s="42">
        <v>0</v>
      </c>
      <c r="G455" s="42">
        <v>0</v>
      </c>
      <c r="H455" s="42">
        <v>0</v>
      </c>
      <c r="I455" s="42">
        <v>0</v>
      </c>
      <c r="J455" s="42">
        <v>0</v>
      </c>
      <c r="K455" s="42">
        <v>0</v>
      </c>
      <c r="L455" s="42">
        <v>0</v>
      </c>
      <c r="M455" s="42">
        <v>0</v>
      </c>
      <c r="N455" s="42">
        <v>0</v>
      </c>
      <c r="O455" s="42">
        <v>0</v>
      </c>
      <c r="P455" s="41" t="s">
        <v>1208</v>
      </c>
      <c r="Q455" s="43" t="s">
        <v>30</v>
      </c>
      <c r="R455" s="44" t="s">
        <v>1209</v>
      </c>
    </row>
    <row r="456" spans="1:18" ht="90" x14ac:dyDescent="0.25">
      <c r="A456" s="26" t="s">
        <v>1210</v>
      </c>
      <c r="B456" s="27" t="s">
        <v>1211</v>
      </c>
      <c r="C456" s="28" t="s">
        <v>261</v>
      </c>
      <c r="D456" s="28" t="s">
        <v>286</v>
      </c>
      <c r="E456" s="28" t="s">
        <v>34</v>
      </c>
      <c r="F456" s="29">
        <f t="shared" ref="F456:O456" si="220">F457+F459+F461</f>
        <v>401336</v>
      </c>
      <c r="G456" s="29">
        <f t="shared" si="220"/>
        <v>401336</v>
      </c>
      <c r="H456" s="29">
        <f t="shared" si="220"/>
        <v>0</v>
      </c>
      <c r="I456" s="29">
        <f t="shared" si="220"/>
        <v>0</v>
      </c>
      <c r="J456" s="29">
        <f t="shared" si="220"/>
        <v>0</v>
      </c>
      <c r="K456" s="29">
        <f t="shared" si="220"/>
        <v>0</v>
      </c>
      <c r="L456" s="29">
        <f t="shared" si="220"/>
        <v>0</v>
      </c>
      <c r="M456" s="29">
        <f t="shared" si="220"/>
        <v>0</v>
      </c>
      <c r="N456" s="29">
        <f t="shared" si="220"/>
        <v>0</v>
      </c>
      <c r="O456" s="29">
        <f t="shared" si="220"/>
        <v>0</v>
      </c>
      <c r="P456" s="28" t="s">
        <v>1212</v>
      </c>
      <c r="Q456" s="30" t="s">
        <v>36</v>
      </c>
      <c r="R456" s="31" t="s">
        <v>48</v>
      </c>
    </row>
    <row r="457" spans="1:18" ht="69.75" x14ac:dyDescent="0.25">
      <c r="A457" s="32" t="s">
        <v>1213</v>
      </c>
      <c r="B457" s="33" t="s">
        <v>1214</v>
      </c>
      <c r="C457" s="34" t="s">
        <v>261</v>
      </c>
      <c r="D457" s="34" t="s">
        <v>989</v>
      </c>
      <c r="E457" s="34" t="s">
        <v>41</v>
      </c>
      <c r="F457" s="35">
        <f>SUM(F458:F458)+38000</f>
        <v>38000</v>
      </c>
      <c r="G457" s="35">
        <f>SUM(G458:G458)+38000</f>
        <v>38000</v>
      </c>
      <c r="H457" s="35">
        <f t="shared" ref="H457:O457" si="221">SUM(H458:H458)</f>
        <v>0</v>
      </c>
      <c r="I457" s="35">
        <f t="shared" si="221"/>
        <v>0</v>
      </c>
      <c r="J457" s="35">
        <f t="shared" si="221"/>
        <v>0</v>
      </c>
      <c r="K457" s="35">
        <f t="shared" si="221"/>
        <v>0</v>
      </c>
      <c r="L457" s="35">
        <f t="shared" si="221"/>
        <v>0</v>
      </c>
      <c r="M457" s="35">
        <f t="shared" si="221"/>
        <v>0</v>
      </c>
      <c r="N457" s="35">
        <f t="shared" si="221"/>
        <v>0</v>
      </c>
      <c r="O457" s="35">
        <f t="shared" si="221"/>
        <v>0</v>
      </c>
      <c r="P457" s="34" t="s">
        <v>1215</v>
      </c>
      <c r="Q457" s="36" t="s">
        <v>36</v>
      </c>
      <c r="R457" s="37" t="s">
        <v>37</v>
      </c>
    </row>
    <row r="458" spans="1:18" ht="69.75" x14ac:dyDescent="0.25">
      <c r="A458" s="32" t="s">
        <v>1216</v>
      </c>
      <c r="B458" s="33" t="s">
        <v>1217</v>
      </c>
      <c r="C458" s="34"/>
      <c r="D458" s="34"/>
      <c r="E458" s="34"/>
      <c r="F458" s="38">
        <v>0</v>
      </c>
      <c r="G458" s="38">
        <v>0</v>
      </c>
      <c r="H458" s="38">
        <v>0</v>
      </c>
      <c r="I458" s="38">
        <v>0</v>
      </c>
      <c r="J458" s="38">
        <v>0</v>
      </c>
      <c r="K458" s="38">
        <v>0</v>
      </c>
      <c r="L458" s="38">
        <v>0</v>
      </c>
      <c r="M458" s="38">
        <v>0</v>
      </c>
      <c r="N458" s="38">
        <v>0</v>
      </c>
      <c r="O458" s="38">
        <v>0</v>
      </c>
      <c r="P458" s="34"/>
      <c r="Q458" s="36"/>
      <c r="R458" s="37"/>
    </row>
    <row r="459" spans="1:18" ht="46.5" x14ac:dyDescent="0.25">
      <c r="A459" s="32" t="s">
        <v>1218</v>
      </c>
      <c r="B459" s="33" t="s">
        <v>1219</v>
      </c>
      <c r="C459" s="34" t="s">
        <v>261</v>
      </c>
      <c r="D459" s="34" t="s">
        <v>989</v>
      </c>
      <c r="E459" s="34" t="s">
        <v>41</v>
      </c>
      <c r="F459" s="35">
        <f>SUM(F460:F460)+122000</f>
        <v>122000</v>
      </c>
      <c r="G459" s="35">
        <f>SUM(G460:G460)+122000</f>
        <v>122000</v>
      </c>
      <c r="H459" s="35">
        <f t="shared" ref="H459:O459" si="222">SUM(H460:H460)</f>
        <v>0</v>
      </c>
      <c r="I459" s="35">
        <f t="shared" si="222"/>
        <v>0</v>
      </c>
      <c r="J459" s="35">
        <f t="shared" si="222"/>
        <v>0</v>
      </c>
      <c r="K459" s="35">
        <f t="shared" si="222"/>
        <v>0</v>
      </c>
      <c r="L459" s="35">
        <f t="shared" si="222"/>
        <v>0</v>
      </c>
      <c r="M459" s="35">
        <f t="shared" si="222"/>
        <v>0</v>
      </c>
      <c r="N459" s="35">
        <f t="shared" si="222"/>
        <v>0</v>
      </c>
      <c r="O459" s="35">
        <f t="shared" si="222"/>
        <v>0</v>
      </c>
      <c r="P459" s="34" t="s">
        <v>1220</v>
      </c>
      <c r="Q459" s="36" t="s">
        <v>36</v>
      </c>
      <c r="R459" s="37" t="s">
        <v>62</v>
      </c>
    </row>
    <row r="460" spans="1:18" ht="116.25" x14ac:dyDescent="0.25">
      <c r="A460" s="32" t="s">
        <v>1221</v>
      </c>
      <c r="B460" s="33" t="s">
        <v>1222</v>
      </c>
      <c r="C460" s="34"/>
      <c r="D460" s="34"/>
      <c r="E460" s="34"/>
      <c r="F460" s="38">
        <v>0</v>
      </c>
      <c r="G460" s="38">
        <v>0</v>
      </c>
      <c r="H460" s="38">
        <v>0</v>
      </c>
      <c r="I460" s="38">
        <v>0</v>
      </c>
      <c r="J460" s="38">
        <v>0</v>
      </c>
      <c r="K460" s="38">
        <v>0</v>
      </c>
      <c r="L460" s="38">
        <v>0</v>
      </c>
      <c r="M460" s="38">
        <v>0</v>
      </c>
      <c r="N460" s="38">
        <v>0</v>
      </c>
      <c r="O460" s="38">
        <v>0</v>
      </c>
      <c r="P460" s="34"/>
      <c r="Q460" s="36"/>
      <c r="R460" s="37"/>
    </row>
    <row r="461" spans="1:18" ht="46.5" x14ac:dyDescent="0.25">
      <c r="A461" s="32" t="s">
        <v>1223</v>
      </c>
      <c r="B461" s="33" t="s">
        <v>1224</v>
      </c>
      <c r="C461" s="34" t="s">
        <v>261</v>
      </c>
      <c r="D461" s="34" t="s">
        <v>286</v>
      </c>
      <c r="E461" s="34" t="s">
        <v>41</v>
      </c>
      <c r="F461" s="35">
        <f>SUM(F462:F462)+241336</f>
        <v>241336</v>
      </c>
      <c r="G461" s="35">
        <f>SUM(G462:G462)+241336</f>
        <v>241336</v>
      </c>
      <c r="H461" s="35">
        <f t="shared" ref="H461:O461" si="223">SUM(H462:H462)</f>
        <v>0</v>
      </c>
      <c r="I461" s="35">
        <f t="shared" si="223"/>
        <v>0</v>
      </c>
      <c r="J461" s="35">
        <f t="shared" si="223"/>
        <v>0</v>
      </c>
      <c r="K461" s="35">
        <f t="shared" si="223"/>
        <v>0</v>
      </c>
      <c r="L461" s="35">
        <f t="shared" si="223"/>
        <v>0</v>
      </c>
      <c r="M461" s="35">
        <f t="shared" si="223"/>
        <v>0</v>
      </c>
      <c r="N461" s="35">
        <f t="shared" si="223"/>
        <v>0</v>
      </c>
      <c r="O461" s="35">
        <f t="shared" si="223"/>
        <v>0</v>
      </c>
      <c r="P461" s="34" t="s">
        <v>1225</v>
      </c>
      <c r="Q461" s="36" t="s">
        <v>36</v>
      </c>
      <c r="R461" s="37" t="s">
        <v>62</v>
      </c>
    </row>
    <row r="462" spans="1:18" ht="46.5" x14ac:dyDescent="0.25">
      <c r="A462" s="32" t="s">
        <v>1226</v>
      </c>
      <c r="B462" s="33" t="s">
        <v>1227</v>
      </c>
      <c r="C462" s="34"/>
      <c r="D462" s="34"/>
      <c r="E462" s="34"/>
      <c r="F462" s="38">
        <v>0</v>
      </c>
      <c r="G462" s="38">
        <v>0</v>
      </c>
      <c r="H462" s="38">
        <v>0</v>
      </c>
      <c r="I462" s="38">
        <v>0</v>
      </c>
      <c r="J462" s="38">
        <v>0</v>
      </c>
      <c r="K462" s="38">
        <v>0</v>
      </c>
      <c r="L462" s="38">
        <v>0</v>
      </c>
      <c r="M462" s="38">
        <v>0</v>
      </c>
      <c r="N462" s="38">
        <v>0</v>
      </c>
      <c r="O462" s="38">
        <v>0</v>
      </c>
      <c r="P462" s="34"/>
      <c r="Q462" s="36"/>
      <c r="R462" s="37"/>
    </row>
    <row r="463" spans="1:18" ht="67.5" x14ac:dyDescent="0.25">
      <c r="A463" s="26" t="s">
        <v>1228</v>
      </c>
      <c r="B463" s="27" t="s">
        <v>1229</v>
      </c>
      <c r="C463" s="28" t="s">
        <v>261</v>
      </c>
      <c r="D463" s="28" t="s">
        <v>286</v>
      </c>
      <c r="E463" s="28" t="s">
        <v>34</v>
      </c>
      <c r="F463" s="29">
        <f t="shared" ref="F463:O463" si="224">SUM(F464:F464)</f>
        <v>15000</v>
      </c>
      <c r="G463" s="29">
        <f t="shared" si="224"/>
        <v>15000</v>
      </c>
      <c r="H463" s="29">
        <f t="shared" si="224"/>
        <v>0</v>
      </c>
      <c r="I463" s="29">
        <f t="shared" si="224"/>
        <v>0</v>
      </c>
      <c r="J463" s="29">
        <f t="shared" si="224"/>
        <v>0</v>
      </c>
      <c r="K463" s="29">
        <f t="shared" si="224"/>
        <v>0</v>
      </c>
      <c r="L463" s="29">
        <f t="shared" si="224"/>
        <v>0</v>
      </c>
      <c r="M463" s="29">
        <f t="shared" si="224"/>
        <v>0</v>
      </c>
      <c r="N463" s="29">
        <f t="shared" si="224"/>
        <v>0</v>
      </c>
      <c r="O463" s="29">
        <f t="shared" si="224"/>
        <v>0</v>
      </c>
      <c r="P463" s="28" t="s">
        <v>1230</v>
      </c>
      <c r="Q463" s="30" t="s">
        <v>356</v>
      </c>
      <c r="R463" s="31" t="s">
        <v>48</v>
      </c>
    </row>
    <row r="464" spans="1:18" ht="93" x14ac:dyDescent="0.25">
      <c r="A464" s="32" t="s">
        <v>1231</v>
      </c>
      <c r="B464" s="33" t="s">
        <v>1232</v>
      </c>
      <c r="C464" s="34" t="s">
        <v>261</v>
      </c>
      <c r="D464" s="34" t="s">
        <v>286</v>
      </c>
      <c r="E464" s="34" t="s">
        <v>41</v>
      </c>
      <c r="F464" s="35">
        <f>SUM(F465:F465)+15000</f>
        <v>15000</v>
      </c>
      <c r="G464" s="35">
        <f>SUM(G465:G465)+15000</f>
        <v>15000</v>
      </c>
      <c r="H464" s="35">
        <f t="shared" ref="H464:O464" si="225">SUM(H465:H465)</f>
        <v>0</v>
      </c>
      <c r="I464" s="35">
        <f t="shared" si="225"/>
        <v>0</v>
      </c>
      <c r="J464" s="35">
        <f t="shared" si="225"/>
        <v>0</v>
      </c>
      <c r="K464" s="35">
        <f t="shared" si="225"/>
        <v>0</v>
      </c>
      <c r="L464" s="35">
        <f t="shared" si="225"/>
        <v>0</v>
      </c>
      <c r="M464" s="35">
        <f t="shared" si="225"/>
        <v>0</v>
      </c>
      <c r="N464" s="35">
        <f t="shared" si="225"/>
        <v>0</v>
      </c>
      <c r="O464" s="35">
        <f t="shared" si="225"/>
        <v>0</v>
      </c>
      <c r="P464" s="34" t="s">
        <v>1233</v>
      </c>
      <c r="Q464" s="36" t="s">
        <v>36</v>
      </c>
      <c r="R464" s="37" t="s">
        <v>48</v>
      </c>
    </row>
    <row r="465" spans="1:18" ht="46.5" x14ac:dyDescent="0.25">
      <c r="A465" s="32" t="s">
        <v>1234</v>
      </c>
      <c r="B465" s="33" t="s">
        <v>1235</v>
      </c>
      <c r="C465" s="34"/>
      <c r="D465" s="34"/>
      <c r="E465" s="34"/>
      <c r="F465" s="38">
        <v>0</v>
      </c>
      <c r="G465" s="38">
        <v>0</v>
      </c>
      <c r="H465" s="38">
        <v>0</v>
      </c>
      <c r="I465" s="38">
        <v>0</v>
      </c>
      <c r="J465" s="38">
        <v>0</v>
      </c>
      <c r="K465" s="38">
        <v>0</v>
      </c>
      <c r="L465" s="38">
        <v>0</v>
      </c>
      <c r="M465" s="38">
        <v>0</v>
      </c>
      <c r="N465" s="38">
        <v>0</v>
      </c>
      <c r="O465" s="38">
        <v>0</v>
      </c>
      <c r="P465" s="34"/>
      <c r="Q465" s="36"/>
      <c r="R465" s="37"/>
    </row>
    <row r="466" spans="1:18" ht="67.5" x14ac:dyDescent="0.25">
      <c r="A466" s="26" t="s">
        <v>1236</v>
      </c>
      <c r="B466" s="27" t="s">
        <v>1237</v>
      </c>
      <c r="C466" s="28" t="s">
        <v>261</v>
      </c>
      <c r="D466" s="28" t="s">
        <v>989</v>
      </c>
      <c r="E466" s="28" t="s">
        <v>34</v>
      </c>
      <c r="F466" s="29">
        <f t="shared" ref="F466:O466" si="226">SUM(F467:F467)</f>
        <v>5000</v>
      </c>
      <c r="G466" s="29">
        <f t="shared" si="226"/>
        <v>5000</v>
      </c>
      <c r="H466" s="29">
        <f t="shared" si="226"/>
        <v>0</v>
      </c>
      <c r="I466" s="29">
        <f t="shared" si="226"/>
        <v>0</v>
      </c>
      <c r="J466" s="29">
        <f t="shared" si="226"/>
        <v>0</v>
      </c>
      <c r="K466" s="29">
        <f t="shared" si="226"/>
        <v>0</v>
      </c>
      <c r="L466" s="29">
        <f t="shared" si="226"/>
        <v>0</v>
      </c>
      <c r="M466" s="29">
        <f t="shared" si="226"/>
        <v>0</v>
      </c>
      <c r="N466" s="29">
        <f t="shared" si="226"/>
        <v>0</v>
      </c>
      <c r="O466" s="29">
        <f t="shared" si="226"/>
        <v>0</v>
      </c>
      <c r="P466" s="28" t="s">
        <v>1238</v>
      </c>
      <c r="Q466" s="30" t="s">
        <v>36</v>
      </c>
      <c r="R466" s="31" t="s">
        <v>37</v>
      </c>
    </row>
    <row r="467" spans="1:18" ht="46.5" x14ac:dyDescent="0.25">
      <c r="A467" s="32" t="s">
        <v>1239</v>
      </c>
      <c r="B467" s="33" t="s">
        <v>1240</v>
      </c>
      <c r="C467" s="34" t="s">
        <v>261</v>
      </c>
      <c r="D467" s="34" t="s">
        <v>989</v>
      </c>
      <c r="E467" s="34" t="s">
        <v>41</v>
      </c>
      <c r="F467" s="35">
        <f>SUM(F468:F468)+5000</f>
        <v>5000</v>
      </c>
      <c r="G467" s="35">
        <f>SUM(G468:G468)+5000</f>
        <v>5000</v>
      </c>
      <c r="H467" s="35">
        <f t="shared" ref="H467:O467" si="227">SUM(H468:H468)</f>
        <v>0</v>
      </c>
      <c r="I467" s="35">
        <f t="shared" si="227"/>
        <v>0</v>
      </c>
      <c r="J467" s="35">
        <f t="shared" si="227"/>
        <v>0</v>
      </c>
      <c r="K467" s="35">
        <f t="shared" si="227"/>
        <v>0</v>
      </c>
      <c r="L467" s="35">
        <f t="shared" si="227"/>
        <v>0</v>
      </c>
      <c r="M467" s="35">
        <f t="shared" si="227"/>
        <v>0</v>
      </c>
      <c r="N467" s="35">
        <f t="shared" si="227"/>
        <v>0</v>
      </c>
      <c r="O467" s="35">
        <f t="shared" si="227"/>
        <v>0</v>
      </c>
      <c r="P467" s="34" t="s">
        <v>1241</v>
      </c>
      <c r="Q467" s="36" t="s">
        <v>356</v>
      </c>
      <c r="R467" s="37" t="s">
        <v>37</v>
      </c>
    </row>
    <row r="468" spans="1:18" ht="46.5" x14ac:dyDescent="0.25">
      <c r="A468" s="32" t="s">
        <v>1242</v>
      </c>
      <c r="B468" s="33" t="s">
        <v>1243</v>
      </c>
      <c r="C468" s="34"/>
      <c r="D468" s="34"/>
      <c r="E468" s="34"/>
      <c r="F468" s="38">
        <v>0</v>
      </c>
      <c r="G468" s="38">
        <v>0</v>
      </c>
      <c r="H468" s="38">
        <v>0</v>
      </c>
      <c r="I468" s="38">
        <v>0</v>
      </c>
      <c r="J468" s="38">
        <v>0</v>
      </c>
      <c r="K468" s="38">
        <v>0</v>
      </c>
      <c r="L468" s="38">
        <v>0</v>
      </c>
      <c r="M468" s="38">
        <v>0</v>
      </c>
      <c r="N468" s="38">
        <v>0</v>
      </c>
      <c r="O468" s="38">
        <v>0</v>
      </c>
      <c r="P468" s="34"/>
      <c r="Q468" s="36"/>
      <c r="R468" s="37"/>
    </row>
    <row r="469" spans="1:18" ht="45" x14ac:dyDescent="0.25">
      <c r="A469" s="20" t="s">
        <v>1244</v>
      </c>
      <c r="B469" s="21" t="s">
        <v>1245</v>
      </c>
      <c r="C469" s="22" t="s">
        <v>261</v>
      </c>
      <c r="D469" s="22" t="s">
        <v>265</v>
      </c>
      <c r="E469" s="22"/>
      <c r="F469" s="23">
        <f t="shared" ref="F469:O469" si="228">F470+F504+F507+F510+F515+F520</f>
        <v>4438322.53</v>
      </c>
      <c r="G469" s="23">
        <f t="shared" si="228"/>
        <v>2580366.3000000003</v>
      </c>
      <c r="H469" s="23">
        <f t="shared" si="228"/>
        <v>21856.23</v>
      </c>
      <c r="I469" s="23">
        <f t="shared" si="228"/>
        <v>0</v>
      </c>
      <c r="J469" s="23">
        <f t="shared" si="228"/>
        <v>0</v>
      </c>
      <c r="K469" s="23">
        <f t="shared" si="228"/>
        <v>0</v>
      </c>
      <c r="L469" s="23">
        <f t="shared" si="228"/>
        <v>0</v>
      </c>
      <c r="M469" s="23">
        <f t="shared" si="228"/>
        <v>1836100</v>
      </c>
      <c r="N469" s="23">
        <f t="shared" si="228"/>
        <v>0</v>
      </c>
      <c r="O469" s="23">
        <f t="shared" si="228"/>
        <v>0</v>
      </c>
      <c r="P469" s="22" t="s">
        <v>1246</v>
      </c>
      <c r="Q469" s="24" t="s">
        <v>30</v>
      </c>
      <c r="R469" s="25" t="s">
        <v>352</v>
      </c>
    </row>
    <row r="470" spans="1:18" ht="90" x14ac:dyDescent="0.25">
      <c r="A470" s="26" t="s">
        <v>1247</v>
      </c>
      <c r="B470" s="27" t="s">
        <v>1248</v>
      </c>
      <c r="C470" s="28" t="s">
        <v>261</v>
      </c>
      <c r="D470" s="28" t="s">
        <v>265</v>
      </c>
      <c r="E470" s="28" t="s">
        <v>34</v>
      </c>
      <c r="F470" s="29">
        <f t="shared" ref="F470:O470" si="229">F471+F474+F476+F478+F480+F482+F484+F486+F488+F490+F492+F494+F496+F498+F500+F502</f>
        <v>3764302.5300000003</v>
      </c>
      <c r="G470" s="29">
        <f t="shared" si="229"/>
        <v>1924552.53</v>
      </c>
      <c r="H470" s="29">
        <f t="shared" si="229"/>
        <v>3650</v>
      </c>
      <c r="I470" s="29">
        <f t="shared" si="229"/>
        <v>0</v>
      </c>
      <c r="J470" s="29">
        <f t="shared" si="229"/>
        <v>0</v>
      </c>
      <c r="K470" s="29">
        <f t="shared" si="229"/>
        <v>0</v>
      </c>
      <c r="L470" s="29">
        <f t="shared" si="229"/>
        <v>0</v>
      </c>
      <c r="M470" s="29">
        <f t="shared" si="229"/>
        <v>1836100</v>
      </c>
      <c r="N470" s="29">
        <f t="shared" si="229"/>
        <v>0</v>
      </c>
      <c r="O470" s="29">
        <f t="shared" si="229"/>
        <v>0</v>
      </c>
      <c r="P470" s="28" t="s">
        <v>1249</v>
      </c>
      <c r="Q470" s="30" t="s">
        <v>356</v>
      </c>
      <c r="R470" s="31" t="s">
        <v>186</v>
      </c>
    </row>
    <row r="471" spans="1:18" ht="116.25" x14ac:dyDescent="0.25">
      <c r="A471" s="32" t="s">
        <v>1250</v>
      </c>
      <c r="B471" s="33" t="s">
        <v>1251</v>
      </c>
      <c r="C471" s="34" t="s">
        <v>261</v>
      </c>
      <c r="D471" s="34" t="s">
        <v>286</v>
      </c>
      <c r="E471" s="34" t="s">
        <v>41</v>
      </c>
      <c r="F471" s="35">
        <f>SUM(F472:F473)+2841440.45</f>
        <v>2841440.45</v>
      </c>
      <c r="G471" s="35">
        <f>SUM(G472:G473)+1001690.45</f>
        <v>1001690.45</v>
      </c>
      <c r="H471" s="35">
        <f>SUM(H472:H473)+3650</f>
        <v>3650</v>
      </c>
      <c r="I471" s="35">
        <f>SUM(I472:I473)</f>
        <v>0</v>
      </c>
      <c r="J471" s="35">
        <f>SUM(J472:J473)</f>
        <v>0</v>
      </c>
      <c r="K471" s="35">
        <f>SUM(K472:K473)</f>
        <v>0</v>
      </c>
      <c r="L471" s="35">
        <f>SUM(L472:L473)</f>
        <v>0</v>
      </c>
      <c r="M471" s="35">
        <f>SUM(M472:M473)+1836100</f>
        <v>1836100</v>
      </c>
      <c r="N471" s="35">
        <f>SUM(N472:N473)</f>
        <v>0</v>
      </c>
      <c r="O471" s="35">
        <f>SUM(O472:O473)</f>
        <v>0</v>
      </c>
      <c r="P471" s="34" t="s">
        <v>1252</v>
      </c>
      <c r="Q471" s="36" t="s">
        <v>356</v>
      </c>
      <c r="R471" s="37" t="s">
        <v>1253</v>
      </c>
    </row>
    <row r="472" spans="1:18" ht="46.5" x14ac:dyDescent="0.25">
      <c r="A472" s="39"/>
      <c r="B472" s="40"/>
      <c r="C472" s="41"/>
      <c r="D472" s="41"/>
      <c r="E472" s="41"/>
      <c r="F472" s="42">
        <v>0</v>
      </c>
      <c r="G472" s="42">
        <v>0</v>
      </c>
      <c r="H472" s="42">
        <v>0</v>
      </c>
      <c r="I472" s="42">
        <v>0</v>
      </c>
      <c r="J472" s="42">
        <v>0</v>
      </c>
      <c r="K472" s="42">
        <v>0</v>
      </c>
      <c r="L472" s="42">
        <v>0</v>
      </c>
      <c r="M472" s="42">
        <v>0</v>
      </c>
      <c r="N472" s="42">
        <v>0</v>
      </c>
      <c r="O472" s="42">
        <v>0</v>
      </c>
      <c r="P472" s="41" t="s">
        <v>1254</v>
      </c>
      <c r="Q472" s="43" t="s">
        <v>36</v>
      </c>
      <c r="R472" s="44" t="s">
        <v>186</v>
      </c>
    </row>
    <row r="473" spans="1:18" ht="232.5" x14ac:dyDescent="0.25">
      <c r="A473" s="32" t="s">
        <v>1255</v>
      </c>
      <c r="B473" s="33" t="s">
        <v>1256</v>
      </c>
      <c r="C473" s="34"/>
      <c r="D473" s="34"/>
      <c r="E473" s="34"/>
      <c r="F473" s="38">
        <v>0</v>
      </c>
      <c r="G473" s="38">
        <v>0</v>
      </c>
      <c r="H473" s="38">
        <v>0</v>
      </c>
      <c r="I473" s="38">
        <v>0</v>
      </c>
      <c r="J473" s="38">
        <v>0</v>
      </c>
      <c r="K473" s="38">
        <v>0</v>
      </c>
      <c r="L473" s="38">
        <v>0</v>
      </c>
      <c r="M473" s="38">
        <v>0</v>
      </c>
      <c r="N473" s="38">
        <v>0</v>
      </c>
      <c r="O473" s="38">
        <v>0</v>
      </c>
      <c r="P473" s="34"/>
      <c r="Q473" s="36"/>
      <c r="R473" s="37"/>
    </row>
    <row r="474" spans="1:18" ht="69.75" x14ac:dyDescent="0.25">
      <c r="A474" s="32" t="s">
        <v>1257</v>
      </c>
      <c r="B474" s="33" t="s">
        <v>1258</v>
      </c>
      <c r="C474" s="34" t="s">
        <v>778</v>
      </c>
      <c r="D474" s="34" t="s">
        <v>779</v>
      </c>
      <c r="E474" s="34" t="s">
        <v>41</v>
      </c>
      <c r="F474" s="35">
        <f>SUM(F475:F475)+28370</f>
        <v>28370</v>
      </c>
      <c r="G474" s="35">
        <f>SUM(G475:G475)+28370</f>
        <v>28370</v>
      </c>
      <c r="H474" s="35">
        <f t="shared" ref="H474:O474" si="230">SUM(H475:H475)</f>
        <v>0</v>
      </c>
      <c r="I474" s="35">
        <f t="shared" si="230"/>
        <v>0</v>
      </c>
      <c r="J474" s="35">
        <f t="shared" si="230"/>
        <v>0</v>
      </c>
      <c r="K474" s="35">
        <f t="shared" si="230"/>
        <v>0</v>
      </c>
      <c r="L474" s="35">
        <f t="shared" si="230"/>
        <v>0</v>
      </c>
      <c r="M474" s="35">
        <f t="shared" si="230"/>
        <v>0</v>
      </c>
      <c r="N474" s="35">
        <f t="shared" si="230"/>
        <v>0</v>
      </c>
      <c r="O474" s="35">
        <f t="shared" si="230"/>
        <v>0</v>
      </c>
      <c r="P474" s="34" t="s">
        <v>1259</v>
      </c>
      <c r="Q474" s="36" t="s">
        <v>356</v>
      </c>
      <c r="R474" s="37" t="s">
        <v>1260</v>
      </c>
    </row>
    <row r="475" spans="1:18" ht="46.5" x14ac:dyDescent="0.25">
      <c r="A475" s="32" t="s">
        <v>1261</v>
      </c>
      <c r="B475" s="33" t="s">
        <v>1262</v>
      </c>
      <c r="C475" s="34"/>
      <c r="D475" s="34"/>
      <c r="E475" s="34"/>
      <c r="F475" s="38">
        <v>0</v>
      </c>
      <c r="G475" s="38">
        <v>0</v>
      </c>
      <c r="H475" s="38">
        <v>0</v>
      </c>
      <c r="I475" s="38">
        <v>0</v>
      </c>
      <c r="J475" s="38">
        <v>0</v>
      </c>
      <c r="K475" s="38">
        <v>0</v>
      </c>
      <c r="L475" s="38">
        <v>0</v>
      </c>
      <c r="M475" s="38">
        <v>0</v>
      </c>
      <c r="N475" s="38">
        <v>0</v>
      </c>
      <c r="O475" s="38">
        <v>0</v>
      </c>
      <c r="P475" s="34"/>
      <c r="Q475" s="36"/>
      <c r="R475" s="37"/>
    </row>
    <row r="476" spans="1:18" ht="69.75" x14ac:dyDescent="0.25">
      <c r="A476" s="32" t="s">
        <v>1263</v>
      </c>
      <c r="B476" s="33" t="s">
        <v>1264</v>
      </c>
      <c r="C476" s="34" t="s">
        <v>787</v>
      </c>
      <c r="D476" s="34" t="s">
        <v>788</v>
      </c>
      <c r="E476" s="34" t="s">
        <v>41</v>
      </c>
      <c r="F476" s="35">
        <f>SUM(F477:F477)+25310</f>
        <v>25310</v>
      </c>
      <c r="G476" s="35">
        <f>SUM(G477:G477)+25310</f>
        <v>25310</v>
      </c>
      <c r="H476" s="35">
        <f t="shared" ref="H476:O476" si="231">SUM(H477:H477)</f>
        <v>0</v>
      </c>
      <c r="I476" s="35">
        <f t="shared" si="231"/>
        <v>0</v>
      </c>
      <c r="J476" s="35">
        <f t="shared" si="231"/>
        <v>0</v>
      </c>
      <c r="K476" s="35">
        <f t="shared" si="231"/>
        <v>0</v>
      </c>
      <c r="L476" s="35">
        <f t="shared" si="231"/>
        <v>0</v>
      </c>
      <c r="M476" s="35">
        <f t="shared" si="231"/>
        <v>0</v>
      </c>
      <c r="N476" s="35">
        <f t="shared" si="231"/>
        <v>0</v>
      </c>
      <c r="O476" s="35">
        <f t="shared" si="231"/>
        <v>0</v>
      </c>
      <c r="P476" s="34" t="s">
        <v>1259</v>
      </c>
      <c r="Q476" s="36" t="s">
        <v>356</v>
      </c>
      <c r="R476" s="37" t="s">
        <v>1265</v>
      </c>
    </row>
    <row r="477" spans="1:18" ht="46.5" x14ac:dyDescent="0.25">
      <c r="A477" s="32" t="s">
        <v>1266</v>
      </c>
      <c r="B477" s="33" t="s">
        <v>1262</v>
      </c>
      <c r="C477" s="34"/>
      <c r="D477" s="34"/>
      <c r="E477" s="34"/>
      <c r="F477" s="38">
        <v>0</v>
      </c>
      <c r="G477" s="38">
        <v>0</v>
      </c>
      <c r="H477" s="38">
        <v>0</v>
      </c>
      <c r="I477" s="38">
        <v>0</v>
      </c>
      <c r="J477" s="38">
        <v>0</v>
      </c>
      <c r="K477" s="38">
        <v>0</v>
      </c>
      <c r="L477" s="38">
        <v>0</v>
      </c>
      <c r="M477" s="38">
        <v>0</v>
      </c>
      <c r="N477" s="38">
        <v>0</v>
      </c>
      <c r="O477" s="38">
        <v>0</v>
      </c>
      <c r="P477" s="34"/>
      <c r="Q477" s="36"/>
      <c r="R477" s="37"/>
    </row>
    <row r="478" spans="1:18" ht="69.75" x14ac:dyDescent="0.25">
      <c r="A478" s="32" t="s">
        <v>1267</v>
      </c>
      <c r="B478" s="33" t="s">
        <v>1268</v>
      </c>
      <c r="C478" s="34" t="s">
        <v>87</v>
      </c>
      <c r="D478" s="34" t="s">
        <v>793</v>
      </c>
      <c r="E478" s="34" t="s">
        <v>41</v>
      </c>
      <c r="F478" s="35">
        <f>SUM(F479:F479)+44060</f>
        <v>44060</v>
      </c>
      <c r="G478" s="35">
        <f>SUM(G479:G479)+44060</f>
        <v>44060</v>
      </c>
      <c r="H478" s="35">
        <f t="shared" ref="H478:O478" si="232">SUM(H479:H479)</f>
        <v>0</v>
      </c>
      <c r="I478" s="35">
        <f t="shared" si="232"/>
        <v>0</v>
      </c>
      <c r="J478" s="35">
        <f t="shared" si="232"/>
        <v>0</v>
      </c>
      <c r="K478" s="35">
        <f t="shared" si="232"/>
        <v>0</v>
      </c>
      <c r="L478" s="35">
        <f t="shared" si="232"/>
        <v>0</v>
      </c>
      <c r="M478" s="35">
        <f t="shared" si="232"/>
        <v>0</v>
      </c>
      <c r="N478" s="35">
        <f t="shared" si="232"/>
        <v>0</v>
      </c>
      <c r="O478" s="35">
        <f t="shared" si="232"/>
        <v>0</v>
      </c>
      <c r="P478" s="34" t="s">
        <v>1259</v>
      </c>
      <c r="Q478" s="36" t="s">
        <v>356</v>
      </c>
      <c r="R478" s="37" t="s">
        <v>1269</v>
      </c>
    </row>
    <row r="479" spans="1:18" ht="46.5" x14ac:dyDescent="0.25">
      <c r="A479" s="32" t="s">
        <v>1270</v>
      </c>
      <c r="B479" s="33" t="s">
        <v>1262</v>
      </c>
      <c r="C479" s="34"/>
      <c r="D479" s="34"/>
      <c r="E479" s="34"/>
      <c r="F479" s="38">
        <v>0</v>
      </c>
      <c r="G479" s="38">
        <v>0</v>
      </c>
      <c r="H479" s="38">
        <v>0</v>
      </c>
      <c r="I479" s="38">
        <v>0</v>
      </c>
      <c r="J479" s="38">
        <v>0</v>
      </c>
      <c r="K479" s="38">
        <v>0</v>
      </c>
      <c r="L479" s="38">
        <v>0</v>
      </c>
      <c r="M479" s="38">
        <v>0</v>
      </c>
      <c r="N479" s="38">
        <v>0</v>
      </c>
      <c r="O479" s="38">
        <v>0</v>
      </c>
      <c r="P479" s="34"/>
      <c r="Q479" s="36"/>
      <c r="R479" s="37"/>
    </row>
    <row r="480" spans="1:18" ht="69.75" x14ac:dyDescent="0.25">
      <c r="A480" s="32" t="s">
        <v>1271</v>
      </c>
      <c r="B480" s="33" t="s">
        <v>1272</v>
      </c>
      <c r="C480" s="34" t="s">
        <v>798</v>
      </c>
      <c r="D480" s="34" t="s">
        <v>799</v>
      </c>
      <c r="E480" s="34" t="s">
        <v>41</v>
      </c>
      <c r="F480" s="35">
        <f>SUM(F481:F481)+42190</f>
        <v>42190</v>
      </c>
      <c r="G480" s="35">
        <f>SUM(G481:G481)+42190</f>
        <v>42190</v>
      </c>
      <c r="H480" s="35">
        <f t="shared" ref="H480:O480" si="233">SUM(H481:H481)</f>
        <v>0</v>
      </c>
      <c r="I480" s="35">
        <f t="shared" si="233"/>
        <v>0</v>
      </c>
      <c r="J480" s="35">
        <f t="shared" si="233"/>
        <v>0</v>
      </c>
      <c r="K480" s="35">
        <f t="shared" si="233"/>
        <v>0</v>
      </c>
      <c r="L480" s="35">
        <f t="shared" si="233"/>
        <v>0</v>
      </c>
      <c r="M480" s="35">
        <f t="shared" si="233"/>
        <v>0</v>
      </c>
      <c r="N480" s="35">
        <f t="shared" si="233"/>
        <v>0</v>
      </c>
      <c r="O480" s="35">
        <f t="shared" si="233"/>
        <v>0</v>
      </c>
      <c r="P480" s="34" t="s">
        <v>1259</v>
      </c>
      <c r="Q480" s="36" t="s">
        <v>356</v>
      </c>
      <c r="R480" s="37" t="s">
        <v>1273</v>
      </c>
    </row>
    <row r="481" spans="1:18" ht="46.5" x14ac:dyDescent="0.25">
      <c r="A481" s="32" t="s">
        <v>1274</v>
      </c>
      <c r="B481" s="33" t="s">
        <v>1262</v>
      </c>
      <c r="C481" s="34"/>
      <c r="D481" s="34"/>
      <c r="E481" s="34"/>
      <c r="F481" s="38">
        <v>0</v>
      </c>
      <c r="G481" s="38">
        <v>0</v>
      </c>
      <c r="H481" s="38">
        <v>0</v>
      </c>
      <c r="I481" s="38">
        <v>0</v>
      </c>
      <c r="J481" s="38">
        <v>0</v>
      </c>
      <c r="K481" s="38">
        <v>0</v>
      </c>
      <c r="L481" s="38">
        <v>0</v>
      </c>
      <c r="M481" s="38">
        <v>0</v>
      </c>
      <c r="N481" s="38">
        <v>0</v>
      </c>
      <c r="O481" s="38">
        <v>0</v>
      </c>
      <c r="P481" s="34"/>
      <c r="Q481" s="36"/>
      <c r="R481" s="37"/>
    </row>
    <row r="482" spans="1:18" ht="69.75" x14ac:dyDescent="0.25">
      <c r="A482" s="32" t="s">
        <v>1275</v>
      </c>
      <c r="B482" s="33" t="s">
        <v>1276</v>
      </c>
      <c r="C482" s="34" t="s">
        <v>94</v>
      </c>
      <c r="D482" s="34" t="s">
        <v>804</v>
      </c>
      <c r="E482" s="34" t="s">
        <v>41</v>
      </c>
      <c r="F482" s="35">
        <f>SUM(F483:F483)+39680</f>
        <v>39680</v>
      </c>
      <c r="G482" s="35">
        <f>SUM(G483:G483)+39680</f>
        <v>39680</v>
      </c>
      <c r="H482" s="35">
        <f t="shared" ref="H482:O482" si="234">SUM(H483:H483)</f>
        <v>0</v>
      </c>
      <c r="I482" s="35">
        <f t="shared" si="234"/>
        <v>0</v>
      </c>
      <c r="J482" s="35">
        <f t="shared" si="234"/>
        <v>0</v>
      </c>
      <c r="K482" s="35">
        <f t="shared" si="234"/>
        <v>0</v>
      </c>
      <c r="L482" s="35">
        <f t="shared" si="234"/>
        <v>0</v>
      </c>
      <c r="M482" s="35">
        <f t="shared" si="234"/>
        <v>0</v>
      </c>
      <c r="N482" s="35">
        <f t="shared" si="234"/>
        <v>0</v>
      </c>
      <c r="O482" s="35">
        <f t="shared" si="234"/>
        <v>0</v>
      </c>
      <c r="P482" s="34" t="s">
        <v>1259</v>
      </c>
      <c r="Q482" s="36" t="s">
        <v>356</v>
      </c>
      <c r="R482" s="37" t="s">
        <v>1277</v>
      </c>
    </row>
    <row r="483" spans="1:18" ht="46.5" x14ac:dyDescent="0.25">
      <c r="A483" s="32" t="s">
        <v>1278</v>
      </c>
      <c r="B483" s="33" t="s">
        <v>1262</v>
      </c>
      <c r="C483" s="34"/>
      <c r="D483" s="34"/>
      <c r="E483" s="34"/>
      <c r="F483" s="38">
        <v>0</v>
      </c>
      <c r="G483" s="38">
        <v>0</v>
      </c>
      <c r="H483" s="38">
        <v>0</v>
      </c>
      <c r="I483" s="38">
        <v>0</v>
      </c>
      <c r="J483" s="38">
        <v>0</v>
      </c>
      <c r="K483" s="38">
        <v>0</v>
      </c>
      <c r="L483" s="38">
        <v>0</v>
      </c>
      <c r="M483" s="38">
        <v>0</v>
      </c>
      <c r="N483" s="38">
        <v>0</v>
      </c>
      <c r="O483" s="38">
        <v>0</v>
      </c>
      <c r="P483" s="34"/>
      <c r="Q483" s="36"/>
      <c r="R483" s="37"/>
    </row>
    <row r="484" spans="1:18" ht="69.75" x14ac:dyDescent="0.25">
      <c r="A484" s="32" t="s">
        <v>1279</v>
      </c>
      <c r="B484" s="33" t="s">
        <v>1280</v>
      </c>
      <c r="C484" s="34" t="s">
        <v>99</v>
      </c>
      <c r="D484" s="34" t="s">
        <v>809</v>
      </c>
      <c r="E484" s="34" t="s">
        <v>41</v>
      </c>
      <c r="F484" s="35">
        <f>SUM(F485:F485)+28480</f>
        <v>28480</v>
      </c>
      <c r="G484" s="35">
        <f>SUM(G485:G485)+28480</f>
        <v>28480</v>
      </c>
      <c r="H484" s="35">
        <f t="shared" ref="H484:O484" si="235">SUM(H485:H485)</f>
        <v>0</v>
      </c>
      <c r="I484" s="35">
        <f t="shared" si="235"/>
        <v>0</v>
      </c>
      <c r="J484" s="35">
        <f t="shared" si="235"/>
        <v>0</v>
      </c>
      <c r="K484" s="35">
        <f t="shared" si="235"/>
        <v>0</v>
      </c>
      <c r="L484" s="35">
        <f t="shared" si="235"/>
        <v>0</v>
      </c>
      <c r="M484" s="35">
        <f t="shared" si="235"/>
        <v>0</v>
      </c>
      <c r="N484" s="35">
        <f t="shared" si="235"/>
        <v>0</v>
      </c>
      <c r="O484" s="35">
        <f t="shared" si="235"/>
        <v>0</v>
      </c>
      <c r="P484" s="34" t="s">
        <v>1259</v>
      </c>
      <c r="Q484" s="36" t="s">
        <v>356</v>
      </c>
      <c r="R484" s="37" t="s">
        <v>1281</v>
      </c>
    </row>
    <row r="485" spans="1:18" ht="46.5" x14ac:dyDescent="0.25">
      <c r="A485" s="32" t="s">
        <v>1282</v>
      </c>
      <c r="B485" s="33" t="s">
        <v>1262</v>
      </c>
      <c r="C485" s="34"/>
      <c r="D485" s="34"/>
      <c r="E485" s="34"/>
      <c r="F485" s="38">
        <v>0</v>
      </c>
      <c r="G485" s="38">
        <v>0</v>
      </c>
      <c r="H485" s="38">
        <v>0</v>
      </c>
      <c r="I485" s="38">
        <v>0</v>
      </c>
      <c r="J485" s="38">
        <v>0</v>
      </c>
      <c r="K485" s="38">
        <v>0</v>
      </c>
      <c r="L485" s="38">
        <v>0</v>
      </c>
      <c r="M485" s="38">
        <v>0</v>
      </c>
      <c r="N485" s="38">
        <v>0</v>
      </c>
      <c r="O485" s="38">
        <v>0</v>
      </c>
      <c r="P485" s="34"/>
      <c r="Q485" s="36"/>
      <c r="R485" s="37"/>
    </row>
    <row r="486" spans="1:18" ht="69.75" x14ac:dyDescent="0.25">
      <c r="A486" s="32" t="s">
        <v>1283</v>
      </c>
      <c r="B486" s="33" t="s">
        <v>1284</v>
      </c>
      <c r="C486" s="34" t="s">
        <v>104</v>
      </c>
      <c r="D486" s="34" t="s">
        <v>814</v>
      </c>
      <c r="E486" s="34" t="s">
        <v>41</v>
      </c>
      <c r="F486" s="35">
        <f>SUM(F487:F487)+21050</f>
        <v>21050</v>
      </c>
      <c r="G486" s="35">
        <f>SUM(G487:G487)+21050</f>
        <v>21050</v>
      </c>
      <c r="H486" s="35">
        <f t="shared" ref="H486:O486" si="236">SUM(H487:H487)</f>
        <v>0</v>
      </c>
      <c r="I486" s="35">
        <f t="shared" si="236"/>
        <v>0</v>
      </c>
      <c r="J486" s="35">
        <f t="shared" si="236"/>
        <v>0</v>
      </c>
      <c r="K486" s="35">
        <f t="shared" si="236"/>
        <v>0</v>
      </c>
      <c r="L486" s="35">
        <f t="shared" si="236"/>
        <v>0</v>
      </c>
      <c r="M486" s="35">
        <f t="shared" si="236"/>
        <v>0</v>
      </c>
      <c r="N486" s="35">
        <f t="shared" si="236"/>
        <v>0</v>
      </c>
      <c r="O486" s="35">
        <f t="shared" si="236"/>
        <v>0</v>
      </c>
      <c r="P486" s="34" t="s">
        <v>1259</v>
      </c>
      <c r="Q486" s="36" t="s">
        <v>356</v>
      </c>
      <c r="R486" s="37" t="s">
        <v>1285</v>
      </c>
    </row>
    <row r="487" spans="1:18" ht="46.5" x14ac:dyDescent="0.25">
      <c r="A487" s="32" t="s">
        <v>1286</v>
      </c>
      <c r="B487" s="33" t="s">
        <v>1262</v>
      </c>
      <c r="C487" s="34"/>
      <c r="D487" s="34"/>
      <c r="E487" s="34"/>
      <c r="F487" s="38">
        <v>0</v>
      </c>
      <c r="G487" s="38">
        <v>0</v>
      </c>
      <c r="H487" s="38">
        <v>0</v>
      </c>
      <c r="I487" s="38">
        <v>0</v>
      </c>
      <c r="J487" s="38">
        <v>0</v>
      </c>
      <c r="K487" s="38">
        <v>0</v>
      </c>
      <c r="L487" s="38">
        <v>0</v>
      </c>
      <c r="M487" s="38">
        <v>0</v>
      </c>
      <c r="N487" s="38">
        <v>0</v>
      </c>
      <c r="O487" s="38">
        <v>0</v>
      </c>
      <c r="P487" s="34"/>
      <c r="Q487" s="36"/>
      <c r="R487" s="37"/>
    </row>
    <row r="488" spans="1:18" ht="69.75" x14ac:dyDescent="0.25">
      <c r="A488" s="32" t="s">
        <v>1287</v>
      </c>
      <c r="B488" s="33" t="s">
        <v>1288</v>
      </c>
      <c r="C488" s="34" t="s">
        <v>819</v>
      </c>
      <c r="D488" s="34" t="s">
        <v>820</v>
      </c>
      <c r="E488" s="34" t="s">
        <v>41</v>
      </c>
      <c r="F488" s="35">
        <f>SUM(F489:F489)+47840</f>
        <v>47840</v>
      </c>
      <c r="G488" s="35">
        <f>SUM(G489:G489)+47840</f>
        <v>47840</v>
      </c>
      <c r="H488" s="35">
        <f t="shared" ref="H488:O488" si="237">SUM(H489:H489)</f>
        <v>0</v>
      </c>
      <c r="I488" s="35">
        <f t="shared" si="237"/>
        <v>0</v>
      </c>
      <c r="J488" s="35">
        <f t="shared" si="237"/>
        <v>0</v>
      </c>
      <c r="K488" s="35">
        <f t="shared" si="237"/>
        <v>0</v>
      </c>
      <c r="L488" s="35">
        <f t="shared" si="237"/>
        <v>0</v>
      </c>
      <c r="M488" s="35">
        <f t="shared" si="237"/>
        <v>0</v>
      </c>
      <c r="N488" s="35">
        <f t="shared" si="237"/>
        <v>0</v>
      </c>
      <c r="O488" s="35">
        <f t="shared" si="237"/>
        <v>0</v>
      </c>
      <c r="P488" s="34" t="s">
        <v>1259</v>
      </c>
      <c r="Q488" s="36" t="s">
        <v>356</v>
      </c>
      <c r="R488" s="37" t="s">
        <v>1289</v>
      </c>
    </row>
    <row r="489" spans="1:18" ht="46.5" x14ac:dyDescent="0.25">
      <c r="A489" s="32" t="s">
        <v>1290</v>
      </c>
      <c r="B489" s="33" t="s">
        <v>1262</v>
      </c>
      <c r="C489" s="34"/>
      <c r="D489" s="34"/>
      <c r="E489" s="34"/>
      <c r="F489" s="38">
        <v>0</v>
      </c>
      <c r="G489" s="38">
        <v>0</v>
      </c>
      <c r="H489" s="38">
        <v>0</v>
      </c>
      <c r="I489" s="38">
        <v>0</v>
      </c>
      <c r="J489" s="38">
        <v>0</v>
      </c>
      <c r="K489" s="38">
        <v>0</v>
      </c>
      <c r="L489" s="38">
        <v>0</v>
      </c>
      <c r="M489" s="38">
        <v>0</v>
      </c>
      <c r="N489" s="38">
        <v>0</v>
      </c>
      <c r="O489" s="38">
        <v>0</v>
      </c>
      <c r="P489" s="34"/>
      <c r="Q489" s="36"/>
      <c r="R489" s="37"/>
    </row>
    <row r="490" spans="1:18" ht="69.75" x14ac:dyDescent="0.25">
      <c r="A490" s="32" t="s">
        <v>1291</v>
      </c>
      <c r="B490" s="33" t="s">
        <v>1292</v>
      </c>
      <c r="C490" s="34" t="s">
        <v>825</v>
      </c>
      <c r="D490" s="34" t="s">
        <v>826</v>
      </c>
      <c r="E490" s="34" t="s">
        <v>41</v>
      </c>
      <c r="F490" s="35">
        <f>SUM(F491:F491)+35130</f>
        <v>35130</v>
      </c>
      <c r="G490" s="35">
        <f>SUM(G491:G491)+35130</f>
        <v>35130</v>
      </c>
      <c r="H490" s="35">
        <f t="shared" ref="H490:O490" si="238">SUM(H491:H491)</f>
        <v>0</v>
      </c>
      <c r="I490" s="35">
        <f t="shared" si="238"/>
        <v>0</v>
      </c>
      <c r="J490" s="35">
        <f t="shared" si="238"/>
        <v>0</v>
      </c>
      <c r="K490" s="35">
        <f t="shared" si="238"/>
        <v>0</v>
      </c>
      <c r="L490" s="35">
        <f t="shared" si="238"/>
        <v>0</v>
      </c>
      <c r="M490" s="35">
        <f t="shared" si="238"/>
        <v>0</v>
      </c>
      <c r="N490" s="35">
        <f t="shared" si="238"/>
        <v>0</v>
      </c>
      <c r="O490" s="35">
        <f t="shared" si="238"/>
        <v>0</v>
      </c>
      <c r="P490" s="34" t="s">
        <v>1259</v>
      </c>
      <c r="Q490" s="36" t="s">
        <v>356</v>
      </c>
      <c r="R490" s="37" t="s">
        <v>1293</v>
      </c>
    </row>
    <row r="491" spans="1:18" ht="46.5" x14ac:dyDescent="0.25">
      <c r="A491" s="32" t="s">
        <v>1294</v>
      </c>
      <c r="B491" s="33" t="s">
        <v>1262</v>
      </c>
      <c r="C491" s="34"/>
      <c r="D491" s="34"/>
      <c r="E491" s="34"/>
      <c r="F491" s="38">
        <v>0</v>
      </c>
      <c r="G491" s="38">
        <v>0</v>
      </c>
      <c r="H491" s="38">
        <v>0</v>
      </c>
      <c r="I491" s="38">
        <v>0</v>
      </c>
      <c r="J491" s="38">
        <v>0</v>
      </c>
      <c r="K491" s="38">
        <v>0</v>
      </c>
      <c r="L491" s="38">
        <v>0</v>
      </c>
      <c r="M491" s="38">
        <v>0</v>
      </c>
      <c r="N491" s="38">
        <v>0</v>
      </c>
      <c r="O491" s="38">
        <v>0</v>
      </c>
      <c r="P491" s="34"/>
      <c r="Q491" s="36"/>
      <c r="R491" s="37"/>
    </row>
    <row r="492" spans="1:18" ht="69.75" x14ac:dyDescent="0.25">
      <c r="A492" s="32" t="s">
        <v>1295</v>
      </c>
      <c r="B492" s="33" t="s">
        <v>1296</v>
      </c>
      <c r="C492" s="34" t="s">
        <v>831</v>
      </c>
      <c r="D492" s="34" t="s">
        <v>832</v>
      </c>
      <c r="E492" s="34" t="s">
        <v>41</v>
      </c>
      <c r="F492" s="35">
        <f>SUM(F493:F493)+30350</f>
        <v>30350</v>
      </c>
      <c r="G492" s="35">
        <f>SUM(G493:G493)+30350</f>
        <v>30350</v>
      </c>
      <c r="H492" s="35">
        <f t="shared" ref="H492:O492" si="239">SUM(H493:H493)</f>
        <v>0</v>
      </c>
      <c r="I492" s="35">
        <f t="shared" si="239"/>
        <v>0</v>
      </c>
      <c r="J492" s="35">
        <f t="shared" si="239"/>
        <v>0</v>
      </c>
      <c r="K492" s="35">
        <f t="shared" si="239"/>
        <v>0</v>
      </c>
      <c r="L492" s="35">
        <f t="shared" si="239"/>
        <v>0</v>
      </c>
      <c r="M492" s="35">
        <f t="shared" si="239"/>
        <v>0</v>
      </c>
      <c r="N492" s="35">
        <f t="shared" si="239"/>
        <v>0</v>
      </c>
      <c r="O492" s="35">
        <f t="shared" si="239"/>
        <v>0</v>
      </c>
      <c r="P492" s="34" t="s">
        <v>1259</v>
      </c>
      <c r="Q492" s="36" t="s">
        <v>356</v>
      </c>
      <c r="R492" s="37" t="s">
        <v>1297</v>
      </c>
    </row>
    <row r="493" spans="1:18" ht="46.5" x14ac:dyDescent="0.25">
      <c r="A493" s="32" t="s">
        <v>1298</v>
      </c>
      <c r="B493" s="33" t="s">
        <v>1262</v>
      </c>
      <c r="C493" s="34"/>
      <c r="D493" s="34"/>
      <c r="E493" s="34"/>
      <c r="F493" s="38">
        <v>0</v>
      </c>
      <c r="G493" s="38">
        <v>0</v>
      </c>
      <c r="H493" s="38">
        <v>0</v>
      </c>
      <c r="I493" s="38">
        <v>0</v>
      </c>
      <c r="J493" s="38">
        <v>0</v>
      </c>
      <c r="K493" s="38">
        <v>0</v>
      </c>
      <c r="L493" s="38">
        <v>0</v>
      </c>
      <c r="M493" s="38">
        <v>0</v>
      </c>
      <c r="N493" s="38">
        <v>0</v>
      </c>
      <c r="O493" s="38">
        <v>0</v>
      </c>
      <c r="P493" s="34"/>
      <c r="Q493" s="36"/>
      <c r="R493" s="37"/>
    </row>
    <row r="494" spans="1:18" ht="69.75" x14ac:dyDescent="0.25">
      <c r="A494" s="32" t="s">
        <v>1299</v>
      </c>
      <c r="B494" s="33" t="s">
        <v>1300</v>
      </c>
      <c r="C494" s="34" t="s">
        <v>839</v>
      </c>
      <c r="D494" s="34" t="s">
        <v>840</v>
      </c>
      <c r="E494" s="34" t="s">
        <v>41</v>
      </c>
      <c r="F494" s="35">
        <f>SUM(F495:F495)+15900</f>
        <v>15900</v>
      </c>
      <c r="G494" s="35">
        <f>SUM(G495:G495)+15900</f>
        <v>15900</v>
      </c>
      <c r="H494" s="35">
        <f t="shared" ref="H494:O494" si="240">SUM(H495:H495)</f>
        <v>0</v>
      </c>
      <c r="I494" s="35">
        <f t="shared" si="240"/>
        <v>0</v>
      </c>
      <c r="J494" s="35">
        <f t="shared" si="240"/>
        <v>0</v>
      </c>
      <c r="K494" s="35">
        <f t="shared" si="240"/>
        <v>0</v>
      </c>
      <c r="L494" s="35">
        <f t="shared" si="240"/>
        <v>0</v>
      </c>
      <c r="M494" s="35">
        <f t="shared" si="240"/>
        <v>0</v>
      </c>
      <c r="N494" s="35">
        <f t="shared" si="240"/>
        <v>0</v>
      </c>
      <c r="O494" s="35">
        <f t="shared" si="240"/>
        <v>0</v>
      </c>
      <c r="P494" s="34" t="s">
        <v>1259</v>
      </c>
      <c r="Q494" s="36" t="s">
        <v>356</v>
      </c>
      <c r="R494" s="37" t="s">
        <v>1301</v>
      </c>
    </row>
    <row r="495" spans="1:18" ht="46.5" x14ac:dyDescent="0.25">
      <c r="A495" s="32" t="s">
        <v>1302</v>
      </c>
      <c r="B495" s="33" t="s">
        <v>1262</v>
      </c>
      <c r="C495" s="34"/>
      <c r="D495" s="34"/>
      <c r="E495" s="34"/>
      <c r="F495" s="38">
        <v>0</v>
      </c>
      <c r="G495" s="38">
        <v>0</v>
      </c>
      <c r="H495" s="38">
        <v>0</v>
      </c>
      <c r="I495" s="38">
        <v>0</v>
      </c>
      <c r="J495" s="38">
        <v>0</v>
      </c>
      <c r="K495" s="38">
        <v>0</v>
      </c>
      <c r="L495" s="38">
        <v>0</v>
      </c>
      <c r="M495" s="38">
        <v>0</v>
      </c>
      <c r="N495" s="38">
        <v>0</v>
      </c>
      <c r="O495" s="38">
        <v>0</v>
      </c>
      <c r="P495" s="34"/>
      <c r="Q495" s="36"/>
      <c r="R495" s="37"/>
    </row>
    <row r="496" spans="1:18" ht="69.75" x14ac:dyDescent="0.25">
      <c r="A496" s="32" t="s">
        <v>1303</v>
      </c>
      <c r="B496" s="33" t="s">
        <v>1304</v>
      </c>
      <c r="C496" s="34" t="s">
        <v>845</v>
      </c>
      <c r="D496" s="34" t="s">
        <v>846</v>
      </c>
      <c r="E496" s="34" t="s">
        <v>41</v>
      </c>
      <c r="F496" s="35">
        <f>SUM(F497:F497)+22840</f>
        <v>22840</v>
      </c>
      <c r="G496" s="35">
        <f>SUM(G497:G497)+22840</f>
        <v>22840</v>
      </c>
      <c r="H496" s="35">
        <f t="shared" ref="H496:O496" si="241">SUM(H497:H497)</f>
        <v>0</v>
      </c>
      <c r="I496" s="35">
        <f t="shared" si="241"/>
        <v>0</v>
      </c>
      <c r="J496" s="35">
        <f t="shared" si="241"/>
        <v>0</v>
      </c>
      <c r="K496" s="35">
        <f t="shared" si="241"/>
        <v>0</v>
      </c>
      <c r="L496" s="35">
        <f t="shared" si="241"/>
        <v>0</v>
      </c>
      <c r="M496" s="35">
        <f t="shared" si="241"/>
        <v>0</v>
      </c>
      <c r="N496" s="35">
        <f t="shared" si="241"/>
        <v>0</v>
      </c>
      <c r="O496" s="35">
        <f t="shared" si="241"/>
        <v>0</v>
      </c>
      <c r="P496" s="34" t="s">
        <v>1259</v>
      </c>
      <c r="Q496" s="36" t="s">
        <v>356</v>
      </c>
      <c r="R496" s="37" t="s">
        <v>1305</v>
      </c>
    </row>
    <row r="497" spans="1:18" ht="46.5" x14ac:dyDescent="0.25">
      <c r="A497" s="32" t="s">
        <v>1306</v>
      </c>
      <c r="B497" s="33" t="s">
        <v>1262</v>
      </c>
      <c r="C497" s="34"/>
      <c r="D497" s="34"/>
      <c r="E497" s="34"/>
      <c r="F497" s="38">
        <v>0</v>
      </c>
      <c r="G497" s="38">
        <v>0</v>
      </c>
      <c r="H497" s="38">
        <v>0</v>
      </c>
      <c r="I497" s="38">
        <v>0</v>
      </c>
      <c r="J497" s="38">
        <v>0</v>
      </c>
      <c r="K497" s="38">
        <v>0</v>
      </c>
      <c r="L497" s="38">
        <v>0</v>
      </c>
      <c r="M497" s="38">
        <v>0</v>
      </c>
      <c r="N497" s="38">
        <v>0</v>
      </c>
      <c r="O497" s="38">
        <v>0</v>
      </c>
      <c r="P497" s="34"/>
      <c r="Q497" s="36"/>
      <c r="R497" s="37"/>
    </row>
    <row r="498" spans="1:18" ht="69.75" x14ac:dyDescent="0.25">
      <c r="A498" s="32" t="s">
        <v>1307</v>
      </c>
      <c r="B498" s="33" t="s">
        <v>1308</v>
      </c>
      <c r="C498" s="34" t="s">
        <v>851</v>
      </c>
      <c r="D498" s="34" t="s">
        <v>852</v>
      </c>
      <c r="E498" s="34" t="s">
        <v>41</v>
      </c>
      <c r="F498" s="35">
        <f>SUM(F499:F499)+92680</f>
        <v>92680</v>
      </c>
      <c r="G498" s="35">
        <f>SUM(G499:G499)+92680</f>
        <v>92680</v>
      </c>
      <c r="H498" s="35">
        <f t="shared" ref="H498:O498" si="242">SUM(H499:H499)</f>
        <v>0</v>
      </c>
      <c r="I498" s="35">
        <f t="shared" si="242"/>
        <v>0</v>
      </c>
      <c r="J498" s="35">
        <f t="shared" si="242"/>
        <v>0</v>
      </c>
      <c r="K498" s="35">
        <f t="shared" si="242"/>
        <v>0</v>
      </c>
      <c r="L498" s="35">
        <f t="shared" si="242"/>
        <v>0</v>
      </c>
      <c r="M498" s="35">
        <f t="shared" si="242"/>
        <v>0</v>
      </c>
      <c r="N498" s="35">
        <f t="shared" si="242"/>
        <v>0</v>
      </c>
      <c r="O498" s="35">
        <f t="shared" si="242"/>
        <v>0</v>
      </c>
      <c r="P498" s="34" t="s">
        <v>1259</v>
      </c>
      <c r="Q498" s="36" t="s">
        <v>356</v>
      </c>
      <c r="R498" s="37" t="s">
        <v>1309</v>
      </c>
    </row>
    <row r="499" spans="1:18" ht="46.5" x14ac:dyDescent="0.25">
      <c r="A499" s="32" t="s">
        <v>1310</v>
      </c>
      <c r="B499" s="33" t="s">
        <v>1262</v>
      </c>
      <c r="C499" s="34"/>
      <c r="D499" s="34"/>
      <c r="E499" s="34"/>
      <c r="F499" s="38">
        <v>0</v>
      </c>
      <c r="G499" s="38">
        <v>0</v>
      </c>
      <c r="H499" s="38">
        <v>0</v>
      </c>
      <c r="I499" s="38">
        <v>0</v>
      </c>
      <c r="J499" s="38">
        <v>0</v>
      </c>
      <c r="K499" s="38">
        <v>0</v>
      </c>
      <c r="L499" s="38">
        <v>0</v>
      </c>
      <c r="M499" s="38">
        <v>0</v>
      </c>
      <c r="N499" s="38">
        <v>0</v>
      </c>
      <c r="O499" s="38">
        <v>0</v>
      </c>
      <c r="P499" s="34"/>
      <c r="Q499" s="36"/>
      <c r="R499" s="37"/>
    </row>
    <row r="500" spans="1:18" ht="69.75" x14ac:dyDescent="0.25">
      <c r="A500" s="32" t="s">
        <v>1311</v>
      </c>
      <c r="B500" s="33" t="s">
        <v>1312</v>
      </c>
      <c r="C500" s="34" t="s">
        <v>857</v>
      </c>
      <c r="D500" s="34" t="s">
        <v>858</v>
      </c>
      <c r="E500" s="34" t="s">
        <v>41</v>
      </c>
      <c r="F500" s="35">
        <f>SUM(F501:F501)+16820</f>
        <v>16820</v>
      </c>
      <c r="G500" s="35">
        <f>SUM(G501:G501)+16820</f>
        <v>16820</v>
      </c>
      <c r="H500" s="35">
        <f t="shared" ref="H500:O500" si="243">SUM(H501:H501)</f>
        <v>0</v>
      </c>
      <c r="I500" s="35">
        <f t="shared" si="243"/>
        <v>0</v>
      </c>
      <c r="J500" s="35">
        <f t="shared" si="243"/>
        <v>0</v>
      </c>
      <c r="K500" s="35">
        <f t="shared" si="243"/>
        <v>0</v>
      </c>
      <c r="L500" s="35">
        <f t="shared" si="243"/>
        <v>0</v>
      </c>
      <c r="M500" s="35">
        <f t="shared" si="243"/>
        <v>0</v>
      </c>
      <c r="N500" s="35">
        <f t="shared" si="243"/>
        <v>0</v>
      </c>
      <c r="O500" s="35">
        <f t="shared" si="243"/>
        <v>0</v>
      </c>
      <c r="P500" s="34" t="s">
        <v>1259</v>
      </c>
      <c r="Q500" s="36" t="s">
        <v>356</v>
      </c>
      <c r="R500" s="37" t="s">
        <v>1313</v>
      </c>
    </row>
    <row r="501" spans="1:18" ht="46.5" x14ac:dyDescent="0.25">
      <c r="A501" s="32" t="s">
        <v>1314</v>
      </c>
      <c r="B501" s="33" t="s">
        <v>1262</v>
      </c>
      <c r="C501" s="34"/>
      <c r="D501" s="34"/>
      <c r="E501" s="34"/>
      <c r="F501" s="38">
        <v>0</v>
      </c>
      <c r="G501" s="38">
        <v>0</v>
      </c>
      <c r="H501" s="38">
        <v>0</v>
      </c>
      <c r="I501" s="38">
        <v>0</v>
      </c>
      <c r="J501" s="38">
        <v>0</v>
      </c>
      <c r="K501" s="38">
        <v>0</v>
      </c>
      <c r="L501" s="38">
        <v>0</v>
      </c>
      <c r="M501" s="38">
        <v>0</v>
      </c>
      <c r="N501" s="38">
        <v>0</v>
      </c>
      <c r="O501" s="38">
        <v>0</v>
      </c>
      <c r="P501" s="34"/>
      <c r="Q501" s="36"/>
      <c r="R501" s="37"/>
    </row>
    <row r="502" spans="1:18" ht="116.25" x14ac:dyDescent="0.25">
      <c r="A502" s="32" t="s">
        <v>1315</v>
      </c>
      <c r="B502" s="33" t="s">
        <v>1316</v>
      </c>
      <c r="C502" s="34" t="s">
        <v>261</v>
      </c>
      <c r="D502" s="34" t="s">
        <v>265</v>
      </c>
      <c r="E502" s="34"/>
      <c r="F502" s="35">
        <f>SUM(F503:F503)+432162.08</f>
        <v>432162.08</v>
      </c>
      <c r="G502" s="35">
        <f>SUM(G503:G503)+432162.08</f>
        <v>432162.08</v>
      </c>
      <c r="H502" s="35">
        <f t="shared" ref="H502:O502" si="244">SUM(H503:H503)</f>
        <v>0</v>
      </c>
      <c r="I502" s="35">
        <f t="shared" si="244"/>
        <v>0</v>
      </c>
      <c r="J502" s="35">
        <f t="shared" si="244"/>
        <v>0</v>
      </c>
      <c r="K502" s="35">
        <f t="shared" si="244"/>
        <v>0</v>
      </c>
      <c r="L502" s="35">
        <f t="shared" si="244"/>
        <v>0</v>
      </c>
      <c r="M502" s="35">
        <f t="shared" si="244"/>
        <v>0</v>
      </c>
      <c r="N502" s="35">
        <f t="shared" si="244"/>
        <v>0</v>
      </c>
      <c r="O502" s="35">
        <f t="shared" si="244"/>
        <v>0</v>
      </c>
      <c r="P502" s="34" t="s">
        <v>1317</v>
      </c>
      <c r="Q502" s="36" t="s">
        <v>36</v>
      </c>
      <c r="R502" s="37" t="s">
        <v>37</v>
      </c>
    </row>
    <row r="503" spans="1:18" ht="46.5" x14ac:dyDescent="0.25">
      <c r="A503" s="32" t="s">
        <v>1318</v>
      </c>
      <c r="B503" s="33" t="s">
        <v>1319</v>
      </c>
      <c r="C503" s="34"/>
      <c r="D503" s="34"/>
      <c r="E503" s="34"/>
      <c r="F503" s="38">
        <v>0</v>
      </c>
      <c r="G503" s="38">
        <v>0</v>
      </c>
      <c r="H503" s="38">
        <v>0</v>
      </c>
      <c r="I503" s="38">
        <v>0</v>
      </c>
      <c r="J503" s="38">
        <v>0</v>
      </c>
      <c r="K503" s="38">
        <v>0</v>
      </c>
      <c r="L503" s="38">
        <v>0</v>
      </c>
      <c r="M503" s="38">
        <v>0</v>
      </c>
      <c r="N503" s="38">
        <v>0</v>
      </c>
      <c r="O503" s="38">
        <v>0</v>
      </c>
      <c r="P503" s="34"/>
      <c r="Q503" s="36"/>
      <c r="R503" s="37"/>
    </row>
    <row r="504" spans="1:18" ht="67.5" x14ac:dyDescent="0.25">
      <c r="A504" s="26" t="s">
        <v>1320</v>
      </c>
      <c r="B504" s="27" t="s">
        <v>1321</v>
      </c>
      <c r="C504" s="28" t="s">
        <v>261</v>
      </c>
      <c r="D504" s="28" t="s">
        <v>286</v>
      </c>
      <c r="E504" s="28" t="s">
        <v>34</v>
      </c>
      <c r="F504" s="29">
        <f t="shared" ref="F504:O504" si="245">SUM(F505:F505)</f>
        <v>200470</v>
      </c>
      <c r="G504" s="29">
        <f t="shared" si="245"/>
        <v>200470</v>
      </c>
      <c r="H504" s="29">
        <f t="shared" si="245"/>
        <v>0</v>
      </c>
      <c r="I504" s="29">
        <f t="shared" si="245"/>
        <v>0</v>
      </c>
      <c r="J504" s="29">
        <f t="shared" si="245"/>
        <v>0</v>
      </c>
      <c r="K504" s="29">
        <f t="shared" si="245"/>
        <v>0</v>
      </c>
      <c r="L504" s="29">
        <f t="shared" si="245"/>
        <v>0</v>
      </c>
      <c r="M504" s="29">
        <f t="shared" si="245"/>
        <v>0</v>
      </c>
      <c r="N504" s="29">
        <f t="shared" si="245"/>
        <v>0</v>
      </c>
      <c r="O504" s="29">
        <f t="shared" si="245"/>
        <v>0</v>
      </c>
      <c r="P504" s="28" t="s">
        <v>1322</v>
      </c>
      <c r="Q504" s="30" t="s">
        <v>356</v>
      </c>
      <c r="R504" s="31" t="s">
        <v>37</v>
      </c>
    </row>
    <row r="505" spans="1:18" ht="69.75" x14ac:dyDescent="0.25">
      <c r="A505" s="32" t="s">
        <v>1323</v>
      </c>
      <c r="B505" s="33" t="s">
        <v>1324</v>
      </c>
      <c r="C505" s="34" t="s">
        <v>261</v>
      </c>
      <c r="D505" s="34" t="s">
        <v>286</v>
      </c>
      <c r="E505" s="34" t="s">
        <v>41</v>
      </c>
      <c r="F505" s="35">
        <f>SUM(F506:F506)+200470</f>
        <v>200470</v>
      </c>
      <c r="G505" s="35">
        <f>SUM(G506:G506)+200470</f>
        <v>200470</v>
      </c>
      <c r="H505" s="35">
        <f t="shared" ref="H505:O505" si="246">SUM(H506:H506)</f>
        <v>0</v>
      </c>
      <c r="I505" s="35">
        <f t="shared" si="246"/>
        <v>0</v>
      </c>
      <c r="J505" s="35">
        <f t="shared" si="246"/>
        <v>0</v>
      </c>
      <c r="K505" s="35">
        <f t="shared" si="246"/>
        <v>0</v>
      </c>
      <c r="L505" s="35">
        <f t="shared" si="246"/>
        <v>0</v>
      </c>
      <c r="M505" s="35">
        <f t="shared" si="246"/>
        <v>0</v>
      </c>
      <c r="N505" s="35">
        <f t="shared" si="246"/>
        <v>0</v>
      </c>
      <c r="O505" s="35">
        <f t="shared" si="246"/>
        <v>0</v>
      </c>
      <c r="P505" s="34" t="s">
        <v>1325</v>
      </c>
      <c r="Q505" s="36" t="s">
        <v>356</v>
      </c>
      <c r="R505" s="37" t="s">
        <v>37</v>
      </c>
    </row>
    <row r="506" spans="1:18" ht="69.75" x14ac:dyDescent="0.25">
      <c r="A506" s="32" t="s">
        <v>1326</v>
      </c>
      <c r="B506" s="33" t="s">
        <v>1327</v>
      </c>
      <c r="C506" s="34"/>
      <c r="D506" s="34"/>
      <c r="E506" s="34"/>
      <c r="F506" s="38">
        <v>0</v>
      </c>
      <c r="G506" s="38">
        <v>0</v>
      </c>
      <c r="H506" s="38">
        <v>0</v>
      </c>
      <c r="I506" s="38">
        <v>0</v>
      </c>
      <c r="J506" s="38">
        <v>0</v>
      </c>
      <c r="K506" s="38">
        <v>0</v>
      </c>
      <c r="L506" s="38">
        <v>0</v>
      </c>
      <c r="M506" s="38">
        <v>0</v>
      </c>
      <c r="N506" s="38">
        <v>0</v>
      </c>
      <c r="O506" s="38">
        <v>0</v>
      </c>
      <c r="P506" s="34"/>
      <c r="Q506" s="36"/>
      <c r="R506" s="37"/>
    </row>
    <row r="507" spans="1:18" ht="157.5" x14ac:dyDescent="0.25">
      <c r="A507" s="26" t="s">
        <v>1328</v>
      </c>
      <c r="B507" s="27" t="s">
        <v>1329</v>
      </c>
      <c r="C507" s="28" t="s">
        <v>261</v>
      </c>
      <c r="D507" s="28" t="s">
        <v>286</v>
      </c>
      <c r="E507" s="28" t="s">
        <v>34</v>
      </c>
      <c r="F507" s="29">
        <f t="shared" ref="F507:O507" si="247">SUM(F508:F508)</f>
        <v>20100</v>
      </c>
      <c r="G507" s="29">
        <f t="shared" si="247"/>
        <v>20100</v>
      </c>
      <c r="H507" s="29">
        <f t="shared" si="247"/>
        <v>0</v>
      </c>
      <c r="I507" s="29">
        <f t="shared" si="247"/>
        <v>0</v>
      </c>
      <c r="J507" s="29">
        <f t="shared" si="247"/>
        <v>0</v>
      </c>
      <c r="K507" s="29">
        <f t="shared" si="247"/>
        <v>0</v>
      </c>
      <c r="L507" s="29">
        <f t="shared" si="247"/>
        <v>0</v>
      </c>
      <c r="M507" s="29">
        <f t="shared" si="247"/>
        <v>0</v>
      </c>
      <c r="N507" s="29">
        <f t="shared" si="247"/>
        <v>0</v>
      </c>
      <c r="O507" s="29">
        <f t="shared" si="247"/>
        <v>0</v>
      </c>
      <c r="P507" s="28" t="s">
        <v>1330</v>
      </c>
      <c r="Q507" s="30" t="s">
        <v>356</v>
      </c>
      <c r="R507" s="31" t="s">
        <v>482</v>
      </c>
    </row>
    <row r="508" spans="1:18" ht="69.75" x14ac:dyDescent="0.25">
      <c r="A508" s="32" t="s">
        <v>1331</v>
      </c>
      <c r="B508" s="33" t="s">
        <v>1332</v>
      </c>
      <c r="C508" s="34" t="s">
        <v>261</v>
      </c>
      <c r="D508" s="34" t="s">
        <v>286</v>
      </c>
      <c r="E508" s="34" t="s">
        <v>41</v>
      </c>
      <c r="F508" s="35">
        <f>SUM(F509:F509)+20100</f>
        <v>20100</v>
      </c>
      <c r="G508" s="35">
        <f>SUM(G509:G509)+20100</f>
        <v>20100</v>
      </c>
      <c r="H508" s="35">
        <f t="shared" ref="H508:O508" si="248">SUM(H509:H509)</f>
        <v>0</v>
      </c>
      <c r="I508" s="35">
        <f t="shared" si="248"/>
        <v>0</v>
      </c>
      <c r="J508" s="35">
        <f t="shared" si="248"/>
        <v>0</v>
      </c>
      <c r="K508" s="35">
        <f t="shared" si="248"/>
        <v>0</v>
      </c>
      <c r="L508" s="35">
        <f t="shared" si="248"/>
        <v>0</v>
      </c>
      <c r="M508" s="35">
        <f t="shared" si="248"/>
        <v>0</v>
      </c>
      <c r="N508" s="35">
        <f t="shared" si="248"/>
        <v>0</v>
      </c>
      <c r="O508" s="35">
        <f t="shared" si="248"/>
        <v>0</v>
      </c>
      <c r="P508" s="34" t="s">
        <v>1333</v>
      </c>
      <c r="Q508" s="36" t="s">
        <v>356</v>
      </c>
      <c r="R508" s="37" t="s">
        <v>482</v>
      </c>
    </row>
    <row r="509" spans="1:18" ht="116.25" x14ac:dyDescent="0.25">
      <c r="A509" s="32" t="s">
        <v>1334</v>
      </c>
      <c r="B509" s="33" t="s">
        <v>1335</v>
      </c>
      <c r="C509" s="34"/>
      <c r="D509" s="34"/>
      <c r="E509" s="34"/>
      <c r="F509" s="38">
        <v>0</v>
      </c>
      <c r="G509" s="38">
        <v>0</v>
      </c>
      <c r="H509" s="38">
        <v>0</v>
      </c>
      <c r="I509" s="38">
        <v>0</v>
      </c>
      <c r="J509" s="38">
        <v>0</v>
      </c>
      <c r="K509" s="38">
        <v>0</v>
      </c>
      <c r="L509" s="38">
        <v>0</v>
      </c>
      <c r="M509" s="38">
        <v>0</v>
      </c>
      <c r="N509" s="38">
        <v>0</v>
      </c>
      <c r="O509" s="38">
        <v>0</v>
      </c>
      <c r="P509" s="34"/>
      <c r="Q509" s="36"/>
      <c r="R509" s="37"/>
    </row>
    <row r="510" spans="1:18" ht="112.5" x14ac:dyDescent="0.25">
      <c r="A510" s="26" t="s">
        <v>1336</v>
      </c>
      <c r="B510" s="27" t="s">
        <v>1337</v>
      </c>
      <c r="C510" s="28" t="s">
        <v>261</v>
      </c>
      <c r="D510" s="28" t="s">
        <v>286</v>
      </c>
      <c r="E510" s="28" t="s">
        <v>34</v>
      </c>
      <c r="F510" s="29">
        <f t="shared" ref="F510:O510" si="249">F511+F513</f>
        <v>437450</v>
      </c>
      <c r="G510" s="29">
        <f t="shared" si="249"/>
        <v>419243.77</v>
      </c>
      <c r="H510" s="29">
        <f t="shared" si="249"/>
        <v>18206.23</v>
      </c>
      <c r="I510" s="29">
        <f t="shared" si="249"/>
        <v>0</v>
      </c>
      <c r="J510" s="29">
        <f t="shared" si="249"/>
        <v>0</v>
      </c>
      <c r="K510" s="29">
        <f t="shared" si="249"/>
        <v>0</v>
      </c>
      <c r="L510" s="29">
        <f t="shared" si="249"/>
        <v>0</v>
      </c>
      <c r="M510" s="29">
        <f t="shared" si="249"/>
        <v>0</v>
      </c>
      <c r="N510" s="29">
        <f t="shared" si="249"/>
        <v>0</v>
      </c>
      <c r="O510" s="29">
        <f t="shared" si="249"/>
        <v>0</v>
      </c>
      <c r="P510" s="28" t="s">
        <v>1338</v>
      </c>
      <c r="Q510" s="30" t="s">
        <v>36</v>
      </c>
      <c r="R510" s="31" t="s">
        <v>186</v>
      </c>
    </row>
    <row r="511" spans="1:18" ht="69.75" x14ac:dyDescent="0.25">
      <c r="A511" s="32" t="s">
        <v>1339</v>
      </c>
      <c r="B511" s="33" t="s">
        <v>1340</v>
      </c>
      <c r="C511" s="34" t="s">
        <v>261</v>
      </c>
      <c r="D511" s="34" t="s">
        <v>286</v>
      </c>
      <c r="E511" s="34" t="s">
        <v>41</v>
      </c>
      <c r="F511" s="35">
        <f>SUM(F512:F512)+278450</f>
        <v>278450</v>
      </c>
      <c r="G511" s="35">
        <f>SUM(G512:G512)+260243.77</f>
        <v>260243.77</v>
      </c>
      <c r="H511" s="35">
        <f>SUM(H512:H512)+18206.23</f>
        <v>18206.23</v>
      </c>
      <c r="I511" s="35">
        <f t="shared" ref="I511:O511" si="250">SUM(I512:I512)</f>
        <v>0</v>
      </c>
      <c r="J511" s="35">
        <f t="shared" si="250"/>
        <v>0</v>
      </c>
      <c r="K511" s="35">
        <f t="shared" si="250"/>
        <v>0</v>
      </c>
      <c r="L511" s="35">
        <f t="shared" si="250"/>
        <v>0</v>
      </c>
      <c r="M511" s="35">
        <f t="shared" si="250"/>
        <v>0</v>
      </c>
      <c r="N511" s="35">
        <f t="shared" si="250"/>
        <v>0</v>
      </c>
      <c r="O511" s="35">
        <f t="shared" si="250"/>
        <v>0</v>
      </c>
      <c r="P511" s="34" t="s">
        <v>1341</v>
      </c>
      <c r="Q511" s="36" t="s">
        <v>36</v>
      </c>
      <c r="R511" s="37" t="s">
        <v>62</v>
      </c>
    </row>
    <row r="512" spans="1:18" ht="46.5" x14ac:dyDescent="0.25">
      <c r="A512" s="32" t="s">
        <v>1342</v>
      </c>
      <c r="B512" s="33" t="s">
        <v>1343</v>
      </c>
      <c r="C512" s="34"/>
      <c r="D512" s="34"/>
      <c r="E512" s="34"/>
      <c r="F512" s="38">
        <v>0</v>
      </c>
      <c r="G512" s="38">
        <v>0</v>
      </c>
      <c r="H512" s="38">
        <v>0</v>
      </c>
      <c r="I512" s="38">
        <v>0</v>
      </c>
      <c r="J512" s="38">
        <v>0</v>
      </c>
      <c r="K512" s="38">
        <v>0</v>
      </c>
      <c r="L512" s="38">
        <v>0</v>
      </c>
      <c r="M512" s="38">
        <v>0</v>
      </c>
      <c r="N512" s="38">
        <v>0</v>
      </c>
      <c r="O512" s="38">
        <v>0</v>
      </c>
      <c r="P512" s="34"/>
      <c r="Q512" s="36"/>
      <c r="R512" s="37"/>
    </row>
    <row r="513" spans="1:18" ht="93" x14ac:dyDescent="0.25">
      <c r="A513" s="32" t="s">
        <v>1344</v>
      </c>
      <c r="B513" s="33" t="s">
        <v>1345</v>
      </c>
      <c r="C513" s="34" t="s">
        <v>261</v>
      </c>
      <c r="D513" s="34" t="s">
        <v>286</v>
      </c>
      <c r="E513" s="34" t="s">
        <v>41</v>
      </c>
      <c r="F513" s="35">
        <f>SUM(F514:F514)+159000</f>
        <v>159000</v>
      </c>
      <c r="G513" s="35">
        <f>SUM(G514:G514)+159000</f>
        <v>159000</v>
      </c>
      <c r="H513" s="35">
        <f t="shared" ref="H513:O513" si="251">SUM(H514:H514)</f>
        <v>0</v>
      </c>
      <c r="I513" s="35">
        <f t="shared" si="251"/>
        <v>0</v>
      </c>
      <c r="J513" s="35">
        <f t="shared" si="251"/>
        <v>0</v>
      </c>
      <c r="K513" s="35">
        <f t="shared" si="251"/>
        <v>0</v>
      </c>
      <c r="L513" s="35">
        <f t="shared" si="251"/>
        <v>0</v>
      </c>
      <c r="M513" s="35">
        <f t="shared" si="251"/>
        <v>0</v>
      </c>
      <c r="N513" s="35">
        <f t="shared" si="251"/>
        <v>0</v>
      </c>
      <c r="O513" s="35">
        <f t="shared" si="251"/>
        <v>0</v>
      </c>
      <c r="P513" s="34" t="s">
        <v>1346</v>
      </c>
      <c r="Q513" s="36" t="s">
        <v>36</v>
      </c>
      <c r="R513" s="37" t="s">
        <v>186</v>
      </c>
    </row>
    <row r="514" spans="1:18" ht="69.75" x14ac:dyDescent="0.25">
      <c r="A514" s="32" t="s">
        <v>1347</v>
      </c>
      <c r="B514" s="33" t="s">
        <v>1348</v>
      </c>
      <c r="C514" s="34"/>
      <c r="D514" s="34"/>
      <c r="E514" s="34"/>
      <c r="F514" s="38">
        <v>0</v>
      </c>
      <c r="G514" s="38">
        <v>0</v>
      </c>
      <c r="H514" s="38">
        <v>0</v>
      </c>
      <c r="I514" s="38">
        <v>0</v>
      </c>
      <c r="J514" s="38">
        <v>0</v>
      </c>
      <c r="K514" s="38">
        <v>0</v>
      </c>
      <c r="L514" s="38">
        <v>0</v>
      </c>
      <c r="M514" s="38">
        <v>0</v>
      </c>
      <c r="N514" s="38">
        <v>0</v>
      </c>
      <c r="O514" s="38">
        <v>0</v>
      </c>
      <c r="P514" s="34"/>
      <c r="Q514" s="36"/>
      <c r="R514" s="37"/>
    </row>
    <row r="515" spans="1:18" ht="90" x14ac:dyDescent="0.25">
      <c r="A515" s="26" t="s">
        <v>1349</v>
      </c>
      <c r="B515" s="27" t="s">
        <v>1350</v>
      </c>
      <c r="C515" s="28" t="s">
        <v>261</v>
      </c>
      <c r="D515" s="28" t="s">
        <v>286</v>
      </c>
      <c r="E515" s="28" t="s">
        <v>34</v>
      </c>
      <c r="F515" s="29">
        <f t="shared" ref="F515:O515" si="252">F516+F518</f>
        <v>16000</v>
      </c>
      <c r="G515" s="29">
        <f t="shared" si="252"/>
        <v>16000</v>
      </c>
      <c r="H515" s="29">
        <f t="shared" si="252"/>
        <v>0</v>
      </c>
      <c r="I515" s="29">
        <f t="shared" si="252"/>
        <v>0</v>
      </c>
      <c r="J515" s="29">
        <f t="shared" si="252"/>
        <v>0</v>
      </c>
      <c r="K515" s="29">
        <f t="shared" si="252"/>
        <v>0</v>
      </c>
      <c r="L515" s="29">
        <f t="shared" si="252"/>
        <v>0</v>
      </c>
      <c r="M515" s="29">
        <f t="shared" si="252"/>
        <v>0</v>
      </c>
      <c r="N515" s="29">
        <f t="shared" si="252"/>
        <v>0</v>
      </c>
      <c r="O515" s="29">
        <f t="shared" si="252"/>
        <v>0</v>
      </c>
      <c r="P515" s="28" t="s">
        <v>1351</v>
      </c>
      <c r="Q515" s="30" t="s">
        <v>36</v>
      </c>
      <c r="R515" s="31" t="s">
        <v>1057</v>
      </c>
    </row>
    <row r="516" spans="1:18" ht="93" x14ac:dyDescent="0.25">
      <c r="A516" s="32" t="s">
        <v>1352</v>
      </c>
      <c r="B516" s="33" t="s">
        <v>1353</v>
      </c>
      <c r="C516" s="34" t="s">
        <v>261</v>
      </c>
      <c r="D516" s="34" t="s">
        <v>286</v>
      </c>
      <c r="E516" s="34" t="s">
        <v>41</v>
      </c>
      <c r="F516" s="35">
        <f>SUM(F517:F517)+1000</f>
        <v>1000</v>
      </c>
      <c r="G516" s="35">
        <f>SUM(G517:G517)+1000</f>
        <v>1000</v>
      </c>
      <c r="H516" s="35">
        <f t="shared" ref="H516:O516" si="253">SUM(H517:H517)</f>
        <v>0</v>
      </c>
      <c r="I516" s="35">
        <f t="shared" si="253"/>
        <v>0</v>
      </c>
      <c r="J516" s="35">
        <f t="shared" si="253"/>
        <v>0</v>
      </c>
      <c r="K516" s="35">
        <f t="shared" si="253"/>
        <v>0</v>
      </c>
      <c r="L516" s="35">
        <f t="shared" si="253"/>
        <v>0</v>
      </c>
      <c r="M516" s="35">
        <f t="shared" si="253"/>
        <v>0</v>
      </c>
      <c r="N516" s="35">
        <f t="shared" si="253"/>
        <v>0</v>
      </c>
      <c r="O516" s="35">
        <f t="shared" si="253"/>
        <v>0</v>
      </c>
      <c r="P516" s="34" t="s">
        <v>1354</v>
      </c>
      <c r="Q516" s="36" t="s">
        <v>36</v>
      </c>
      <c r="R516" s="37" t="s">
        <v>1057</v>
      </c>
    </row>
    <row r="517" spans="1:18" ht="93" x14ac:dyDescent="0.25">
      <c r="A517" s="32" t="s">
        <v>1355</v>
      </c>
      <c r="B517" s="33" t="s">
        <v>1356</v>
      </c>
      <c r="C517" s="34"/>
      <c r="D517" s="34"/>
      <c r="E517" s="34"/>
      <c r="F517" s="38">
        <v>0</v>
      </c>
      <c r="G517" s="38">
        <v>0</v>
      </c>
      <c r="H517" s="38">
        <v>0</v>
      </c>
      <c r="I517" s="38">
        <v>0</v>
      </c>
      <c r="J517" s="38">
        <v>0</v>
      </c>
      <c r="K517" s="38">
        <v>0</v>
      </c>
      <c r="L517" s="38">
        <v>0</v>
      </c>
      <c r="M517" s="38">
        <v>0</v>
      </c>
      <c r="N517" s="38">
        <v>0</v>
      </c>
      <c r="O517" s="38">
        <v>0</v>
      </c>
      <c r="P517" s="34"/>
      <c r="Q517" s="36"/>
      <c r="R517" s="37"/>
    </row>
    <row r="518" spans="1:18" ht="69.75" x14ac:dyDescent="0.25">
      <c r="A518" s="32" t="s">
        <v>1357</v>
      </c>
      <c r="B518" s="33" t="s">
        <v>1358</v>
      </c>
      <c r="C518" s="34" t="s">
        <v>261</v>
      </c>
      <c r="D518" s="34" t="s">
        <v>286</v>
      </c>
      <c r="E518" s="34" t="s">
        <v>41</v>
      </c>
      <c r="F518" s="35">
        <f>SUM(F519:F519)+15000</f>
        <v>15000</v>
      </c>
      <c r="G518" s="35">
        <f>SUM(G519:G519)+15000</f>
        <v>15000</v>
      </c>
      <c r="H518" s="35">
        <f t="shared" ref="H518:O518" si="254">SUM(H519:H519)</f>
        <v>0</v>
      </c>
      <c r="I518" s="35">
        <f t="shared" si="254"/>
        <v>0</v>
      </c>
      <c r="J518" s="35">
        <f t="shared" si="254"/>
        <v>0</v>
      </c>
      <c r="K518" s="35">
        <f t="shared" si="254"/>
        <v>0</v>
      </c>
      <c r="L518" s="35">
        <f t="shared" si="254"/>
        <v>0</v>
      </c>
      <c r="M518" s="35">
        <f t="shared" si="254"/>
        <v>0</v>
      </c>
      <c r="N518" s="35">
        <f t="shared" si="254"/>
        <v>0</v>
      </c>
      <c r="O518" s="35">
        <f t="shared" si="254"/>
        <v>0</v>
      </c>
      <c r="P518" s="34" t="s">
        <v>520</v>
      </c>
      <c r="Q518" s="36" t="s">
        <v>36</v>
      </c>
      <c r="R518" s="37" t="s">
        <v>37</v>
      </c>
    </row>
    <row r="519" spans="1:18" ht="93" x14ac:dyDescent="0.25">
      <c r="A519" s="32" t="s">
        <v>1359</v>
      </c>
      <c r="B519" s="33" t="s">
        <v>522</v>
      </c>
      <c r="C519" s="34"/>
      <c r="D519" s="34"/>
      <c r="E519" s="34"/>
      <c r="F519" s="38">
        <v>0</v>
      </c>
      <c r="G519" s="38">
        <v>0</v>
      </c>
      <c r="H519" s="38">
        <v>0</v>
      </c>
      <c r="I519" s="38">
        <v>0</v>
      </c>
      <c r="J519" s="38">
        <v>0</v>
      </c>
      <c r="K519" s="38">
        <v>0</v>
      </c>
      <c r="L519" s="38">
        <v>0</v>
      </c>
      <c r="M519" s="38">
        <v>0</v>
      </c>
      <c r="N519" s="38">
        <v>0</v>
      </c>
      <c r="O519" s="38">
        <v>0</v>
      </c>
      <c r="P519" s="34"/>
      <c r="Q519" s="36"/>
      <c r="R519" s="37"/>
    </row>
    <row r="520" spans="1:18" ht="67.5" x14ac:dyDescent="0.25">
      <c r="A520" s="26" t="s">
        <v>1360</v>
      </c>
      <c r="B520" s="27" t="s">
        <v>1361</v>
      </c>
      <c r="C520" s="28"/>
      <c r="D520" s="28"/>
      <c r="E520" s="28" t="s">
        <v>34</v>
      </c>
      <c r="F520" s="45">
        <v>0</v>
      </c>
      <c r="G520" s="45">
        <v>0</v>
      </c>
      <c r="H520" s="45">
        <v>0</v>
      </c>
      <c r="I520" s="45">
        <v>0</v>
      </c>
      <c r="J520" s="45">
        <v>0</v>
      </c>
      <c r="K520" s="45">
        <v>0</v>
      </c>
      <c r="L520" s="45">
        <v>0</v>
      </c>
      <c r="M520" s="45">
        <v>0</v>
      </c>
      <c r="N520" s="45">
        <v>0</v>
      </c>
      <c r="O520" s="45">
        <v>0</v>
      </c>
      <c r="P520" s="28"/>
      <c r="Q520" s="30"/>
      <c r="R520" s="31"/>
    </row>
    <row r="521" spans="1:18" ht="67.5" x14ac:dyDescent="0.25">
      <c r="A521" s="20" t="s">
        <v>1362</v>
      </c>
      <c r="B521" s="21" t="s">
        <v>363</v>
      </c>
      <c r="C521" s="22" t="s">
        <v>364</v>
      </c>
      <c r="D521" s="22" t="s">
        <v>365</v>
      </c>
      <c r="E521" s="22"/>
      <c r="F521" s="23">
        <f t="shared" ref="F521:O521" si="255">SUM(F522:F522)</f>
        <v>426200</v>
      </c>
      <c r="G521" s="23">
        <f t="shared" si="255"/>
        <v>105000</v>
      </c>
      <c r="H521" s="23">
        <f t="shared" si="255"/>
        <v>0</v>
      </c>
      <c r="I521" s="23">
        <f t="shared" si="255"/>
        <v>0</v>
      </c>
      <c r="J521" s="23">
        <f t="shared" si="255"/>
        <v>321200</v>
      </c>
      <c r="K521" s="23">
        <f t="shared" si="255"/>
        <v>0</v>
      </c>
      <c r="L521" s="23">
        <f t="shared" si="255"/>
        <v>0</v>
      </c>
      <c r="M521" s="23">
        <f t="shared" si="255"/>
        <v>0</v>
      </c>
      <c r="N521" s="23">
        <f t="shared" si="255"/>
        <v>0</v>
      </c>
      <c r="O521" s="23">
        <f t="shared" si="255"/>
        <v>0</v>
      </c>
      <c r="P521" s="22" t="s">
        <v>366</v>
      </c>
      <c r="Q521" s="24" t="s">
        <v>30</v>
      </c>
      <c r="R521" s="25" t="s">
        <v>72</v>
      </c>
    </row>
    <row r="522" spans="1:18" ht="90" x14ac:dyDescent="0.25">
      <c r="A522" s="26" t="s">
        <v>1363</v>
      </c>
      <c r="B522" s="27" t="s">
        <v>1364</v>
      </c>
      <c r="C522" s="28" t="s">
        <v>364</v>
      </c>
      <c r="D522" s="28" t="s">
        <v>1365</v>
      </c>
      <c r="E522" s="28" t="s">
        <v>34</v>
      </c>
      <c r="F522" s="29">
        <f t="shared" ref="F522:O522" si="256">F523+F525</f>
        <v>426200</v>
      </c>
      <c r="G522" s="29">
        <f t="shared" si="256"/>
        <v>105000</v>
      </c>
      <c r="H522" s="29">
        <f t="shared" si="256"/>
        <v>0</v>
      </c>
      <c r="I522" s="29">
        <f t="shared" si="256"/>
        <v>0</v>
      </c>
      <c r="J522" s="29">
        <f t="shared" si="256"/>
        <v>321200</v>
      </c>
      <c r="K522" s="29">
        <f t="shared" si="256"/>
        <v>0</v>
      </c>
      <c r="L522" s="29">
        <f t="shared" si="256"/>
        <v>0</v>
      </c>
      <c r="M522" s="29">
        <f t="shared" si="256"/>
        <v>0</v>
      </c>
      <c r="N522" s="29">
        <f t="shared" si="256"/>
        <v>0</v>
      </c>
      <c r="O522" s="29">
        <f t="shared" si="256"/>
        <v>0</v>
      </c>
      <c r="P522" s="28" t="s">
        <v>1366</v>
      </c>
      <c r="Q522" s="30" t="s">
        <v>1089</v>
      </c>
      <c r="R522" s="31" t="s">
        <v>1367</v>
      </c>
    </row>
    <row r="523" spans="1:18" ht="46.5" x14ac:dyDescent="0.25">
      <c r="A523" s="32" t="s">
        <v>1368</v>
      </c>
      <c r="B523" s="33" t="s">
        <v>1369</v>
      </c>
      <c r="C523" s="34" t="s">
        <v>364</v>
      </c>
      <c r="D523" s="34" t="s">
        <v>374</v>
      </c>
      <c r="E523" s="34" t="s">
        <v>41</v>
      </c>
      <c r="F523" s="35">
        <f>SUM(F524:F524)+343850.17</f>
        <v>343850.17</v>
      </c>
      <c r="G523" s="35">
        <f>SUM(G524:G524)+22650.17</f>
        <v>22650.17</v>
      </c>
      <c r="H523" s="35">
        <f>SUM(H524:H524)</f>
        <v>0</v>
      </c>
      <c r="I523" s="35">
        <f>SUM(I524:I524)</f>
        <v>0</v>
      </c>
      <c r="J523" s="35">
        <f>SUM(J524:J524)+321200</f>
        <v>321200</v>
      </c>
      <c r="K523" s="35">
        <f>SUM(K524:K524)</f>
        <v>0</v>
      </c>
      <c r="L523" s="35">
        <f>SUM(L524:L524)</f>
        <v>0</v>
      </c>
      <c r="M523" s="35">
        <f>SUM(M524:M524)</f>
        <v>0</v>
      </c>
      <c r="N523" s="35">
        <f>SUM(N524:N524)</f>
        <v>0</v>
      </c>
      <c r="O523" s="35">
        <f>SUM(O524:O524)</f>
        <v>0</v>
      </c>
      <c r="P523" s="34" t="s">
        <v>1370</v>
      </c>
      <c r="Q523" s="36" t="s">
        <v>356</v>
      </c>
      <c r="R523" s="37" t="s">
        <v>162</v>
      </c>
    </row>
    <row r="524" spans="1:18" ht="93" x14ac:dyDescent="0.25">
      <c r="A524" s="32" t="s">
        <v>1371</v>
      </c>
      <c r="B524" s="33" t="s">
        <v>1372</v>
      </c>
      <c r="C524" s="34"/>
      <c r="D524" s="34"/>
      <c r="E524" s="34"/>
      <c r="F524" s="38">
        <v>0</v>
      </c>
      <c r="G524" s="38">
        <v>0</v>
      </c>
      <c r="H524" s="38">
        <v>0</v>
      </c>
      <c r="I524" s="38">
        <v>0</v>
      </c>
      <c r="J524" s="38">
        <v>0</v>
      </c>
      <c r="K524" s="38">
        <v>0</v>
      </c>
      <c r="L524" s="38">
        <v>0</v>
      </c>
      <c r="M524" s="38">
        <v>0</v>
      </c>
      <c r="N524" s="38">
        <v>0</v>
      </c>
      <c r="O524" s="38">
        <v>0</v>
      </c>
      <c r="P524" s="34"/>
      <c r="Q524" s="36"/>
      <c r="R524" s="37"/>
    </row>
    <row r="525" spans="1:18" ht="46.5" x14ac:dyDescent="0.25">
      <c r="A525" s="32" t="s">
        <v>1373</v>
      </c>
      <c r="B525" s="33" t="s">
        <v>1374</v>
      </c>
      <c r="C525" s="34" t="s">
        <v>364</v>
      </c>
      <c r="D525" s="34" t="s">
        <v>374</v>
      </c>
      <c r="E525" s="34" t="s">
        <v>41</v>
      </c>
      <c r="F525" s="35">
        <f>SUM(F526:F527)+82349.83</f>
        <v>82349.83</v>
      </c>
      <c r="G525" s="35">
        <f>SUM(G526:G527)+82349.83</f>
        <v>82349.83</v>
      </c>
      <c r="H525" s="35">
        <f t="shared" ref="H525:O525" si="257">SUM(H526:H527)</f>
        <v>0</v>
      </c>
      <c r="I525" s="35">
        <f t="shared" si="257"/>
        <v>0</v>
      </c>
      <c r="J525" s="35">
        <f t="shared" si="257"/>
        <v>0</v>
      </c>
      <c r="K525" s="35">
        <f t="shared" si="257"/>
        <v>0</v>
      </c>
      <c r="L525" s="35">
        <f t="shared" si="257"/>
        <v>0</v>
      </c>
      <c r="M525" s="35">
        <f t="shared" si="257"/>
        <v>0</v>
      </c>
      <c r="N525" s="35">
        <f t="shared" si="257"/>
        <v>0</v>
      </c>
      <c r="O525" s="35">
        <f t="shared" si="257"/>
        <v>0</v>
      </c>
      <c r="P525" s="34" t="s">
        <v>1375</v>
      </c>
      <c r="Q525" s="36" t="s">
        <v>36</v>
      </c>
      <c r="R525" s="37" t="s">
        <v>37</v>
      </c>
    </row>
    <row r="526" spans="1:18" ht="46.5" x14ac:dyDescent="0.25">
      <c r="A526" s="39"/>
      <c r="B526" s="40"/>
      <c r="C526" s="41"/>
      <c r="D526" s="41"/>
      <c r="E526" s="41"/>
      <c r="F526" s="42">
        <v>0</v>
      </c>
      <c r="G526" s="42">
        <v>0</v>
      </c>
      <c r="H526" s="42">
        <v>0</v>
      </c>
      <c r="I526" s="42">
        <v>0</v>
      </c>
      <c r="J526" s="42">
        <v>0</v>
      </c>
      <c r="K526" s="42">
        <v>0</v>
      </c>
      <c r="L526" s="42">
        <v>0</v>
      </c>
      <c r="M526" s="42">
        <v>0</v>
      </c>
      <c r="N526" s="42">
        <v>0</v>
      </c>
      <c r="O526" s="42">
        <v>0</v>
      </c>
      <c r="P526" s="41" t="s">
        <v>1376</v>
      </c>
      <c r="Q526" s="43" t="s">
        <v>36</v>
      </c>
      <c r="R526" s="44" t="s">
        <v>251</v>
      </c>
    </row>
    <row r="527" spans="1:18" ht="116.25" x14ac:dyDescent="0.25">
      <c r="A527" s="32" t="s">
        <v>1377</v>
      </c>
      <c r="B527" s="33" t="s">
        <v>1378</v>
      </c>
      <c r="C527" s="34"/>
      <c r="D527" s="34"/>
      <c r="E527" s="34"/>
      <c r="F527" s="38">
        <v>0</v>
      </c>
      <c r="G527" s="38">
        <v>0</v>
      </c>
      <c r="H527" s="38">
        <v>0</v>
      </c>
      <c r="I527" s="38">
        <v>0</v>
      </c>
      <c r="J527" s="38">
        <v>0</v>
      </c>
      <c r="K527" s="38">
        <v>0</v>
      </c>
      <c r="L527" s="38">
        <v>0</v>
      </c>
      <c r="M527" s="38">
        <v>0</v>
      </c>
      <c r="N527" s="38">
        <v>0</v>
      </c>
      <c r="O527" s="38">
        <v>0</v>
      </c>
      <c r="P527" s="34"/>
      <c r="Q527" s="36"/>
      <c r="R527" s="37"/>
    </row>
    <row r="528" spans="1:18" ht="90" x14ac:dyDescent="0.25">
      <c r="A528" s="20" t="s">
        <v>1379</v>
      </c>
      <c r="B528" s="21" t="s">
        <v>1380</v>
      </c>
      <c r="C528" s="22" t="s">
        <v>364</v>
      </c>
      <c r="D528" s="22" t="s">
        <v>1381</v>
      </c>
      <c r="E528" s="22"/>
      <c r="F528" s="23">
        <f t="shared" ref="F528:O529" si="258">SUM(F529:F529)</f>
        <v>9000</v>
      </c>
      <c r="G528" s="23">
        <f t="shared" si="258"/>
        <v>9000</v>
      </c>
      <c r="H528" s="23">
        <f t="shared" si="258"/>
        <v>0</v>
      </c>
      <c r="I528" s="23">
        <f t="shared" si="258"/>
        <v>0</v>
      </c>
      <c r="J528" s="23">
        <f t="shared" si="258"/>
        <v>0</v>
      </c>
      <c r="K528" s="23">
        <f t="shared" si="258"/>
        <v>0</v>
      </c>
      <c r="L528" s="23">
        <f t="shared" si="258"/>
        <v>0</v>
      </c>
      <c r="M528" s="23">
        <f t="shared" si="258"/>
        <v>0</v>
      </c>
      <c r="N528" s="23">
        <f t="shared" si="258"/>
        <v>0</v>
      </c>
      <c r="O528" s="23">
        <f t="shared" si="258"/>
        <v>0</v>
      </c>
      <c r="P528" s="22" t="s">
        <v>1382</v>
      </c>
      <c r="Q528" s="24" t="s">
        <v>30</v>
      </c>
      <c r="R528" s="25" t="s">
        <v>1383</v>
      </c>
    </row>
    <row r="529" spans="1:18" ht="112.5" x14ac:dyDescent="0.25">
      <c r="A529" s="26" t="s">
        <v>1384</v>
      </c>
      <c r="B529" s="27" t="s">
        <v>1385</v>
      </c>
      <c r="C529" s="28" t="s">
        <v>364</v>
      </c>
      <c r="D529" s="28" t="s">
        <v>1365</v>
      </c>
      <c r="E529" s="28" t="s">
        <v>34</v>
      </c>
      <c r="F529" s="29">
        <f t="shared" si="258"/>
        <v>9000</v>
      </c>
      <c r="G529" s="29">
        <f t="shared" si="258"/>
        <v>9000</v>
      </c>
      <c r="H529" s="29">
        <f t="shared" si="258"/>
        <v>0</v>
      </c>
      <c r="I529" s="29">
        <f t="shared" si="258"/>
        <v>0</v>
      </c>
      <c r="J529" s="29">
        <f t="shared" si="258"/>
        <v>0</v>
      </c>
      <c r="K529" s="29">
        <f t="shared" si="258"/>
        <v>0</v>
      </c>
      <c r="L529" s="29">
        <f t="shared" si="258"/>
        <v>0</v>
      </c>
      <c r="M529" s="29">
        <f t="shared" si="258"/>
        <v>0</v>
      </c>
      <c r="N529" s="29">
        <f t="shared" si="258"/>
        <v>0</v>
      </c>
      <c r="O529" s="29">
        <f t="shared" si="258"/>
        <v>0</v>
      </c>
      <c r="P529" s="28" t="s">
        <v>1386</v>
      </c>
      <c r="Q529" s="30" t="s">
        <v>36</v>
      </c>
      <c r="R529" s="31" t="s">
        <v>1387</v>
      </c>
    </row>
    <row r="530" spans="1:18" ht="93" x14ac:dyDescent="0.25">
      <c r="A530" s="32" t="s">
        <v>1388</v>
      </c>
      <c r="B530" s="33" t="s">
        <v>1389</v>
      </c>
      <c r="C530" s="34" t="s">
        <v>364</v>
      </c>
      <c r="D530" s="34" t="s">
        <v>1381</v>
      </c>
      <c r="E530" s="34" t="s">
        <v>41</v>
      </c>
      <c r="F530" s="35">
        <f>SUM(F531:F531)+9000</f>
        <v>9000</v>
      </c>
      <c r="G530" s="35">
        <f>SUM(G531:G531)+9000</f>
        <v>9000</v>
      </c>
      <c r="H530" s="35">
        <f t="shared" ref="H530:O530" si="259">SUM(H531:H531)</f>
        <v>0</v>
      </c>
      <c r="I530" s="35">
        <f t="shared" si="259"/>
        <v>0</v>
      </c>
      <c r="J530" s="35">
        <f t="shared" si="259"/>
        <v>0</v>
      </c>
      <c r="K530" s="35">
        <f t="shared" si="259"/>
        <v>0</v>
      </c>
      <c r="L530" s="35">
        <f t="shared" si="259"/>
        <v>0</v>
      </c>
      <c r="M530" s="35">
        <f t="shared" si="259"/>
        <v>0</v>
      </c>
      <c r="N530" s="35">
        <f t="shared" si="259"/>
        <v>0</v>
      </c>
      <c r="O530" s="35">
        <f t="shared" si="259"/>
        <v>0</v>
      </c>
      <c r="P530" s="34" t="s">
        <v>1390</v>
      </c>
      <c r="Q530" s="36" t="s">
        <v>36</v>
      </c>
      <c r="R530" s="37" t="s">
        <v>1391</v>
      </c>
    </row>
    <row r="531" spans="1:18" ht="116.25" x14ac:dyDescent="0.25">
      <c r="A531" s="32" t="s">
        <v>1392</v>
      </c>
      <c r="B531" s="33" t="s">
        <v>1393</v>
      </c>
      <c r="C531" s="34"/>
      <c r="D531" s="34"/>
      <c r="E531" s="34"/>
      <c r="F531" s="38">
        <v>0</v>
      </c>
      <c r="G531" s="38">
        <v>0</v>
      </c>
      <c r="H531" s="38">
        <v>0</v>
      </c>
      <c r="I531" s="38">
        <v>0</v>
      </c>
      <c r="J531" s="38">
        <v>0</v>
      </c>
      <c r="K531" s="38">
        <v>0</v>
      </c>
      <c r="L531" s="38">
        <v>0</v>
      </c>
      <c r="M531" s="38">
        <v>0</v>
      </c>
      <c r="N531" s="38">
        <v>0</v>
      </c>
      <c r="O531" s="38">
        <v>0</v>
      </c>
      <c r="P531" s="34"/>
      <c r="Q531" s="36"/>
      <c r="R531" s="37"/>
    </row>
    <row r="532" spans="1:18" ht="45" x14ac:dyDescent="0.25">
      <c r="A532" s="14" t="s">
        <v>1394</v>
      </c>
      <c r="B532" s="15" t="s">
        <v>1395</v>
      </c>
      <c r="C532" s="16" t="s">
        <v>1396</v>
      </c>
      <c r="D532" s="16" t="s">
        <v>1397</v>
      </c>
      <c r="E532" s="16"/>
      <c r="F532" s="17">
        <f t="shared" ref="F532:O532" si="260">F533+F582+F712+F720+F750+F762</f>
        <v>20929557.799999997</v>
      </c>
      <c r="G532" s="17">
        <f t="shared" si="260"/>
        <v>5773846</v>
      </c>
      <c r="H532" s="17">
        <f t="shared" si="260"/>
        <v>142872.44</v>
      </c>
      <c r="I532" s="17">
        <f t="shared" si="260"/>
        <v>0</v>
      </c>
      <c r="J532" s="17">
        <f t="shared" si="260"/>
        <v>1801855</v>
      </c>
      <c r="K532" s="17">
        <f t="shared" si="260"/>
        <v>0</v>
      </c>
      <c r="L532" s="17">
        <f t="shared" si="260"/>
        <v>319904.01999999996</v>
      </c>
      <c r="M532" s="17">
        <f t="shared" si="260"/>
        <v>12710755.339999998</v>
      </c>
      <c r="N532" s="17">
        <f t="shared" si="260"/>
        <v>0</v>
      </c>
      <c r="O532" s="17">
        <f t="shared" si="260"/>
        <v>0</v>
      </c>
      <c r="P532" s="16"/>
      <c r="Q532" s="18"/>
      <c r="R532" s="19"/>
    </row>
    <row r="533" spans="1:18" ht="67.5" x14ac:dyDescent="0.25">
      <c r="A533" s="20" t="s">
        <v>1398</v>
      </c>
      <c r="B533" s="21" t="s">
        <v>1399</v>
      </c>
      <c r="C533" s="22" t="s">
        <v>1396</v>
      </c>
      <c r="D533" s="22" t="s">
        <v>1400</v>
      </c>
      <c r="E533" s="22"/>
      <c r="F533" s="23">
        <f t="shared" ref="F533:O533" si="261">F534+F552+F561+F579</f>
        <v>3523619.58</v>
      </c>
      <c r="G533" s="23">
        <f t="shared" si="261"/>
        <v>1622368</v>
      </c>
      <c r="H533" s="23">
        <f t="shared" si="261"/>
        <v>15503.63</v>
      </c>
      <c r="I533" s="23">
        <f t="shared" si="261"/>
        <v>0</v>
      </c>
      <c r="J533" s="23">
        <f t="shared" si="261"/>
        <v>958900</v>
      </c>
      <c r="K533" s="23">
        <f t="shared" si="261"/>
        <v>0</v>
      </c>
      <c r="L533" s="23">
        <f t="shared" si="261"/>
        <v>0</v>
      </c>
      <c r="M533" s="23">
        <f t="shared" si="261"/>
        <v>925807.95</v>
      </c>
      <c r="N533" s="23">
        <f t="shared" si="261"/>
        <v>0</v>
      </c>
      <c r="O533" s="23">
        <f t="shared" si="261"/>
        <v>0</v>
      </c>
      <c r="P533" s="22" t="s">
        <v>1401</v>
      </c>
      <c r="Q533" s="24" t="s">
        <v>30</v>
      </c>
      <c r="R533" s="25" t="s">
        <v>605</v>
      </c>
    </row>
    <row r="534" spans="1:18" ht="45" x14ac:dyDescent="0.25">
      <c r="A534" s="26" t="s">
        <v>1402</v>
      </c>
      <c r="B534" s="27" t="s">
        <v>1403</v>
      </c>
      <c r="C534" s="28" t="s">
        <v>1396</v>
      </c>
      <c r="D534" s="28" t="s">
        <v>1400</v>
      </c>
      <c r="E534" s="28" t="s">
        <v>34</v>
      </c>
      <c r="F534" s="29">
        <f t="shared" ref="F534:O534" si="262">F535+F540+F542+F544+F548+F550</f>
        <v>2274656.63</v>
      </c>
      <c r="G534" s="29">
        <f t="shared" si="262"/>
        <v>1299837</v>
      </c>
      <c r="H534" s="29">
        <f t="shared" si="262"/>
        <v>15503.63</v>
      </c>
      <c r="I534" s="29">
        <f t="shared" si="262"/>
        <v>0</v>
      </c>
      <c r="J534" s="29">
        <f t="shared" si="262"/>
        <v>955700</v>
      </c>
      <c r="K534" s="29">
        <f t="shared" si="262"/>
        <v>0</v>
      </c>
      <c r="L534" s="29">
        <f t="shared" si="262"/>
        <v>0</v>
      </c>
      <c r="M534" s="29">
        <f t="shared" si="262"/>
        <v>3616</v>
      </c>
      <c r="N534" s="29">
        <f t="shared" si="262"/>
        <v>0</v>
      </c>
      <c r="O534" s="29">
        <f t="shared" si="262"/>
        <v>0</v>
      </c>
      <c r="P534" s="28" t="s">
        <v>1404</v>
      </c>
      <c r="Q534" s="30" t="s">
        <v>36</v>
      </c>
      <c r="R534" s="31" t="s">
        <v>1405</v>
      </c>
    </row>
    <row r="535" spans="1:18" ht="69.75" x14ac:dyDescent="0.25">
      <c r="A535" s="32" t="s">
        <v>1406</v>
      </c>
      <c r="B535" s="33" t="s">
        <v>1407</v>
      </c>
      <c r="C535" s="34" t="s">
        <v>1396</v>
      </c>
      <c r="D535" s="34" t="s">
        <v>1408</v>
      </c>
      <c r="E535" s="34" t="s">
        <v>41</v>
      </c>
      <c r="F535" s="35">
        <f>SUM(F536:F539)+211373.63</f>
        <v>211373.63</v>
      </c>
      <c r="G535" s="35">
        <f>SUM(G536:G539)+119254</f>
        <v>119254</v>
      </c>
      <c r="H535" s="35">
        <f>SUM(H536:H539)+15503.63</f>
        <v>15503.63</v>
      </c>
      <c r="I535" s="35">
        <f>SUM(I536:I539)</f>
        <v>0</v>
      </c>
      <c r="J535" s="35">
        <f>SUM(J536:J539)+73000</f>
        <v>73000</v>
      </c>
      <c r="K535" s="35">
        <f>SUM(K536:K539)</f>
        <v>0</v>
      </c>
      <c r="L535" s="35">
        <f>SUM(L536:L539)</f>
        <v>0</v>
      </c>
      <c r="M535" s="35">
        <f>SUM(M536:M539)+3616</f>
        <v>3616</v>
      </c>
      <c r="N535" s="35">
        <f>SUM(N536:N539)</f>
        <v>0</v>
      </c>
      <c r="O535" s="35">
        <f>SUM(O536:O539)</f>
        <v>0</v>
      </c>
      <c r="P535" s="34" t="s">
        <v>1409</v>
      </c>
      <c r="Q535" s="36" t="s">
        <v>36</v>
      </c>
      <c r="R535" s="37" t="s">
        <v>168</v>
      </c>
    </row>
    <row r="536" spans="1:18" ht="93" x14ac:dyDescent="0.25">
      <c r="A536" s="39"/>
      <c r="B536" s="40"/>
      <c r="C536" s="41"/>
      <c r="D536" s="41"/>
      <c r="E536" s="41"/>
      <c r="F536" s="42">
        <v>0</v>
      </c>
      <c r="G536" s="42">
        <v>0</v>
      </c>
      <c r="H536" s="42">
        <v>0</v>
      </c>
      <c r="I536" s="42">
        <v>0</v>
      </c>
      <c r="J536" s="42">
        <v>0</v>
      </c>
      <c r="K536" s="42">
        <v>0</v>
      </c>
      <c r="L536" s="42">
        <v>0</v>
      </c>
      <c r="M536" s="42">
        <v>0</v>
      </c>
      <c r="N536" s="42">
        <v>0</v>
      </c>
      <c r="O536" s="42">
        <v>0</v>
      </c>
      <c r="P536" s="41" t="s">
        <v>1410</v>
      </c>
      <c r="Q536" s="43" t="s">
        <v>36</v>
      </c>
      <c r="R536" s="44" t="s">
        <v>168</v>
      </c>
    </row>
    <row r="537" spans="1:18" ht="93" x14ac:dyDescent="0.25">
      <c r="A537" s="32" t="s">
        <v>1411</v>
      </c>
      <c r="B537" s="33" t="s">
        <v>1412</v>
      </c>
      <c r="C537" s="34"/>
      <c r="D537" s="34"/>
      <c r="E537" s="34"/>
      <c r="F537" s="38">
        <v>0</v>
      </c>
      <c r="G537" s="38">
        <v>0</v>
      </c>
      <c r="H537" s="38">
        <v>0</v>
      </c>
      <c r="I537" s="38">
        <v>0</v>
      </c>
      <c r="J537" s="38">
        <v>0</v>
      </c>
      <c r="K537" s="38">
        <v>0</v>
      </c>
      <c r="L537" s="38">
        <v>0</v>
      </c>
      <c r="M537" s="38">
        <v>0</v>
      </c>
      <c r="N537" s="38">
        <v>0</v>
      </c>
      <c r="O537" s="38">
        <v>0</v>
      </c>
      <c r="P537" s="34"/>
      <c r="Q537" s="36"/>
      <c r="R537" s="37"/>
    </row>
    <row r="538" spans="1:18" ht="93" x14ac:dyDescent="0.25">
      <c r="A538" s="32" t="s">
        <v>1413</v>
      </c>
      <c r="B538" s="33" t="s">
        <v>1414</v>
      </c>
      <c r="C538" s="34"/>
      <c r="D538" s="34"/>
      <c r="E538" s="34"/>
      <c r="F538" s="38">
        <v>0</v>
      </c>
      <c r="G538" s="38">
        <v>0</v>
      </c>
      <c r="H538" s="38">
        <v>0</v>
      </c>
      <c r="I538" s="38">
        <v>0</v>
      </c>
      <c r="J538" s="38">
        <v>0</v>
      </c>
      <c r="K538" s="38">
        <v>0</v>
      </c>
      <c r="L538" s="38">
        <v>0</v>
      </c>
      <c r="M538" s="38">
        <v>0</v>
      </c>
      <c r="N538" s="38">
        <v>0</v>
      </c>
      <c r="O538" s="38">
        <v>0</v>
      </c>
      <c r="P538" s="34"/>
      <c r="Q538" s="36"/>
      <c r="R538" s="37"/>
    </row>
    <row r="539" spans="1:18" ht="116.25" x14ac:dyDescent="0.25">
      <c r="A539" s="32" t="s">
        <v>1415</v>
      </c>
      <c r="B539" s="33" t="s">
        <v>1416</v>
      </c>
      <c r="C539" s="34"/>
      <c r="D539" s="34"/>
      <c r="E539" s="34"/>
      <c r="F539" s="38">
        <v>0</v>
      </c>
      <c r="G539" s="38">
        <v>0</v>
      </c>
      <c r="H539" s="38">
        <v>0</v>
      </c>
      <c r="I539" s="38">
        <v>0</v>
      </c>
      <c r="J539" s="38">
        <v>0</v>
      </c>
      <c r="K539" s="38">
        <v>0</v>
      </c>
      <c r="L539" s="38">
        <v>0</v>
      </c>
      <c r="M539" s="38">
        <v>0</v>
      </c>
      <c r="N539" s="38">
        <v>0</v>
      </c>
      <c r="O539" s="38">
        <v>0</v>
      </c>
      <c r="P539" s="34"/>
      <c r="Q539" s="36"/>
      <c r="R539" s="37"/>
    </row>
    <row r="540" spans="1:18" ht="69.75" x14ac:dyDescent="0.25">
      <c r="A540" s="32" t="s">
        <v>1417</v>
      </c>
      <c r="B540" s="33" t="s">
        <v>1418</v>
      </c>
      <c r="C540" s="34" t="s">
        <v>1396</v>
      </c>
      <c r="D540" s="34" t="s">
        <v>1419</v>
      </c>
      <c r="E540" s="34" t="s">
        <v>41</v>
      </c>
      <c r="F540" s="35">
        <f>SUM(F541:F541)+184800</f>
        <v>184800</v>
      </c>
      <c r="G540" s="35">
        <f>SUM(G541:G541)+184800</f>
        <v>184800</v>
      </c>
      <c r="H540" s="35">
        <f t="shared" ref="H540:O540" si="263">SUM(H541:H541)</f>
        <v>0</v>
      </c>
      <c r="I540" s="35">
        <f t="shared" si="263"/>
        <v>0</v>
      </c>
      <c r="J540" s="35">
        <f t="shared" si="263"/>
        <v>0</v>
      </c>
      <c r="K540" s="35">
        <f t="shared" si="263"/>
        <v>0</v>
      </c>
      <c r="L540" s="35">
        <f t="shared" si="263"/>
        <v>0</v>
      </c>
      <c r="M540" s="35">
        <f t="shared" si="263"/>
        <v>0</v>
      </c>
      <c r="N540" s="35">
        <f t="shared" si="263"/>
        <v>0</v>
      </c>
      <c r="O540" s="35">
        <f t="shared" si="263"/>
        <v>0</v>
      </c>
      <c r="P540" s="34" t="s">
        <v>1420</v>
      </c>
      <c r="Q540" s="36" t="s">
        <v>36</v>
      </c>
      <c r="R540" s="37" t="s">
        <v>963</v>
      </c>
    </row>
    <row r="541" spans="1:18" ht="69.75" x14ac:dyDescent="0.25">
      <c r="A541" s="32" t="s">
        <v>1421</v>
      </c>
      <c r="B541" s="33" t="s">
        <v>1422</v>
      </c>
      <c r="C541" s="34"/>
      <c r="D541" s="34"/>
      <c r="E541" s="34"/>
      <c r="F541" s="38">
        <v>0</v>
      </c>
      <c r="G541" s="38">
        <v>0</v>
      </c>
      <c r="H541" s="38">
        <v>0</v>
      </c>
      <c r="I541" s="38">
        <v>0</v>
      </c>
      <c r="J541" s="38">
        <v>0</v>
      </c>
      <c r="K541" s="38">
        <v>0</v>
      </c>
      <c r="L541" s="38">
        <v>0</v>
      </c>
      <c r="M541" s="38">
        <v>0</v>
      </c>
      <c r="N541" s="38">
        <v>0</v>
      </c>
      <c r="O541" s="38">
        <v>0</v>
      </c>
      <c r="P541" s="34"/>
      <c r="Q541" s="36"/>
      <c r="R541" s="37"/>
    </row>
    <row r="542" spans="1:18" ht="93" x14ac:dyDescent="0.25">
      <c r="A542" s="32" t="s">
        <v>1423</v>
      </c>
      <c r="B542" s="33" t="s">
        <v>1424</v>
      </c>
      <c r="C542" s="34" t="s">
        <v>1396</v>
      </c>
      <c r="D542" s="34" t="s">
        <v>1425</v>
      </c>
      <c r="E542" s="34" t="s">
        <v>41</v>
      </c>
      <c r="F542" s="35">
        <f>SUM(F543:F543)+161983</f>
        <v>161983</v>
      </c>
      <c r="G542" s="35">
        <f>SUM(G543:G543)+161983</f>
        <v>161983</v>
      </c>
      <c r="H542" s="35">
        <f t="shared" ref="H542:O542" si="264">SUM(H543:H543)</f>
        <v>0</v>
      </c>
      <c r="I542" s="35">
        <f t="shared" si="264"/>
        <v>0</v>
      </c>
      <c r="J542" s="35">
        <f t="shared" si="264"/>
        <v>0</v>
      </c>
      <c r="K542" s="35">
        <f t="shared" si="264"/>
        <v>0</v>
      </c>
      <c r="L542" s="35">
        <f t="shared" si="264"/>
        <v>0</v>
      </c>
      <c r="M542" s="35">
        <f t="shared" si="264"/>
        <v>0</v>
      </c>
      <c r="N542" s="35">
        <f t="shared" si="264"/>
        <v>0</v>
      </c>
      <c r="O542" s="35">
        <f t="shared" si="264"/>
        <v>0</v>
      </c>
      <c r="P542" s="34" t="s">
        <v>1426</v>
      </c>
      <c r="Q542" s="36" t="s">
        <v>36</v>
      </c>
      <c r="R542" s="37" t="s">
        <v>170</v>
      </c>
    </row>
    <row r="543" spans="1:18" ht="116.25" x14ac:dyDescent="0.25">
      <c r="A543" s="32" t="s">
        <v>1427</v>
      </c>
      <c r="B543" s="33" t="s">
        <v>1428</v>
      </c>
      <c r="C543" s="34"/>
      <c r="D543" s="34"/>
      <c r="E543" s="34"/>
      <c r="F543" s="38">
        <v>0</v>
      </c>
      <c r="G543" s="38">
        <v>0</v>
      </c>
      <c r="H543" s="38">
        <v>0</v>
      </c>
      <c r="I543" s="38">
        <v>0</v>
      </c>
      <c r="J543" s="38">
        <v>0</v>
      </c>
      <c r="K543" s="38">
        <v>0</v>
      </c>
      <c r="L543" s="38">
        <v>0</v>
      </c>
      <c r="M543" s="38">
        <v>0</v>
      </c>
      <c r="N543" s="38">
        <v>0</v>
      </c>
      <c r="O543" s="38">
        <v>0</v>
      </c>
      <c r="P543" s="34"/>
      <c r="Q543" s="36"/>
      <c r="R543" s="37"/>
    </row>
    <row r="544" spans="1:18" ht="93" x14ac:dyDescent="0.25">
      <c r="A544" s="32" t="s">
        <v>1429</v>
      </c>
      <c r="B544" s="33" t="s">
        <v>1430</v>
      </c>
      <c r="C544" s="34" t="s">
        <v>1396</v>
      </c>
      <c r="D544" s="34" t="s">
        <v>1419</v>
      </c>
      <c r="E544" s="34" t="s">
        <v>41</v>
      </c>
      <c r="F544" s="35">
        <f>SUM(F545:F547)+130800</f>
        <v>130800</v>
      </c>
      <c r="G544" s="35">
        <f>SUM(G545:G547)+130800</f>
        <v>130800</v>
      </c>
      <c r="H544" s="35">
        <f t="shared" ref="H544:O544" si="265">SUM(H545:H547)</f>
        <v>0</v>
      </c>
      <c r="I544" s="35">
        <f t="shared" si="265"/>
        <v>0</v>
      </c>
      <c r="J544" s="35">
        <f t="shared" si="265"/>
        <v>0</v>
      </c>
      <c r="K544" s="35">
        <f t="shared" si="265"/>
        <v>0</v>
      </c>
      <c r="L544" s="35">
        <f t="shared" si="265"/>
        <v>0</v>
      </c>
      <c r="M544" s="35">
        <f t="shared" si="265"/>
        <v>0</v>
      </c>
      <c r="N544" s="35">
        <f t="shared" si="265"/>
        <v>0</v>
      </c>
      <c r="O544" s="35">
        <f t="shared" si="265"/>
        <v>0</v>
      </c>
      <c r="P544" s="34" t="s">
        <v>1431</v>
      </c>
      <c r="Q544" s="36" t="s">
        <v>36</v>
      </c>
      <c r="R544" s="37" t="s">
        <v>203</v>
      </c>
    </row>
    <row r="545" spans="1:18" ht="46.5" x14ac:dyDescent="0.25">
      <c r="A545" s="32" t="s">
        <v>1432</v>
      </c>
      <c r="B545" s="33" t="s">
        <v>1433</v>
      </c>
      <c r="C545" s="34"/>
      <c r="D545" s="34"/>
      <c r="E545" s="34"/>
      <c r="F545" s="38">
        <v>0</v>
      </c>
      <c r="G545" s="38">
        <v>0</v>
      </c>
      <c r="H545" s="38">
        <v>0</v>
      </c>
      <c r="I545" s="38">
        <v>0</v>
      </c>
      <c r="J545" s="38">
        <v>0</v>
      </c>
      <c r="K545" s="38">
        <v>0</v>
      </c>
      <c r="L545" s="38">
        <v>0</v>
      </c>
      <c r="M545" s="38">
        <v>0</v>
      </c>
      <c r="N545" s="38">
        <v>0</v>
      </c>
      <c r="O545" s="38">
        <v>0</v>
      </c>
      <c r="P545" s="34"/>
      <c r="Q545" s="36"/>
      <c r="R545" s="37"/>
    </row>
    <row r="546" spans="1:18" ht="69.75" x14ac:dyDescent="0.25">
      <c r="A546" s="32" t="s">
        <v>1434</v>
      </c>
      <c r="B546" s="33" t="s">
        <v>1435</v>
      </c>
      <c r="C546" s="34"/>
      <c r="D546" s="34"/>
      <c r="E546" s="34"/>
      <c r="F546" s="38">
        <v>0</v>
      </c>
      <c r="G546" s="38">
        <v>0</v>
      </c>
      <c r="H546" s="38">
        <v>0</v>
      </c>
      <c r="I546" s="38">
        <v>0</v>
      </c>
      <c r="J546" s="38">
        <v>0</v>
      </c>
      <c r="K546" s="38">
        <v>0</v>
      </c>
      <c r="L546" s="38">
        <v>0</v>
      </c>
      <c r="M546" s="38">
        <v>0</v>
      </c>
      <c r="N546" s="38">
        <v>0</v>
      </c>
      <c r="O546" s="38">
        <v>0</v>
      </c>
      <c r="P546" s="34"/>
      <c r="Q546" s="36"/>
      <c r="R546" s="37"/>
    </row>
    <row r="547" spans="1:18" ht="69.75" x14ac:dyDescent="0.25">
      <c r="A547" s="32" t="s">
        <v>1436</v>
      </c>
      <c r="B547" s="33" t="s">
        <v>1437</v>
      </c>
      <c r="C547" s="34"/>
      <c r="D547" s="34"/>
      <c r="E547" s="34"/>
      <c r="F547" s="38">
        <v>0</v>
      </c>
      <c r="G547" s="38">
        <v>0</v>
      </c>
      <c r="H547" s="38">
        <v>0</v>
      </c>
      <c r="I547" s="38">
        <v>0</v>
      </c>
      <c r="J547" s="38">
        <v>0</v>
      </c>
      <c r="K547" s="38">
        <v>0</v>
      </c>
      <c r="L547" s="38">
        <v>0</v>
      </c>
      <c r="M547" s="38">
        <v>0</v>
      </c>
      <c r="N547" s="38">
        <v>0</v>
      </c>
      <c r="O547" s="38">
        <v>0</v>
      </c>
      <c r="P547" s="34"/>
      <c r="Q547" s="36"/>
      <c r="R547" s="37"/>
    </row>
    <row r="548" spans="1:18" ht="139.5" x14ac:dyDescent="0.25">
      <c r="A548" s="32" t="s">
        <v>1438</v>
      </c>
      <c r="B548" s="33" t="s">
        <v>1439</v>
      </c>
      <c r="C548" s="34" t="s">
        <v>1396</v>
      </c>
      <c r="D548" s="34" t="s">
        <v>1408</v>
      </c>
      <c r="E548" s="34" t="s">
        <v>41</v>
      </c>
      <c r="F548" s="35">
        <f>SUM(F549:F549)+703000</f>
        <v>703000</v>
      </c>
      <c r="G548" s="35">
        <f>SUM(G549:G549)+703000</f>
        <v>703000</v>
      </c>
      <c r="H548" s="35">
        <f t="shared" ref="H548:O548" si="266">SUM(H549:H549)</f>
        <v>0</v>
      </c>
      <c r="I548" s="35">
        <f t="shared" si="266"/>
        <v>0</v>
      </c>
      <c r="J548" s="35">
        <f t="shared" si="266"/>
        <v>0</v>
      </c>
      <c r="K548" s="35">
        <f t="shared" si="266"/>
        <v>0</v>
      </c>
      <c r="L548" s="35">
        <f t="shared" si="266"/>
        <v>0</v>
      </c>
      <c r="M548" s="35">
        <f t="shared" si="266"/>
        <v>0</v>
      </c>
      <c r="N548" s="35">
        <f t="shared" si="266"/>
        <v>0</v>
      </c>
      <c r="O548" s="35">
        <f t="shared" si="266"/>
        <v>0</v>
      </c>
      <c r="P548" s="34" t="s">
        <v>1440</v>
      </c>
      <c r="Q548" s="36" t="s">
        <v>36</v>
      </c>
      <c r="R548" s="37" t="s">
        <v>1441</v>
      </c>
    </row>
    <row r="549" spans="1:18" ht="139.5" x14ac:dyDescent="0.25">
      <c r="A549" s="32" t="s">
        <v>1442</v>
      </c>
      <c r="B549" s="33" t="s">
        <v>1443</v>
      </c>
      <c r="C549" s="34"/>
      <c r="D549" s="34"/>
      <c r="E549" s="34"/>
      <c r="F549" s="38">
        <v>0</v>
      </c>
      <c r="G549" s="38">
        <v>0</v>
      </c>
      <c r="H549" s="38">
        <v>0</v>
      </c>
      <c r="I549" s="38">
        <v>0</v>
      </c>
      <c r="J549" s="38">
        <v>0</v>
      </c>
      <c r="K549" s="38">
        <v>0</v>
      </c>
      <c r="L549" s="38">
        <v>0</v>
      </c>
      <c r="M549" s="38">
        <v>0</v>
      </c>
      <c r="N549" s="38">
        <v>0</v>
      </c>
      <c r="O549" s="38">
        <v>0</v>
      </c>
      <c r="P549" s="34"/>
      <c r="Q549" s="36"/>
      <c r="R549" s="37"/>
    </row>
    <row r="550" spans="1:18" ht="93" x14ac:dyDescent="0.25">
      <c r="A550" s="32" t="s">
        <v>1444</v>
      </c>
      <c r="B550" s="33" t="s">
        <v>1445</v>
      </c>
      <c r="C550" s="34" t="s">
        <v>1396</v>
      </c>
      <c r="D550" s="34" t="s">
        <v>1408</v>
      </c>
      <c r="E550" s="34" t="s">
        <v>41</v>
      </c>
      <c r="F550" s="35">
        <f>SUM(F551:F551)+882700</f>
        <v>882700</v>
      </c>
      <c r="G550" s="35">
        <f>SUM(G551:G551)</f>
        <v>0</v>
      </c>
      <c r="H550" s="35">
        <f>SUM(H551:H551)</f>
        <v>0</v>
      </c>
      <c r="I550" s="35">
        <f>SUM(I551:I551)</f>
        <v>0</v>
      </c>
      <c r="J550" s="35">
        <f>SUM(J551:J551)+882700</f>
        <v>882700</v>
      </c>
      <c r="K550" s="35">
        <f>SUM(K551:K551)</f>
        <v>0</v>
      </c>
      <c r="L550" s="35">
        <f>SUM(L551:L551)</f>
        <v>0</v>
      </c>
      <c r="M550" s="35">
        <f>SUM(M551:M551)</f>
        <v>0</v>
      </c>
      <c r="N550" s="35">
        <f>SUM(N551:N551)</f>
        <v>0</v>
      </c>
      <c r="O550" s="35">
        <f>SUM(O551:O551)</f>
        <v>0</v>
      </c>
      <c r="P550" s="34" t="s">
        <v>1446</v>
      </c>
      <c r="Q550" s="36" t="s">
        <v>36</v>
      </c>
      <c r="R550" s="37" t="s">
        <v>121</v>
      </c>
    </row>
    <row r="551" spans="1:18" ht="93" x14ac:dyDescent="0.25">
      <c r="A551" s="32" t="s">
        <v>1447</v>
      </c>
      <c r="B551" s="33" t="s">
        <v>1448</v>
      </c>
      <c r="C551" s="34"/>
      <c r="D551" s="34"/>
      <c r="E551" s="34"/>
      <c r="F551" s="38">
        <v>0</v>
      </c>
      <c r="G551" s="38">
        <v>0</v>
      </c>
      <c r="H551" s="38">
        <v>0</v>
      </c>
      <c r="I551" s="38">
        <v>0</v>
      </c>
      <c r="J551" s="38">
        <v>0</v>
      </c>
      <c r="K551" s="38">
        <v>0</v>
      </c>
      <c r="L551" s="38">
        <v>0</v>
      </c>
      <c r="M551" s="38">
        <v>0</v>
      </c>
      <c r="N551" s="38">
        <v>0</v>
      </c>
      <c r="O551" s="38">
        <v>0</v>
      </c>
      <c r="P551" s="34"/>
      <c r="Q551" s="36"/>
      <c r="R551" s="37"/>
    </row>
    <row r="552" spans="1:18" ht="45" x14ac:dyDescent="0.25">
      <c r="A552" s="26" t="s">
        <v>1449</v>
      </c>
      <c r="B552" s="27" t="s">
        <v>1450</v>
      </c>
      <c r="C552" s="28" t="s">
        <v>1396</v>
      </c>
      <c r="D552" s="28" t="s">
        <v>1400</v>
      </c>
      <c r="E552" s="28" t="s">
        <v>34</v>
      </c>
      <c r="F552" s="29">
        <f t="shared" ref="F552:O552" si="267">F553+F555+F557+F559</f>
        <v>572954</v>
      </c>
      <c r="G552" s="29">
        <f t="shared" si="267"/>
        <v>222531</v>
      </c>
      <c r="H552" s="29">
        <f t="shared" si="267"/>
        <v>0</v>
      </c>
      <c r="I552" s="29">
        <f t="shared" si="267"/>
        <v>0</v>
      </c>
      <c r="J552" s="29">
        <f t="shared" si="267"/>
        <v>0</v>
      </c>
      <c r="K552" s="29">
        <f t="shared" si="267"/>
        <v>0</v>
      </c>
      <c r="L552" s="29">
        <f t="shared" si="267"/>
        <v>0</v>
      </c>
      <c r="M552" s="29">
        <f t="shared" si="267"/>
        <v>349383</v>
      </c>
      <c r="N552" s="29">
        <f t="shared" si="267"/>
        <v>0</v>
      </c>
      <c r="O552" s="29">
        <f t="shared" si="267"/>
        <v>0</v>
      </c>
      <c r="P552" s="28" t="s">
        <v>1451</v>
      </c>
      <c r="Q552" s="30" t="s">
        <v>36</v>
      </c>
      <c r="R552" s="31" t="s">
        <v>1452</v>
      </c>
    </row>
    <row r="553" spans="1:18" ht="69.75" x14ac:dyDescent="0.25">
      <c r="A553" s="32" t="s">
        <v>1453</v>
      </c>
      <c r="B553" s="33" t="s">
        <v>1454</v>
      </c>
      <c r="C553" s="34" t="s">
        <v>1396</v>
      </c>
      <c r="D553" s="34" t="s">
        <v>1419</v>
      </c>
      <c r="E553" s="34" t="s">
        <v>41</v>
      </c>
      <c r="F553" s="35">
        <f>SUM(F554:F554)+4300</f>
        <v>4300</v>
      </c>
      <c r="G553" s="35">
        <f t="shared" ref="G553:L553" si="268">SUM(G554:G554)</f>
        <v>0</v>
      </c>
      <c r="H553" s="35">
        <f t="shared" si="268"/>
        <v>0</v>
      </c>
      <c r="I553" s="35">
        <f t="shared" si="268"/>
        <v>0</v>
      </c>
      <c r="J553" s="35">
        <f t="shared" si="268"/>
        <v>0</v>
      </c>
      <c r="K553" s="35">
        <f t="shared" si="268"/>
        <v>0</v>
      </c>
      <c r="L553" s="35">
        <f t="shared" si="268"/>
        <v>0</v>
      </c>
      <c r="M553" s="35">
        <f>SUM(M554:M554)+4300</f>
        <v>4300</v>
      </c>
      <c r="N553" s="35">
        <f>SUM(N554:N554)</f>
        <v>0</v>
      </c>
      <c r="O553" s="35">
        <f>SUM(O554:O554)</f>
        <v>0</v>
      </c>
      <c r="P553" s="34" t="s">
        <v>1455</v>
      </c>
      <c r="Q553" s="36" t="s">
        <v>36</v>
      </c>
      <c r="R553" s="37" t="s">
        <v>186</v>
      </c>
    </row>
    <row r="554" spans="1:18" ht="46.5" x14ac:dyDescent="0.25">
      <c r="A554" s="32" t="s">
        <v>1456</v>
      </c>
      <c r="B554" s="33" t="s">
        <v>1457</v>
      </c>
      <c r="C554" s="34"/>
      <c r="D554" s="34"/>
      <c r="E554" s="34"/>
      <c r="F554" s="38">
        <v>0</v>
      </c>
      <c r="G554" s="38">
        <v>0</v>
      </c>
      <c r="H554" s="38">
        <v>0</v>
      </c>
      <c r="I554" s="38">
        <v>0</v>
      </c>
      <c r="J554" s="38">
        <v>0</v>
      </c>
      <c r="K554" s="38">
        <v>0</v>
      </c>
      <c r="L554" s="38">
        <v>0</v>
      </c>
      <c r="M554" s="38">
        <v>0</v>
      </c>
      <c r="N554" s="38">
        <v>0</v>
      </c>
      <c r="O554" s="38">
        <v>0</v>
      </c>
      <c r="P554" s="34"/>
      <c r="Q554" s="36"/>
      <c r="R554" s="37"/>
    </row>
    <row r="555" spans="1:18" ht="46.5" x14ac:dyDescent="0.25">
      <c r="A555" s="32" t="s">
        <v>1458</v>
      </c>
      <c r="B555" s="33" t="s">
        <v>1459</v>
      </c>
      <c r="C555" s="34" t="s">
        <v>1396</v>
      </c>
      <c r="D555" s="34" t="s">
        <v>1419</v>
      </c>
      <c r="E555" s="34" t="s">
        <v>41</v>
      </c>
      <c r="F555" s="35">
        <f>SUM(F556:F556)+367340</f>
        <v>367340</v>
      </c>
      <c r="G555" s="35">
        <f>SUM(G556:G556)+153000</f>
        <v>153000</v>
      </c>
      <c r="H555" s="35">
        <f>SUM(H556:H556)</f>
        <v>0</v>
      </c>
      <c r="I555" s="35">
        <f>SUM(I556:I556)</f>
        <v>0</v>
      </c>
      <c r="J555" s="35">
        <f>SUM(J556:J556)</f>
        <v>0</v>
      </c>
      <c r="K555" s="35">
        <f>SUM(K556:K556)</f>
        <v>0</v>
      </c>
      <c r="L555" s="35">
        <f>SUM(L556:L556)</f>
        <v>0</v>
      </c>
      <c r="M555" s="35">
        <f>SUM(M556:M556)+213300</f>
        <v>213300</v>
      </c>
      <c r="N555" s="35">
        <f>SUM(N556:N556)</f>
        <v>0</v>
      </c>
      <c r="O555" s="35">
        <f>SUM(O556:O556)</f>
        <v>0</v>
      </c>
      <c r="P555" s="34" t="s">
        <v>1460</v>
      </c>
      <c r="Q555" s="36" t="s">
        <v>36</v>
      </c>
      <c r="R555" s="37" t="s">
        <v>1461</v>
      </c>
    </row>
    <row r="556" spans="1:18" ht="69.75" x14ac:dyDescent="0.25">
      <c r="A556" s="32" t="s">
        <v>1462</v>
      </c>
      <c r="B556" s="33" t="s">
        <v>1463</v>
      </c>
      <c r="C556" s="34"/>
      <c r="D556" s="34"/>
      <c r="E556" s="34"/>
      <c r="F556" s="38">
        <v>0</v>
      </c>
      <c r="G556" s="38">
        <v>0</v>
      </c>
      <c r="H556" s="38">
        <v>0</v>
      </c>
      <c r="I556" s="38">
        <v>0</v>
      </c>
      <c r="J556" s="38">
        <v>0</v>
      </c>
      <c r="K556" s="38">
        <v>0</v>
      </c>
      <c r="L556" s="38">
        <v>0</v>
      </c>
      <c r="M556" s="38">
        <v>0</v>
      </c>
      <c r="N556" s="38">
        <v>0</v>
      </c>
      <c r="O556" s="38">
        <v>0</v>
      </c>
      <c r="P556" s="34"/>
      <c r="Q556" s="36"/>
      <c r="R556" s="37"/>
    </row>
    <row r="557" spans="1:18" ht="69.75" x14ac:dyDescent="0.25">
      <c r="A557" s="32" t="s">
        <v>1464</v>
      </c>
      <c r="B557" s="33" t="s">
        <v>1465</v>
      </c>
      <c r="C557" s="34" t="s">
        <v>1396</v>
      </c>
      <c r="D557" s="34" t="s">
        <v>1466</v>
      </c>
      <c r="E557" s="34" t="s">
        <v>41</v>
      </c>
      <c r="F557" s="35">
        <f>SUM(F558:F558)+197476</f>
        <v>197476</v>
      </c>
      <c r="G557" s="35">
        <f>SUM(G558:G558)+69531</f>
        <v>69531</v>
      </c>
      <c r="H557" s="35">
        <f>SUM(H558:H558)</f>
        <v>0</v>
      </c>
      <c r="I557" s="35">
        <f>SUM(I558:I558)</f>
        <v>0</v>
      </c>
      <c r="J557" s="35">
        <f>SUM(J558:J558)</f>
        <v>0</v>
      </c>
      <c r="K557" s="35">
        <f>SUM(K558:K558)</f>
        <v>0</v>
      </c>
      <c r="L557" s="35">
        <f>SUM(L558:L558)</f>
        <v>0</v>
      </c>
      <c r="M557" s="35">
        <f>SUM(M558:M558)+127945</f>
        <v>127945</v>
      </c>
      <c r="N557" s="35">
        <f>SUM(N558:N558)</f>
        <v>0</v>
      </c>
      <c r="O557" s="35">
        <f>SUM(O558:O558)</f>
        <v>0</v>
      </c>
      <c r="P557" s="34" t="s">
        <v>1467</v>
      </c>
      <c r="Q557" s="36" t="s">
        <v>36</v>
      </c>
      <c r="R557" s="37" t="s">
        <v>1468</v>
      </c>
    </row>
    <row r="558" spans="1:18" ht="69.75" x14ac:dyDescent="0.25">
      <c r="A558" s="32" t="s">
        <v>1469</v>
      </c>
      <c r="B558" s="33" t="s">
        <v>1470</v>
      </c>
      <c r="C558" s="34"/>
      <c r="D558" s="34"/>
      <c r="E558" s="34"/>
      <c r="F558" s="38">
        <v>0</v>
      </c>
      <c r="G558" s="38">
        <v>0</v>
      </c>
      <c r="H558" s="38">
        <v>0</v>
      </c>
      <c r="I558" s="38">
        <v>0</v>
      </c>
      <c r="J558" s="38">
        <v>0</v>
      </c>
      <c r="K558" s="38">
        <v>0</v>
      </c>
      <c r="L558" s="38">
        <v>0</v>
      </c>
      <c r="M558" s="38">
        <v>0</v>
      </c>
      <c r="N558" s="38">
        <v>0</v>
      </c>
      <c r="O558" s="38">
        <v>0</v>
      </c>
      <c r="P558" s="34"/>
      <c r="Q558" s="36"/>
      <c r="R558" s="37"/>
    </row>
    <row r="559" spans="1:18" ht="93" x14ac:dyDescent="0.25">
      <c r="A559" s="32" t="s">
        <v>1471</v>
      </c>
      <c r="B559" s="33" t="s">
        <v>1472</v>
      </c>
      <c r="C559" s="34" t="s">
        <v>1396</v>
      </c>
      <c r="D559" s="34" t="s">
        <v>1466</v>
      </c>
      <c r="E559" s="34" t="s">
        <v>41</v>
      </c>
      <c r="F559" s="35">
        <f>SUM(F560:F560)+3838</f>
        <v>3838</v>
      </c>
      <c r="G559" s="35">
        <f t="shared" ref="G559:L559" si="269">SUM(G560:G560)</f>
        <v>0</v>
      </c>
      <c r="H559" s="35">
        <f t="shared" si="269"/>
        <v>0</v>
      </c>
      <c r="I559" s="35">
        <f t="shared" si="269"/>
        <v>0</v>
      </c>
      <c r="J559" s="35">
        <f t="shared" si="269"/>
        <v>0</v>
      </c>
      <c r="K559" s="35">
        <f t="shared" si="269"/>
        <v>0</v>
      </c>
      <c r="L559" s="35">
        <f t="shared" si="269"/>
        <v>0</v>
      </c>
      <c r="M559" s="35">
        <f>SUM(M560:M560)+3838</f>
        <v>3838</v>
      </c>
      <c r="N559" s="35">
        <f>SUM(N560:N560)</f>
        <v>0</v>
      </c>
      <c r="O559" s="35">
        <f>SUM(O560:O560)</f>
        <v>0</v>
      </c>
      <c r="P559" s="34" t="s">
        <v>1473</v>
      </c>
      <c r="Q559" s="36" t="s">
        <v>36</v>
      </c>
      <c r="R559" s="37" t="s">
        <v>37</v>
      </c>
    </row>
    <row r="560" spans="1:18" ht="69.75" x14ac:dyDescent="0.25">
      <c r="A560" s="32" t="s">
        <v>1474</v>
      </c>
      <c r="B560" s="33" t="s">
        <v>1475</v>
      </c>
      <c r="C560" s="34"/>
      <c r="D560" s="34"/>
      <c r="E560" s="34"/>
      <c r="F560" s="38">
        <v>0</v>
      </c>
      <c r="G560" s="38">
        <v>0</v>
      </c>
      <c r="H560" s="38">
        <v>0</v>
      </c>
      <c r="I560" s="38">
        <v>0</v>
      </c>
      <c r="J560" s="38">
        <v>0</v>
      </c>
      <c r="K560" s="38">
        <v>0</v>
      </c>
      <c r="L560" s="38">
        <v>0</v>
      </c>
      <c r="M560" s="38">
        <v>0</v>
      </c>
      <c r="N560" s="38">
        <v>0</v>
      </c>
      <c r="O560" s="38">
        <v>0</v>
      </c>
      <c r="P560" s="34"/>
      <c r="Q560" s="36"/>
      <c r="R560" s="37"/>
    </row>
    <row r="561" spans="1:18" ht="45" x14ac:dyDescent="0.25">
      <c r="A561" s="26" t="s">
        <v>1476</v>
      </c>
      <c r="B561" s="27" t="s">
        <v>1477</v>
      </c>
      <c r="C561" s="28" t="s">
        <v>1396</v>
      </c>
      <c r="D561" s="28" t="s">
        <v>1400</v>
      </c>
      <c r="E561" s="28" t="s">
        <v>34</v>
      </c>
      <c r="F561" s="29">
        <f t="shared" ref="F561:O561" si="270">F562+F565+F567+F569+F571+F575+F577</f>
        <v>661008.94999999995</v>
      </c>
      <c r="G561" s="29">
        <f t="shared" si="270"/>
        <v>85000</v>
      </c>
      <c r="H561" s="29">
        <f t="shared" si="270"/>
        <v>0</v>
      </c>
      <c r="I561" s="29">
        <f t="shared" si="270"/>
        <v>0</v>
      </c>
      <c r="J561" s="29">
        <f t="shared" si="270"/>
        <v>3200</v>
      </c>
      <c r="K561" s="29">
        <f t="shared" si="270"/>
        <v>0</v>
      </c>
      <c r="L561" s="29">
        <f t="shared" si="270"/>
        <v>0</v>
      </c>
      <c r="M561" s="29">
        <f t="shared" si="270"/>
        <v>572808.94999999995</v>
      </c>
      <c r="N561" s="29">
        <f t="shared" si="270"/>
        <v>0</v>
      </c>
      <c r="O561" s="29">
        <f t="shared" si="270"/>
        <v>0</v>
      </c>
      <c r="P561" s="28" t="s">
        <v>138</v>
      </c>
      <c r="Q561" s="30" t="s">
        <v>36</v>
      </c>
      <c r="R561" s="31" t="s">
        <v>251</v>
      </c>
    </row>
    <row r="562" spans="1:18" ht="69.75" x14ac:dyDescent="0.25">
      <c r="A562" s="32" t="s">
        <v>1478</v>
      </c>
      <c r="B562" s="33" t="s">
        <v>1479</v>
      </c>
      <c r="C562" s="34" t="s">
        <v>1396</v>
      </c>
      <c r="D562" s="34" t="s">
        <v>1466</v>
      </c>
      <c r="E562" s="34" t="s">
        <v>41</v>
      </c>
      <c r="F562" s="35">
        <f t="shared" ref="F562:O562" si="271">SUM(F563:F564)</f>
        <v>0</v>
      </c>
      <c r="G562" s="35">
        <f t="shared" si="271"/>
        <v>0</v>
      </c>
      <c r="H562" s="35">
        <f t="shared" si="271"/>
        <v>0</v>
      </c>
      <c r="I562" s="35">
        <f t="shared" si="271"/>
        <v>0</v>
      </c>
      <c r="J562" s="35">
        <f t="shared" si="271"/>
        <v>0</v>
      </c>
      <c r="K562" s="35">
        <f t="shared" si="271"/>
        <v>0</v>
      </c>
      <c r="L562" s="35">
        <f t="shared" si="271"/>
        <v>0</v>
      </c>
      <c r="M562" s="35">
        <f t="shared" si="271"/>
        <v>0</v>
      </c>
      <c r="N562" s="35">
        <f t="shared" si="271"/>
        <v>0</v>
      </c>
      <c r="O562" s="35">
        <f t="shared" si="271"/>
        <v>0</v>
      </c>
      <c r="P562" s="34" t="s">
        <v>1480</v>
      </c>
      <c r="Q562" s="36" t="s">
        <v>36</v>
      </c>
      <c r="R562" s="37" t="s">
        <v>1481</v>
      </c>
    </row>
    <row r="563" spans="1:18" ht="93" x14ac:dyDescent="0.25">
      <c r="A563" s="32" t="s">
        <v>1482</v>
      </c>
      <c r="B563" s="33" t="s">
        <v>1483</v>
      </c>
      <c r="C563" s="34"/>
      <c r="D563" s="34"/>
      <c r="E563" s="34"/>
      <c r="F563" s="38">
        <v>0</v>
      </c>
      <c r="G563" s="38">
        <v>0</v>
      </c>
      <c r="H563" s="38">
        <v>0</v>
      </c>
      <c r="I563" s="38">
        <v>0</v>
      </c>
      <c r="J563" s="38">
        <v>0</v>
      </c>
      <c r="K563" s="38">
        <v>0</v>
      </c>
      <c r="L563" s="38">
        <v>0</v>
      </c>
      <c r="M563" s="38">
        <v>0</v>
      </c>
      <c r="N563" s="38">
        <v>0</v>
      </c>
      <c r="O563" s="38">
        <v>0</v>
      </c>
      <c r="P563" s="34"/>
      <c r="Q563" s="36"/>
      <c r="R563" s="37"/>
    </row>
    <row r="564" spans="1:18" ht="93" x14ac:dyDescent="0.25">
      <c r="A564" s="32" t="s">
        <v>1484</v>
      </c>
      <c r="B564" s="33" t="s">
        <v>1485</v>
      </c>
      <c r="C564" s="34"/>
      <c r="D564" s="34"/>
      <c r="E564" s="34"/>
      <c r="F564" s="38">
        <v>0</v>
      </c>
      <c r="G564" s="38">
        <v>0</v>
      </c>
      <c r="H564" s="38">
        <v>0</v>
      </c>
      <c r="I564" s="38">
        <v>0</v>
      </c>
      <c r="J564" s="38">
        <v>0</v>
      </c>
      <c r="K564" s="38">
        <v>0</v>
      </c>
      <c r="L564" s="38">
        <v>0</v>
      </c>
      <c r="M564" s="38">
        <v>0</v>
      </c>
      <c r="N564" s="38">
        <v>0</v>
      </c>
      <c r="O564" s="38">
        <v>0</v>
      </c>
      <c r="P564" s="34"/>
      <c r="Q564" s="36"/>
      <c r="R564" s="37"/>
    </row>
    <row r="565" spans="1:18" ht="46.5" x14ac:dyDescent="0.25">
      <c r="A565" s="32" t="s">
        <v>1486</v>
      </c>
      <c r="B565" s="33" t="s">
        <v>1487</v>
      </c>
      <c r="C565" s="34" t="s">
        <v>1396</v>
      </c>
      <c r="D565" s="34" t="s">
        <v>1488</v>
      </c>
      <c r="E565" s="34" t="s">
        <v>41</v>
      </c>
      <c r="F565" s="35">
        <f>SUM(F566:F566)+78080.72</f>
        <v>78080.72</v>
      </c>
      <c r="G565" s="35">
        <f>SUM(G566:G566)+45000</f>
        <v>45000</v>
      </c>
      <c r="H565" s="35">
        <f>SUM(H566:H566)</f>
        <v>0</v>
      </c>
      <c r="I565" s="35">
        <f>SUM(I566:I566)</f>
        <v>0</v>
      </c>
      <c r="J565" s="35">
        <f>SUM(J566:J566)</f>
        <v>0</v>
      </c>
      <c r="K565" s="35">
        <f>SUM(K566:K566)</f>
        <v>0</v>
      </c>
      <c r="L565" s="35">
        <f>SUM(L566:L566)</f>
        <v>0</v>
      </c>
      <c r="M565" s="35">
        <f>SUM(M566:M566)+33080.72</f>
        <v>33080.720000000001</v>
      </c>
      <c r="N565" s="35">
        <f>SUM(N566:N566)</f>
        <v>0</v>
      </c>
      <c r="O565" s="35">
        <f>SUM(O566:O566)</f>
        <v>0</v>
      </c>
      <c r="P565" s="34" t="s">
        <v>1489</v>
      </c>
      <c r="Q565" s="36" t="s">
        <v>36</v>
      </c>
      <c r="R565" s="37" t="s">
        <v>954</v>
      </c>
    </row>
    <row r="566" spans="1:18" ht="46.5" x14ac:dyDescent="0.25">
      <c r="A566" s="32" t="s">
        <v>1490</v>
      </c>
      <c r="B566" s="33" t="s">
        <v>1491</v>
      </c>
      <c r="C566" s="34"/>
      <c r="D566" s="34"/>
      <c r="E566" s="34"/>
      <c r="F566" s="38">
        <v>0</v>
      </c>
      <c r="G566" s="38">
        <v>0</v>
      </c>
      <c r="H566" s="38">
        <v>0</v>
      </c>
      <c r="I566" s="38">
        <v>0</v>
      </c>
      <c r="J566" s="38">
        <v>0</v>
      </c>
      <c r="K566" s="38">
        <v>0</v>
      </c>
      <c r="L566" s="38">
        <v>0</v>
      </c>
      <c r="M566" s="38">
        <v>0</v>
      </c>
      <c r="N566" s="38">
        <v>0</v>
      </c>
      <c r="O566" s="38">
        <v>0</v>
      </c>
      <c r="P566" s="34"/>
      <c r="Q566" s="36"/>
      <c r="R566" s="37"/>
    </row>
    <row r="567" spans="1:18" ht="69.75" x14ac:dyDescent="0.25">
      <c r="A567" s="32" t="s">
        <v>1492</v>
      </c>
      <c r="B567" s="33" t="s">
        <v>1493</v>
      </c>
      <c r="C567" s="34" t="s">
        <v>1396</v>
      </c>
      <c r="D567" s="34" t="s">
        <v>1488</v>
      </c>
      <c r="E567" s="34" t="s">
        <v>41</v>
      </c>
      <c r="F567" s="35">
        <f>SUM(F568:F568)+1323.23</f>
        <v>1323.23</v>
      </c>
      <c r="G567" s="35">
        <f t="shared" ref="G567:L567" si="272">SUM(G568:G568)</f>
        <v>0</v>
      </c>
      <c r="H567" s="35">
        <f t="shared" si="272"/>
        <v>0</v>
      </c>
      <c r="I567" s="35">
        <f t="shared" si="272"/>
        <v>0</v>
      </c>
      <c r="J567" s="35">
        <f t="shared" si="272"/>
        <v>0</v>
      </c>
      <c r="K567" s="35">
        <f t="shared" si="272"/>
        <v>0</v>
      </c>
      <c r="L567" s="35">
        <f t="shared" si="272"/>
        <v>0</v>
      </c>
      <c r="M567" s="35">
        <f>SUM(M568:M568)+1323.23</f>
        <v>1323.23</v>
      </c>
      <c r="N567" s="35">
        <f>SUM(N568:N568)</f>
        <v>0</v>
      </c>
      <c r="O567" s="35">
        <f>SUM(O568:O568)</f>
        <v>0</v>
      </c>
      <c r="P567" s="34" t="s">
        <v>1494</v>
      </c>
      <c r="Q567" s="36" t="s">
        <v>36</v>
      </c>
      <c r="R567" s="37" t="s">
        <v>62</v>
      </c>
    </row>
    <row r="568" spans="1:18" ht="69.75" x14ac:dyDescent="0.25">
      <c r="A568" s="32" t="s">
        <v>1495</v>
      </c>
      <c r="B568" s="33" t="s">
        <v>1496</v>
      </c>
      <c r="C568" s="34"/>
      <c r="D568" s="34"/>
      <c r="E568" s="34"/>
      <c r="F568" s="38">
        <v>0</v>
      </c>
      <c r="G568" s="38">
        <v>0</v>
      </c>
      <c r="H568" s="38">
        <v>0</v>
      </c>
      <c r="I568" s="38">
        <v>0</v>
      </c>
      <c r="J568" s="38">
        <v>0</v>
      </c>
      <c r="K568" s="38">
        <v>0</v>
      </c>
      <c r="L568" s="38">
        <v>0</v>
      </c>
      <c r="M568" s="38">
        <v>0</v>
      </c>
      <c r="N568" s="38">
        <v>0</v>
      </c>
      <c r="O568" s="38">
        <v>0</v>
      </c>
      <c r="P568" s="34"/>
      <c r="Q568" s="36"/>
      <c r="R568" s="37"/>
    </row>
    <row r="569" spans="1:18" ht="69.75" x14ac:dyDescent="0.25">
      <c r="A569" s="32" t="s">
        <v>1497</v>
      </c>
      <c r="B569" s="33" t="s">
        <v>1498</v>
      </c>
      <c r="C569" s="34" t="s">
        <v>1396</v>
      </c>
      <c r="D569" s="34" t="s">
        <v>1466</v>
      </c>
      <c r="E569" s="34" t="s">
        <v>41</v>
      </c>
      <c r="F569" s="35">
        <f>SUM(F570:F570)+40000</f>
        <v>40000</v>
      </c>
      <c r="G569" s="35">
        <f>SUM(G570:G570)+40000</f>
        <v>40000</v>
      </c>
      <c r="H569" s="35">
        <f t="shared" ref="H569:O569" si="273">SUM(H570:H570)</f>
        <v>0</v>
      </c>
      <c r="I569" s="35">
        <f t="shared" si="273"/>
        <v>0</v>
      </c>
      <c r="J569" s="35">
        <f t="shared" si="273"/>
        <v>0</v>
      </c>
      <c r="K569" s="35">
        <f t="shared" si="273"/>
        <v>0</v>
      </c>
      <c r="L569" s="35">
        <f t="shared" si="273"/>
        <v>0</v>
      </c>
      <c r="M569" s="35">
        <f t="shared" si="273"/>
        <v>0</v>
      </c>
      <c r="N569" s="35">
        <f t="shared" si="273"/>
        <v>0</v>
      </c>
      <c r="O569" s="35">
        <f t="shared" si="273"/>
        <v>0</v>
      </c>
      <c r="P569" s="34" t="s">
        <v>1499</v>
      </c>
      <c r="Q569" s="36" t="s">
        <v>36</v>
      </c>
      <c r="R569" s="37" t="s">
        <v>186</v>
      </c>
    </row>
    <row r="570" spans="1:18" ht="46.5" x14ac:dyDescent="0.25">
      <c r="A570" s="32" t="s">
        <v>1500</v>
      </c>
      <c r="B570" s="33" t="s">
        <v>1501</v>
      </c>
      <c r="C570" s="34"/>
      <c r="D570" s="34"/>
      <c r="E570" s="34"/>
      <c r="F570" s="38">
        <v>0</v>
      </c>
      <c r="G570" s="38">
        <v>0</v>
      </c>
      <c r="H570" s="38">
        <v>0</v>
      </c>
      <c r="I570" s="38">
        <v>0</v>
      </c>
      <c r="J570" s="38">
        <v>0</v>
      </c>
      <c r="K570" s="38">
        <v>0</v>
      </c>
      <c r="L570" s="38">
        <v>0</v>
      </c>
      <c r="M570" s="38">
        <v>0</v>
      </c>
      <c r="N570" s="38">
        <v>0</v>
      </c>
      <c r="O570" s="38">
        <v>0</v>
      </c>
      <c r="P570" s="34"/>
      <c r="Q570" s="36"/>
      <c r="R570" s="37"/>
    </row>
    <row r="571" spans="1:18" ht="46.5" x14ac:dyDescent="0.25">
      <c r="A571" s="32" t="s">
        <v>1502</v>
      </c>
      <c r="B571" s="33" t="s">
        <v>1503</v>
      </c>
      <c r="C571" s="34" t="s">
        <v>1396</v>
      </c>
      <c r="D571" s="34" t="s">
        <v>1408</v>
      </c>
      <c r="E571" s="34" t="s">
        <v>41</v>
      </c>
      <c r="F571" s="35">
        <f>SUM(F572:F574)+527848</f>
        <v>527848</v>
      </c>
      <c r="G571" s="35">
        <f t="shared" ref="G571:L571" si="274">SUM(G572:G574)</f>
        <v>0</v>
      </c>
      <c r="H571" s="35">
        <f t="shared" si="274"/>
        <v>0</v>
      </c>
      <c r="I571" s="35">
        <f t="shared" si="274"/>
        <v>0</v>
      </c>
      <c r="J571" s="35">
        <f t="shared" si="274"/>
        <v>0</v>
      </c>
      <c r="K571" s="35">
        <f t="shared" si="274"/>
        <v>0</v>
      </c>
      <c r="L571" s="35">
        <f t="shared" si="274"/>
        <v>0</v>
      </c>
      <c r="M571" s="35">
        <f>SUM(M572:M574)+527848</f>
        <v>527848</v>
      </c>
      <c r="N571" s="35">
        <f>SUM(N572:N574)</f>
        <v>0</v>
      </c>
      <c r="O571" s="35">
        <f>SUM(O572:O574)</f>
        <v>0</v>
      </c>
      <c r="P571" s="34" t="s">
        <v>1504</v>
      </c>
      <c r="Q571" s="36" t="s">
        <v>36</v>
      </c>
      <c r="R571" s="37" t="s">
        <v>1209</v>
      </c>
    </row>
    <row r="572" spans="1:18" ht="93" x14ac:dyDescent="0.25">
      <c r="A572" s="32" t="s">
        <v>1505</v>
      </c>
      <c r="B572" s="33" t="s">
        <v>1506</v>
      </c>
      <c r="C572" s="34"/>
      <c r="D572" s="34"/>
      <c r="E572" s="34"/>
      <c r="F572" s="38">
        <v>0</v>
      </c>
      <c r="G572" s="38">
        <v>0</v>
      </c>
      <c r="H572" s="38">
        <v>0</v>
      </c>
      <c r="I572" s="38">
        <v>0</v>
      </c>
      <c r="J572" s="38">
        <v>0</v>
      </c>
      <c r="K572" s="38">
        <v>0</v>
      </c>
      <c r="L572" s="38">
        <v>0</v>
      </c>
      <c r="M572" s="38">
        <v>0</v>
      </c>
      <c r="N572" s="38">
        <v>0</v>
      </c>
      <c r="O572" s="38">
        <v>0</v>
      </c>
      <c r="P572" s="34"/>
      <c r="Q572" s="36"/>
      <c r="R572" s="37"/>
    </row>
    <row r="573" spans="1:18" ht="93" x14ac:dyDescent="0.25">
      <c r="A573" s="32" t="s">
        <v>1507</v>
      </c>
      <c r="B573" s="33" t="s">
        <v>1508</v>
      </c>
      <c r="C573" s="34"/>
      <c r="D573" s="34"/>
      <c r="E573" s="34"/>
      <c r="F573" s="38">
        <v>0</v>
      </c>
      <c r="G573" s="38">
        <v>0</v>
      </c>
      <c r="H573" s="38">
        <v>0</v>
      </c>
      <c r="I573" s="38">
        <v>0</v>
      </c>
      <c r="J573" s="38">
        <v>0</v>
      </c>
      <c r="K573" s="38">
        <v>0</v>
      </c>
      <c r="L573" s="38">
        <v>0</v>
      </c>
      <c r="M573" s="38">
        <v>0</v>
      </c>
      <c r="N573" s="38">
        <v>0</v>
      </c>
      <c r="O573" s="38">
        <v>0</v>
      </c>
      <c r="P573" s="34"/>
      <c r="Q573" s="36"/>
      <c r="R573" s="37"/>
    </row>
    <row r="574" spans="1:18" ht="69.75" x14ac:dyDescent="0.25">
      <c r="A574" s="32" t="s">
        <v>1509</v>
      </c>
      <c r="B574" s="33" t="s">
        <v>1510</v>
      </c>
      <c r="C574" s="34"/>
      <c r="D574" s="34"/>
      <c r="E574" s="34"/>
      <c r="F574" s="38">
        <v>0</v>
      </c>
      <c r="G574" s="38">
        <v>0</v>
      </c>
      <c r="H574" s="38">
        <v>0</v>
      </c>
      <c r="I574" s="38">
        <v>0</v>
      </c>
      <c r="J574" s="38">
        <v>0</v>
      </c>
      <c r="K574" s="38">
        <v>0</v>
      </c>
      <c r="L574" s="38">
        <v>0</v>
      </c>
      <c r="M574" s="38">
        <v>0</v>
      </c>
      <c r="N574" s="38">
        <v>0</v>
      </c>
      <c r="O574" s="38">
        <v>0</v>
      </c>
      <c r="P574" s="34"/>
      <c r="Q574" s="36"/>
      <c r="R574" s="37"/>
    </row>
    <row r="575" spans="1:18" ht="69.75" x14ac:dyDescent="0.25">
      <c r="A575" s="32" t="s">
        <v>1511</v>
      </c>
      <c r="B575" s="33" t="s">
        <v>1512</v>
      </c>
      <c r="C575" s="34" t="s">
        <v>1396</v>
      </c>
      <c r="D575" s="34" t="s">
        <v>1408</v>
      </c>
      <c r="E575" s="34" t="s">
        <v>41</v>
      </c>
      <c r="F575" s="35">
        <f>SUM(F576:F576)+10557</f>
        <v>10557</v>
      </c>
      <c r="G575" s="35">
        <f t="shared" ref="G575:L575" si="275">SUM(G576:G576)</f>
        <v>0</v>
      </c>
      <c r="H575" s="35">
        <f t="shared" si="275"/>
        <v>0</v>
      </c>
      <c r="I575" s="35">
        <f t="shared" si="275"/>
        <v>0</v>
      </c>
      <c r="J575" s="35">
        <f t="shared" si="275"/>
        <v>0</v>
      </c>
      <c r="K575" s="35">
        <f t="shared" si="275"/>
        <v>0</v>
      </c>
      <c r="L575" s="35">
        <f t="shared" si="275"/>
        <v>0</v>
      </c>
      <c r="M575" s="35">
        <f>SUM(M576:M576)+10557</f>
        <v>10557</v>
      </c>
      <c r="N575" s="35">
        <f>SUM(N576:N576)</f>
        <v>0</v>
      </c>
      <c r="O575" s="35">
        <f>SUM(O576:O576)</f>
        <v>0</v>
      </c>
      <c r="P575" s="34" t="s">
        <v>1513</v>
      </c>
      <c r="Q575" s="36" t="s">
        <v>36</v>
      </c>
      <c r="R575" s="37" t="s">
        <v>352</v>
      </c>
    </row>
    <row r="576" spans="1:18" ht="69.75" x14ac:dyDescent="0.25">
      <c r="A576" s="32" t="s">
        <v>1514</v>
      </c>
      <c r="B576" s="33" t="s">
        <v>1515</v>
      </c>
      <c r="C576" s="34"/>
      <c r="D576" s="34"/>
      <c r="E576" s="34"/>
      <c r="F576" s="38">
        <v>0</v>
      </c>
      <c r="G576" s="38">
        <v>0</v>
      </c>
      <c r="H576" s="38">
        <v>0</v>
      </c>
      <c r="I576" s="38">
        <v>0</v>
      </c>
      <c r="J576" s="38">
        <v>0</v>
      </c>
      <c r="K576" s="38">
        <v>0</v>
      </c>
      <c r="L576" s="38">
        <v>0</v>
      </c>
      <c r="M576" s="38">
        <v>0</v>
      </c>
      <c r="N576" s="38">
        <v>0</v>
      </c>
      <c r="O576" s="38">
        <v>0</v>
      </c>
      <c r="P576" s="34"/>
      <c r="Q576" s="36"/>
      <c r="R576" s="37"/>
    </row>
    <row r="577" spans="1:18" ht="69.75" x14ac:dyDescent="0.25">
      <c r="A577" s="32" t="s">
        <v>1516</v>
      </c>
      <c r="B577" s="33" t="s">
        <v>1517</v>
      </c>
      <c r="C577" s="34" t="s">
        <v>1396</v>
      </c>
      <c r="D577" s="34" t="s">
        <v>1466</v>
      </c>
      <c r="E577" s="34" t="s">
        <v>41</v>
      </c>
      <c r="F577" s="35">
        <f>SUM(F578:F578)+3200</f>
        <v>3200</v>
      </c>
      <c r="G577" s="35">
        <f>SUM(G578:G578)</f>
        <v>0</v>
      </c>
      <c r="H577" s="35">
        <f>SUM(H578:H578)</f>
        <v>0</v>
      </c>
      <c r="I577" s="35">
        <f>SUM(I578:I578)</f>
        <v>0</v>
      </c>
      <c r="J577" s="35">
        <f>SUM(J578:J578)+3200</f>
        <v>3200</v>
      </c>
      <c r="K577" s="35">
        <f>SUM(K578:K578)</f>
        <v>0</v>
      </c>
      <c r="L577" s="35">
        <f>SUM(L578:L578)</f>
        <v>0</v>
      </c>
      <c r="M577" s="35">
        <f>SUM(M578:M578)</f>
        <v>0</v>
      </c>
      <c r="N577" s="35">
        <f>SUM(N578:N578)</f>
        <v>0</v>
      </c>
      <c r="O577" s="35">
        <f>SUM(O578:O578)</f>
        <v>0</v>
      </c>
      <c r="P577" s="34" t="s">
        <v>1518</v>
      </c>
      <c r="Q577" s="36" t="s">
        <v>36</v>
      </c>
      <c r="R577" s="37" t="s">
        <v>162</v>
      </c>
    </row>
    <row r="578" spans="1:18" ht="69.75" x14ac:dyDescent="0.25">
      <c r="A578" s="32" t="s">
        <v>1519</v>
      </c>
      <c r="B578" s="33" t="s">
        <v>1520</v>
      </c>
      <c r="C578" s="34"/>
      <c r="D578" s="34"/>
      <c r="E578" s="34"/>
      <c r="F578" s="38">
        <v>0</v>
      </c>
      <c r="G578" s="38">
        <v>0</v>
      </c>
      <c r="H578" s="38">
        <v>0</v>
      </c>
      <c r="I578" s="38">
        <v>0</v>
      </c>
      <c r="J578" s="38">
        <v>0</v>
      </c>
      <c r="K578" s="38">
        <v>0</v>
      </c>
      <c r="L578" s="38">
        <v>0</v>
      </c>
      <c r="M578" s="38">
        <v>0</v>
      </c>
      <c r="N578" s="38">
        <v>0</v>
      </c>
      <c r="O578" s="38">
        <v>0</v>
      </c>
      <c r="P578" s="34"/>
      <c r="Q578" s="36"/>
      <c r="R578" s="37"/>
    </row>
    <row r="579" spans="1:18" ht="45" x14ac:dyDescent="0.25">
      <c r="A579" s="26" t="s">
        <v>1521</v>
      </c>
      <c r="B579" s="27" t="s">
        <v>1522</v>
      </c>
      <c r="C579" s="28" t="s">
        <v>1396</v>
      </c>
      <c r="D579" s="28" t="s">
        <v>1400</v>
      </c>
      <c r="E579" s="28" t="s">
        <v>34</v>
      </c>
      <c r="F579" s="29">
        <f t="shared" ref="F579:O579" si="276">SUM(F580:F580)</f>
        <v>15000</v>
      </c>
      <c r="G579" s="29">
        <f t="shared" si="276"/>
        <v>15000</v>
      </c>
      <c r="H579" s="29">
        <f t="shared" si="276"/>
        <v>0</v>
      </c>
      <c r="I579" s="29">
        <f t="shared" si="276"/>
        <v>0</v>
      </c>
      <c r="J579" s="29">
        <f t="shared" si="276"/>
        <v>0</v>
      </c>
      <c r="K579" s="29">
        <f t="shared" si="276"/>
        <v>0</v>
      </c>
      <c r="L579" s="29">
        <f t="shared" si="276"/>
        <v>0</v>
      </c>
      <c r="M579" s="29">
        <f t="shared" si="276"/>
        <v>0</v>
      </c>
      <c r="N579" s="29">
        <f t="shared" si="276"/>
        <v>0</v>
      </c>
      <c r="O579" s="29">
        <f t="shared" si="276"/>
        <v>0</v>
      </c>
      <c r="P579" s="28" t="s">
        <v>1523</v>
      </c>
      <c r="Q579" s="30" t="s">
        <v>36</v>
      </c>
      <c r="R579" s="31" t="s">
        <v>1524</v>
      </c>
    </row>
    <row r="580" spans="1:18" ht="116.25" x14ac:dyDescent="0.25">
      <c r="A580" s="32" t="s">
        <v>1525</v>
      </c>
      <c r="B580" s="33" t="s">
        <v>1526</v>
      </c>
      <c r="C580" s="34" t="s">
        <v>1396</v>
      </c>
      <c r="D580" s="34" t="s">
        <v>1527</v>
      </c>
      <c r="E580" s="34" t="s">
        <v>41</v>
      </c>
      <c r="F580" s="35">
        <f>SUM(F581:F581)+15000</f>
        <v>15000</v>
      </c>
      <c r="G580" s="35">
        <f>SUM(G581:G581)+15000</f>
        <v>15000</v>
      </c>
      <c r="H580" s="35">
        <f t="shared" ref="H580:O580" si="277">SUM(H581:H581)</f>
        <v>0</v>
      </c>
      <c r="I580" s="35">
        <f t="shared" si="277"/>
        <v>0</v>
      </c>
      <c r="J580" s="35">
        <f t="shared" si="277"/>
        <v>0</v>
      </c>
      <c r="K580" s="35">
        <f t="shared" si="277"/>
        <v>0</v>
      </c>
      <c r="L580" s="35">
        <f t="shared" si="277"/>
        <v>0</v>
      </c>
      <c r="M580" s="35">
        <f t="shared" si="277"/>
        <v>0</v>
      </c>
      <c r="N580" s="35">
        <f t="shared" si="277"/>
        <v>0</v>
      </c>
      <c r="O580" s="35">
        <f t="shared" si="277"/>
        <v>0</v>
      </c>
      <c r="P580" s="34" t="s">
        <v>1528</v>
      </c>
      <c r="Q580" s="36" t="s">
        <v>36</v>
      </c>
      <c r="R580" s="37" t="s">
        <v>60</v>
      </c>
    </row>
    <row r="581" spans="1:18" ht="46.5" x14ac:dyDescent="0.25">
      <c r="A581" s="32" t="s">
        <v>1529</v>
      </c>
      <c r="B581" s="33" t="s">
        <v>1530</v>
      </c>
      <c r="C581" s="34"/>
      <c r="D581" s="34"/>
      <c r="E581" s="34"/>
      <c r="F581" s="38">
        <v>0</v>
      </c>
      <c r="G581" s="38">
        <v>0</v>
      </c>
      <c r="H581" s="38">
        <v>0</v>
      </c>
      <c r="I581" s="38">
        <v>0</v>
      </c>
      <c r="J581" s="38">
        <v>0</v>
      </c>
      <c r="K581" s="38">
        <v>0</v>
      </c>
      <c r="L581" s="38">
        <v>0</v>
      </c>
      <c r="M581" s="38">
        <v>0</v>
      </c>
      <c r="N581" s="38">
        <v>0</v>
      </c>
      <c r="O581" s="38">
        <v>0</v>
      </c>
      <c r="P581" s="34"/>
      <c r="Q581" s="36"/>
      <c r="R581" s="37"/>
    </row>
    <row r="582" spans="1:18" ht="45" x14ac:dyDescent="0.25">
      <c r="A582" s="20" t="s">
        <v>1531</v>
      </c>
      <c r="B582" s="21" t="s">
        <v>1532</v>
      </c>
      <c r="C582" s="22" t="s">
        <v>1396</v>
      </c>
      <c r="D582" s="22" t="s">
        <v>1400</v>
      </c>
      <c r="E582" s="22"/>
      <c r="F582" s="23">
        <f t="shared" ref="F582:O582" si="278">F583+F589+F592+F595+F684+F687</f>
        <v>17007869.93</v>
      </c>
      <c r="G582" s="23">
        <f t="shared" si="278"/>
        <v>3992438</v>
      </c>
      <c r="H582" s="23">
        <f t="shared" si="278"/>
        <v>127368.81</v>
      </c>
      <c r="I582" s="23">
        <f t="shared" si="278"/>
        <v>0</v>
      </c>
      <c r="J582" s="23">
        <f t="shared" si="278"/>
        <v>784225</v>
      </c>
      <c r="K582" s="23">
        <f t="shared" si="278"/>
        <v>0</v>
      </c>
      <c r="L582" s="23">
        <f t="shared" si="278"/>
        <v>280085.42</v>
      </c>
      <c r="M582" s="23">
        <f t="shared" si="278"/>
        <v>11779567.699999999</v>
      </c>
      <c r="N582" s="23">
        <f t="shared" si="278"/>
        <v>0</v>
      </c>
      <c r="O582" s="23">
        <f t="shared" si="278"/>
        <v>0</v>
      </c>
      <c r="P582" s="22" t="s">
        <v>1533</v>
      </c>
      <c r="Q582" s="24" t="s">
        <v>30</v>
      </c>
      <c r="R582" s="25" t="s">
        <v>60</v>
      </c>
    </row>
    <row r="583" spans="1:18" ht="67.5" x14ac:dyDescent="0.25">
      <c r="A583" s="26" t="s">
        <v>1534</v>
      </c>
      <c r="B583" s="27" t="s">
        <v>1535</v>
      </c>
      <c r="C583" s="28" t="s">
        <v>1536</v>
      </c>
      <c r="D583" s="28" t="s">
        <v>1537</v>
      </c>
      <c r="E583" s="28" t="s">
        <v>34</v>
      </c>
      <c r="F583" s="29">
        <f t="shared" ref="F583:O583" si="279">F584+F585+F587</f>
        <v>341903.62</v>
      </c>
      <c r="G583" s="29">
        <f t="shared" si="279"/>
        <v>7000</v>
      </c>
      <c r="H583" s="29">
        <f t="shared" si="279"/>
        <v>0</v>
      </c>
      <c r="I583" s="29">
        <f t="shared" si="279"/>
        <v>0</v>
      </c>
      <c r="J583" s="29">
        <f t="shared" si="279"/>
        <v>0</v>
      </c>
      <c r="K583" s="29">
        <f t="shared" si="279"/>
        <v>0</v>
      </c>
      <c r="L583" s="29">
        <f t="shared" si="279"/>
        <v>280085.42</v>
      </c>
      <c r="M583" s="29">
        <f t="shared" si="279"/>
        <v>54818.2</v>
      </c>
      <c r="N583" s="29">
        <f t="shared" si="279"/>
        <v>0</v>
      </c>
      <c r="O583" s="29">
        <f t="shared" si="279"/>
        <v>0</v>
      </c>
      <c r="P583" s="28" t="s">
        <v>1538</v>
      </c>
      <c r="Q583" s="30" t="s">
        <v>36</v>
      </c>
      <c r="R583" s="31" t="s">
        <v>48</v>
      </c>
    </row>
    <row r="584" spans="1:18" ht="69.75" x14ac:dyDescent="0.25">
      <c r="A584" s="39"/>
      <c r="B584" s="40"/>
      <c r="C584" s="41"/>
      <c r="D584" s="41"/>
      <c r="E584" s="41"/>
      <c r="F584" s="42">
        <v>0</v>
      </c>
      <c r="G584" s="42">
        <v>0</v>
      </c>
      <c r="H584" s="42">
        <v>0</v>
      </c>
      <c r="I584" s="42">
        <v>0</v>
      </c>
      <c r="J584" s="42">
        <v>0</v>
      </c>
      <c r="K584" s="42">
        <v>0</v>
      </c>
      <c r="L584" s="42">
        <v>0</v>
      </c>
      <c r="M584" s="42">
        <v>0</v>
      </c>
      <c r="N584" s="42">
        <v>0</v>
      </c>
      <c r="O584" s="42">
        <v>0</v>
      </c>
      <c r="P584" s="41" t="s">
        <v>1539</v>
      </c>
      <c r="Q584" s="43" t="s">
        <v>36</v>
      </c>
      <c r="R584" s="44" t="s">
        <v>48</v>
      </c>
    </row>
    <row r="585" spans="1:18" ht="93" x14ac:dyDescent="0.25">
      <c r="A585" s="32" t="s">
        <v>1540</v>
      </c>
      <c r="B585" s="33" t="s">
        <v>1541</v>
      </c>
      <c r="C585" s="34" t="s">
        <v>261</v>
      </c>
      <c r="D585" s="34" t="s">
        <v>272</v>
      </c>
      <c r="E585" s="34" t="s">
        <v>41</v>
      </c>
      <c r="F585" s="35">
        <f>SUM(F586:F586)+30358.05</f>
        <v>30358.05</v>
      </c>
      <c r="G585" s="35">
        <f>SUM(G586:G586)</f>
        <v>0</v>
      </c>
      <c r="H585" s="35">
        <f>SUM(H586:H586)</f>
        <v>0</v>
      </c>
      <c r="I585" s="35">
        <f>SUM(I586:I586)</f>
        <v>0</v>
      </c>
      <c r="J585" s="35">
        <f>SUM(J586:J586)</f>
        <v>0</v>
      </c>
      <c r="K585" s="35">
        <f>SUM(K586:K586)</f>
        <v>0</v>
      </c>
      <c r="L585" s="35">
        <f>SUM(L586:L586)+30358.05</f>
        <v>30358.05</v>
      </c>
      <c r="M585" s="35">
        <f>SUM(M586:M586)</f>
        <v>0</v>
      </c>
      <c r="N585" s="35">
        <f>SUM(N586:N586)</f>
        <v>0</v>
      </c>
      <c r="O585" s="35">
        <f>SUM(O586:O586)</f>
        <v>0</v>
      </c>
      <c r="P585" s="34" t="s">
        <v>1542</v>
      </c>
      <c r="Q585" s="36" t="s">
        <v>36</v>
      </c>
      <c r="R585" s="37" t="s">
        <v>48</v>
      </c>
    </row>
    <row r="586" spans="1:18" ht="69.75" x14ac:dyDescent="0.25">
      <c r="A586" s="32" t="s">
        <v>1543</v>
      </c>
      <c r="B586" s="33" t="s">
        <v>1544</v>
      </c>
      <c r="C586" s="34"/>
      <c r="D586" s="34"/>
      <c r="E586" s="34"/>
      <c r="F586" s="38">
        <v>0</v>
      </c>
      <c r="G586" s="38">
        <v>0</v>
      </c>
      <c r="H586" s="38">
        <v>0</v>
      </c>
      <c r="I586" s="38">
        <v>0</v>
      </c>
      <c r="J586" s="38">
        <v>0</v>
      </c>
      <c r="K586" s="38">
        <v>0</v>
      </c>
      <c r="L586" s="38">
        <v>0</v>
      </c>
      <c r="M586" s="38">
        <v>0</v>
      </c>
      <c r="N586" s="38">
        <v>0</v>
      </c>
      <c r="O586" s="38">
        <v>0</v>
      </c>
      <c r="P586" s="34"/>
      <c r="Q586" s="36"/>
      <c r="R586" s="37"/>
    </row>
    <row r="587" spans="1:18" ht="116.25" x14ac:dyDescent="0.25">
      <c r="A587" s="32" t="s">
        <v>1545</v>
      </c>
      <c r="B587" s="33" t="s">
        <v>1546</v>
      </c>
      <c r="C587" s="34" t="s">
        <v>1536</v>
      </c>
      <c r="D587" s="34" t="s">
        <v>1537</v>
      </c>
      <c r="E587" s="34" t="s">
        <v>41</v>
      </c>
      <c r="F587" s="35">
        <f>SUM(F588:F588)+311545.57</f>
        <v>311545.57</v>
      </c>
      <c r="G587" s="35">
        <f>SUM(G588:G588)+7000</f>
        <v>7000</v>
      </c>
      <c r="H587" s="35">
        <f>SUM(H588:H588)</f>
        <v>0</v>
      </c>
      <c r="I587" s="35">
        <f>SUM(I588:I588)</f>
        <v>0</v>
      </c>
      <c r="J587" s="35">
        <f>SUM(J588:J588)</f>
        <v>0</v>
      </c>
      <c r="K587" s="35">
        <f>SUM(K588:K588)</f>
        <v>0</v>
      </c>
      <c r="L587" s="35">
        <f>SUM(L588:L588)+249727.37</f>
        <v>249727.37</v>
      </c>
      <c r="M587" s="35">
        <f>SUM(M588:M588)+54818.2</f>
        <v>54818.2</v>
      </c>
      <c r="N587" s="35">
        <f>SUM(N588:N588)</f>
        <v>0</v>
      </c>
      <c r="O587" s="35">
        <f>SUM(O588:O588)</f>
        <v>0</v>
      </c>
      <c r="P587" s="34" t="s">
        <v>1538</v>
      </c>
      <c r="Q587" s="36" t="s">
        <v>36</v>
      </c>
      <c r="R587" s="37" t="s">
        <v>48</v>
      </c>
    </row>
    <row r="588" spans="1:18" ht="46.5" x14ac:dyDescent="0.25">
      <c r="A588" s="32" t="s">
        <v>1547</v>
      </c>
      <c r="B588" s="33" t="s">
        <v>1548</v>
      </c>
      <c r="C588" s="34"/>
      <c r="D588" s="34"/>
      <c r="E588" s="34"/>
      <c r="F588" s="38">
        <v>0</v>
      </c>
      <c r="G588" s="38">
        <v>0</v>
      </c>
      <c r="H588" s="38">
        <v>0</v>
      </c>
      <c r="I588" s="38">
        <v>0</v>
      </c>
      <c r="J588" s="38">
        <v>0</v>
      </c>
      <c r="K588" s="38">
        <v>0</v>
      </c>
      <c r="L588" s="38">
        <v>0</v>
      </c>
      <c r="M588" s="38">
        <v>0</v>
      </c>
      <c r="N588" s="38">
        <v>0</v>
      </c>
      <c r="O588" s="38">
        <v>0</v>
      </c>
      <c r="P588" s="34"/>
      <c r="Q588" s="36"/>
      <c r="R588" s="37"/>
    </row>
    <row r="589" spans="1:18" ht="112.5" x14ac:dyDescent="0.25">
      <c r="A589" s="26" t="s">
        <v>1549</v>
      </c>
      <c r="B589" s="27" t="s">
        <v>1550</v>
      </c>
      <c r="C589" s="28" t="s">
        <v>1396</v>
      </c>
      <c r="D589" s="28" t="s">
        <v>1400</v>
      </c>
      <c r="E589" s="28" t="s">
        <v>34</v>
      </c>
      <c r="F589" s="29">
        <f t="shared" ref="F589:O590" si="280">SUM(F590:F590)</f>
        <v>0</v>
      </c>
      <c r="G589" s="29">
        <f t="shared" si="280"/>
        <v>0</v>
      </c>
      <c r="H589" s="29">
        <f t="shared" si="280"/>
        <v>0</v>
      </c>
      <c r="I589" s="29">
        <f t="shared" si="280"/>
        <v>0</v>
      </c>
      <c r="J589" s="29">
        <f t="shared" si="280"/>
        <v>0</v>
      </c>
      <c r="K589" s="29">
        <f t="shared" si="280"/>
        <v>0</v>
      </c>
      <c r="L589" s="29">
        <f t="shared" si="280"/>
        <v>0</v>
      </c>
      <c r="M589" s="29">
        <f t="shared" si="280"/>
        <v>0</v>
      </c>
      <c r="N589" s="29">
        <f t="shared" si="280"/>
        <v>0</v>
      </c>
      <c r="O589" s="29">
        <f t="shared" si="280"/>
        <v>0</v>
      </c>
      <c r="P589" s="28" t="s">
        <v>1551</v>
      </c>
      <c r="Q589" s="30" t="s">
        <v>36</v>
      </c>
      <c r="R589" s="31" t="s">
        <v>48</v>
      </c>
    </row>
    <row r="590" spans="1:18" ht="46.5" x14ac:dyDescent="0.25">
      <c r="A590" s="32" t="s">
        <v>1552</v>
      </c>
      <c r="B590" s="33" t="s">
        <v>1553</v>
      </c>
      <c r="C590" s="34" t="s">
        <v>1396</v>
      </c>
      <c r="D590" s="34" t="s">
        <v>1400</v>
      </c>
      <c r="E590" s="34" t="s">
        <v>41</v>
      </c>
      <c r="F590" s="35">
        <f t="shared" si="280"/>
        <v>0</v>
      </c>
      <c r="G590" s="35">
        <f t="shared" si="280"/>
        <v>0</v>
      </c>
      <c r="H590" s="35">
        <f t="shared" si="280"/>
        <v>0</v>
      </c>
      <c r="I590" s="35">
        <f t="shared" si="280"/>
        <v>0</v>
      </c>
      <c r="J590" s="35">
        <f t="shared" si="280"/>
        <v>0</v>
      </c>
      <c r="K590" s="35">
        <f t="shared" si="280"/>
        <v>0</v>
      </c>
      <c r="L590" s="35">
        <f t="shared" si="280"/>
        <v>0</v>
      </c>
      <c r="M590" s="35">
        <f t="shared" si="280"/>
        <v>0</v>
      </c>
      <c r="N590" s="35">
        <f t="shared" si="280"/>
        <v>0</v>
      </c>
      <c r="O590" s="35">
        <f t="shared" si="280"/>
        <v>0</v>
      </c>
      <c r="P590" s="34" t="s">
        <v>1554</v>
      </c>
      <c r="Q590" s="36" t="s">
        <v>36</v>
      </c>
      <c r="R590" s="37" t="s">
        <v>48</v>
      </c>
    </row>
    <row r="591" spans="1:18" ht="69.75" x14ac:dyDescent="0.25">
      <c r="A591" s="32" t="s">
        <v>1555</v>
      </c>
      <c r="B591" s="33" t="s">
        <v>1556</v>
      </c>
      <c r="C591" s="34"/>
      <c r="D591" s="34"/>
      <c r="E591" s="34"/>
      <c r="F591" s="38">
        <v>0</v>
      </c>
      <c r="G591" s="38">
        <v>0</v>
      </c>
      <c r="H591" s="38">
        <v>0</v>
      </c>
      <c r="I591" s="38">
        <v>0</v>
      </c>
      <c r="J591" s="38">
        <v>0</v>
      </c>
      <c r="K591" s="38">
        <v>0</v>
      </c>
      <c r="L591" s="38">
        <v>0</v>
      </c>
      <c r="M591" s="38">
        <v>0</v>
      </c>
      <c r="N591" s="38">
        <v>0</v>
      </c>
      <c r="O591" s="38">
        <v>0</v>
      </c>
      <c r="P591" s="34"/>
      <c r="Q591" s="36"/>
      <c r="R591" s="37"/>
    </row>
    <row r="592" spans="1:18" ht="90" x14ac:dyDescent="0.25">
      <c r="A592" s="26" t="s">
        <v>1557</v>
      </c>
      <c r="B592" s="27" t="s">
        <v>1558</v>
      </c>
      <c r="C592" s="28" t="s">
        <v>1396</v>
      </c>
      <c r="D592" s="28" t="s">
        <v>1400</v>
      </c>
      <c r="E592" s="28" t="s">
        <v>34</v>
      </c>
      <c r="F592" s="29">
        <f t="shared" ref="F592:O592" si="281">SUM(F593:F593)</f>
        <v>258158</v>
      </c>
      <c r="G592" s="29">
        <f t="shared" si="281"/>
        <v>258158</v>
      </c>
      <c r="H592" s="29">
        <f t="shared" si="281"/>
        <v>0</v>
      </c>
      <c r="I592" s="29">
        <f t="shared" si="281"/>
        <v>0</v>
      </c>
      <c r="J592" s="29">
        <f t="shared" si="281"/>
        <v>0</v>
      </c>
      <c r="K592" s="29">
        <f t="shared" si="281"/>
        <v>0</v>
      </c>
      <c r="L592" s="29">
        <f t="shared" si="281"/>
        <v>0</v>
      </c>
      <c r="M592" s="29">
        <f t="shared" si="281"/>
        <v>0</v>
      </c>
      <c r="N592" s="29">
        <f t="shared" si="281"/>
        <v>0</v>
      </c>
      <c r="O592" s="29">
        <f t="shared" si="281"/>
        <v>0</v>
      </c>
      <c r="P592" s="28" t="s">
        <v>1554</v>
      </c>
      <c r="Q592" s="30" t="s">
        <v>36</v>
      </c>
      <c r="R592" s="31" t="s">
        <v>37</v>
      </c>
    </row>
    <row r="593" spans="1:18" ht="69.75" x14ac:dyDescent="0.25">
      <c r="A593" s="32" t="s">
        <v>1559</v>
      </c>
      <c r="B593" s="33" t="s">
        <v>1560</v>
      </c>
      <c r="C593" s="34" t="s">
        <v>1396</v>
      </c>
      <c r="D593" s="34" t="s">
        <v>1561</v>
      </c>
      <c r="E593" s="34" t="s">
        <v>41</v>
      </c>
      <c r="F593" s="35">
        <f>SUM(F594:F594)+258158</f>
        <v>258158</v>
      </c>
      <c r="G593" s="35">
        <f>SUM(G594:G594)+258158</f>
        <v>258158</v>
      </c>
      <c r="H593" s="35">
        <f t="shared" ref="H593:O593" si="282">SUM(H594:H594)</f>
        <v>0</v>
      </c>
      <c r="I593" s="35">
        <f t="shared" si="282"/>
        <v>0</v>
      </c>
      <c r="J593" s="35">
        <f t="shared" si="282"/>
        <v>0</v>
      </c>
      <c r="K593" s="35">
        <f t="shared" si="282"/>
        <v>0</v>
      </c>
      <c r="L593" s="35">
        <f t="shared" si="282"/>
        <v>0</v>
      </c>
      <c r="M593" s="35">
        <f t="shared" si="282"/>
        <v>0</v>
      </c>
      <c r="N593" s="35">
        <f t="shared" si="282"/>
        <v>0</v>
      </c>
      <c r="O593" s="35">
        <f t="shared" si="282"/>
        <v>0</v>
      </c>
      <c r="P593" s="34" t="s">
        <v>1562</v>
      </c>
      <c r="Q593" s="36" t="s">
        <v>36</v>
      </c>
      <c r="R593" s="37" t="s">
        <v>62</v>
      </c>
    </row>
    <row r="594" spans="1:18" ht="46.5" x14ac:dyDescent="0.25">
      <c r="A594" s="32" t="s">
        <v>1563</v>
      </c>
      <c r="B594" s="33" t="s">
        <v>1564</v>
      </c>
      <c r="C594" s="34"/>
      <c r="D594" s="34"/>
      <c r="E594" s="34"/>
      <c r="F594" s="38">
        <v>0</v>
      </c>
      <c r="G594" s="38">
        <v>0</v>
      </c>
      <c r="H594" s="38">
        <v>0</v>
      </c>
      <c r="I594" s="38">
        <v>0</v>
      </c>
      <c r="J594" s="38">
        <v>0</v>
      </c>
      <c r="K594" s="38">
        <v>0</v>
      </c>
      <c r="L594" s="38">
        <v>0</v>
      </c>
      <c r="M594" s="38">
        <v>0</v>
      </c>
      <c r="N594" s="38">
        <v>0</v>
      </c>
      <c r="O594" s="38">
        <v>0</v>
      </c>
      <c r="P594" s="34"/>
      <c r="Q594" s="36"/>
      <c r="R594" s="37"/>
    </row>
    <row r="595" spans="1:18" ht="67.5" x14ac:dyDescent="0.25">
      <c r="A595" s="26" t="s">
        <v>1565</v>
      </c>
      <c r="B595" s="27" t="s">
        <v>1566</v>
      </c>
      <c r="C595" s="28" t="s">
        <v>1396</v>
      </c>
      <c r="D595" s="28" t="s">
        <v>1400</v>
      </c>
      <c r="E595" s="28" t="s">
        <v>34</v>
      </c>
      <c r="F595" s="29">
        <f t="shared" ref="F595:O595" si="283">F596+F598+F600+F602+F604+F606+F608+F611+F614+F616+F618+F620+F622+F624+F626+F628+F630+F632+F634+F636+F638+F640+F642+F644+F646+F648+F650+F652+F654+F656+F658+F660+F662+F664+F666+F668+F670+F672+F674+F676+F678+F680+F682</f>
        <v>16232414.5</v>
      </c>
      <c r="G595" s="29">
        <f t="shared" si="283"/>
        <v>3682140</v>
      </c>
      <c r="H595" s="29">
        <f t="shared" si="283"/>
        <v>0</v>
      </c>
      <c r="I595" s="29">
        <f t="shared" si="283"/>
        <v>0</v>
      </c>
      <c r="J595" s="29">
        <f t="shared" si="283"/>
        <v>781340</v>
      </c>
      <c r="K595" s="29">
        <f t="shared" si="283"/>
        <v>0</v>
      </c>
      <c r="L595" s="29">
        <f t="shared" si="283"/>
        <v>0</v>
      </c>
      <c r="M595" s="29">
        <f t="shared" si="283"/>
        <v>11724749.5</v>
      </c>
      <c r="N595" s="29">
        <f t="shared" si="283"/>
        <v>0</v>
      </c>
      <c r="O595" s="29">
        <f t="shared" si="283"/>
        <v>0</v>
      </c>
      <c r="P595" s="28" t="s">
        <v>1554</v>
      </c>
      <c r="Q595" s="30" t="s">
        <v>36</v>
      </c>
      <c r="R595" s="31" t="s">
        <v>62</v>
      </c>
    </row>
    <row r="596" spans="1:18" ht="69.75" x14ac:dyDescent="0.25">
      <c r="A596" s="32" t="s">
        <v>1567</v>
      </c>
      <c r="B596" s="33" t="s">
        <v>1568</v>
      </c>
      <c r="C596" s="34" t="s">
        <v>1396</v>
      </c>
      <c r="D596" s="34" t="s">
        <v>1569</v>
      </c>
      <c r="E596" s="34" t="s">
        <v>41</v>
      </c>
      <c r="F596" s="35">
        <f>SUM(F597:F597)+1736429.56</f>
        <v>1736429.56</v>
      </c>
      <c r="G596" s="35">
        <f>SUM(G597:G597)+1700000</f>
        <v>1700000</v>
      </c>
      <c r="H596" s="35">
        <f t="shared" ref="H596:O596" si="284">SUM(H597:H597)</f>
        <v>0</v>
      </c>
      <c r="I596" s="35">
        <f t="shared" si="284"/>
        <v>0</v>
      </c>
      <c r="J596" s="35">
        <f t="shared" si="284"/>
        <v>0</v>
      </c>
      <c r="K596" s="35">
        <f t="shared" si="284"/>
        <v>0</v>
      </c>
      <c r="L596" s="35">
        <f t="shared" si="284"/>
        <v>0</v>
      </c>
      <c r="M596" s="35">
        <f t="shared" si="284"/>
        <v>0</v>
      </c>
      <c r="N596" s="35">
        <f t="shared" si="284"/>
        <v>0</v>
      </c>
      <c r="O596" s="35">
        <f t="shared" si="284"/>
        <v>0</v>
      </c>
      <c r="P596" s="34" t="s">
        <v>1570</v>
      </c>
      <c r="Q596" s="36" t="s">
        <v>36</v>
      </c>
      <c r="R596" s="37" t="s">
        <v>1571</v>
      </c>
    </row>
    <row r="597" spans="1:18" ht="46.5" x14ac:dyDescent="0.25">
      <c r="A597" s="32" t="s">
        <v>1572</v>
      </c>
      <c r="B597" s="33" t="s">
        <v>1573</v>
      </c>
      <c r="C597" s="34"/>
      <c r="D597" s="34"/>
      <c r="E597" s="34"/>
      <c r="F597" s="38">
        <v>0</v>
      </c>
      <c r="G597" s="38">
        <v>0</v>
      </c>
      <c r="H597" s="38">
        <v>0</v>
      </c>
      <c r="I597" s="38">
        <v>0</v>
      </c>
      <c r="J597" s="38">
        <v>0</v>
      </c>
      <c r="K597" s="38">
        <v>0</v>
      </c>
      <c r="L597" s="38">
        <v>0</v>
      </c>
      <c r="M597" s="38">
        <v>0</v>
      </c>
      <c r="N597" s="38">
        <v>0</v>
      </c>
      <c r="O597" s="38">
        <v>0</v>
      </c>
      <c r="P597" s="34"/>
      <c r="Q597" s="36"/>
      <c r="R597" s="37"/>
    </row>
    <row r="598" spans="1:18" ht="116.25" x14ac:dyDescent="0.25">
      <c r="A598" s="32" t="s">
        <v>1574</v>
      </c>
      <c r="B598" s="33" t="s">
        <v>1575</v>
      </c>
      <c r="C598" s="34" t="s">
        <v>1396</v>
      </c>
      <c r="D598" s="34" t="s">
        <v>1576</v>
      </c>
      <c r="E598" s="34" t="s">
        <v>41</v>
      </c>
      <c r="F598" s="35">
        <f>SUM(F599:F599)+186000</f>
        <v>186000</v>
      </c>
      <c r="G598" s="35">
        <f>SUM(G599:G599)+186000</f>
        <v>186000</v>
      </c>
      <c r="H598" s="35">
        <f t="shared" ref="H598:O598" si="285">SUM(H599:H599)</f>
        <v>0</v>
      </c>
      <c r="I598" s="35">
        <f t="shared" si="285"/>
        <v>0</v>
      </c>
      <c r="J598" s="35">
        <f t="shared" si="285"/>
        <v>0</v>
      </c>
      <c r="K598" s="35">
        <f t="shared" si="285"/>
        <v>0</v>
      </c>
      <c r="L598" s="35">
        <f t="shared" si="285"/>
        <v>0</v>
      </c>
      <c r="M598" s="35">
        <f t="shared" si="285"/>
        <v>0</v>
      </c>
      <c r="N598" s="35">
        <f t="shared" si="285"/>
        <v>0</v>
      </c>
      <c r="O598" s="35">
        <f t="shared" si="285"/>
        <v>0</v>
      </c>
      <c r="P598" s="34" t="s">
        <v>1577</v>
      </c>
      <c r="Q598" s="36" t="s">
        <v>36</v>
      </c>
      <c r="R598" s="37" t="s">
        <v>1578</v>
      </c>
    </row>
    <row r="599" spans="1:18" ht="93" x14ac:dyDescent="0.25">
      <c r="A599" s="32" t="s">
        <v>1579</v>
      </c>
      <c r="B599" s="33" t="s">
        <v>1580</v>
      </c>
      <c r="C599" s="34"/>
      <c r="D599" s="34"/>
      <c r="E599" s="34"/>
      <c r="F599" s="38">
        <v>0</v>
      </c>
      <c r="G599" s="38">
        <v>0</v>
      </c>
      <c r="H599" s="38">
        <v>0</v>
      </c>
      <c r="I599" s="38">
        <v>0</v>
      </c>
      <c r="J599" s="38">
        <v>0</v>
      </c>
      <c r="K599" s="38">
        <v>0</v>
      </c>
      <c r="L599" s="38">
        <v>0</v>
      </c>
      <c r="M599" s="38">
        <v>0</v>
      </c>
      <c r="N599" s="38">
        <v>0</v>
      </c>
      <c r="O599" s="38">
        <v>0</v>
      </c>
      <c r="P599" s="34"/>
      <c r="Q599" s="36"/>
      <c r="R599" s="37"/>
    </row>
    <row r="600" spans="1:18" ht="93" x14ac:dyDescent="0.25">
      <c r="A600" s="32" t="s">
        <v>1581</v>
      </c>
      <c r="B600" s="33" t="s">
        <v>1582</v>
      </c>
      <c r="C600" s="34" t="s">
        <v>1396</v>
      </c>
      <c r="D600" s="34" t="s">
        <v>1576</v>
      </c>
      <c r="E600" s="34" t="s">
        <v>41</v>
      </c>
      <c r="F600" s="35">
        <f>SUM(F601:F601)+55410</f>
        <v>55410</v>
      </c>
      <c r="G600" s="35">
        <f>SUM(G601:G601)+55410</f>
        <v>55410</v>
      </c>
      <c r="H600" s="35">
        <f t="shared" ref="H600:O600" si="286">SUM(H601:H601)</f>
        <v>0</v>
      </c>
      <c r="I600" s="35">
        <f t="shared" si="286"/>
        <v>0</v>
      </c>
      <c r="J600" s="35">
        <f t="shared" si="286"/>
        <v>0</v>
      </c>
      <c r="K600" s="35">
        <f t="shared" si="286"/>
        <v>0</v>
      </c>
      <c r="L600" s="35">
        <f t="shared" si="286"/>
        <v>0</v>
      </c>
      <c r="M600" s="35">
        <f t="shared" si="286"/>
        <v>0</v>
      </c>
      <c r="N600" s="35">
        <f t="shared" si="286"/>
        <v>0</v>
      </c>
      <c r="O600" s="35">
        <f t="shared" si="286"/>
        <v>0</v>
      </c>
      <c r="P600" s="34" t="s">
        <v>1583</v>
      </c>
      <c r="Q600" s="36" t="s">
        <v>36</v>
      </c>
      <c r="R600" s="37" t="s">
        <v>1584</v>
      </c>
    </row>
    <row r="601" spans="1:18" ht="69.75" x14ac:dyDescent="0.25">
      <c r="A601" s="32" t="s">
        <v>1585</v>
      </c>
      <c r="B601" s="33" t="s">
        <v>1586</v>
      </c>
      <c r="C601" s="34"/>
      <c r="D601" s="34"/>
      <c r="E601" s="34"/>
      <c r="F601" s="38">
        <v>0</v>
      </c>
      <c r="G601" s="38">
        <v>0</v>
      </c>
      <c r="H601" s="38">
        <v>0</v>
      </c>
      <c r="I601" s="38">
        <v>0</v>
      </c>
      <c r="J601" s="38">
        <v>0</v>
      </c>
      <c r="K601" s="38">
        <v>0</v>
      </c>
      <c r="L601" s="38">
        <v>0</v>
      </c>
      <c r="M601" s="38">
        <v>0</v>
      </c>
      <c r="N601" s="38">
        <v>0</v>
      </c>
      <c r="O601" s="38">
        <v>0</v>
      </c>
      <c r="P601" s="34"/>
      <c r="Q601" s="36"/>
      <c r="R601" s="37"/>
    </row>
    <row r="602" spans="1:18" ht="93" x14ac:dyDescent="0.25">
      <c r="A602" s="32" t="s">
        <v>1587</v>
      </c>
      <c r="B602" s="33" t="s">
        <v>1588</v>
      </c>
      <c r="C602" s="34" t="s">
        <v>1396</v>
      </c>
      <c r="D602" s="34" t="s">
        <v>1576</v>
      </c>
      <c r="E602" s="34" t="s">
        <v>41</v>
      </c>
      <c r="F602" s="35">
        <f>SUM(F603:F603)+2500</f>
        <v>2500</v>
      </c>
      <c r="G602" s="35">
        <f>SUM(G603:G603)+2500</f>
        <v>2500</v>
      </c>
      <c r="H602" s="35">
        <f t="shared" ref="H602:O602" si="287">SUM(H603:H603)</f>
        <v>0</v>
      </c>
      <c r="I602" s="35">
        <f t="shared" si="287"/>
        <v>0</v>
      </c>
      <c r="J602" s="35">
        <f t="shared" si="287"/>
        <v>0</v>
      </c>
      <c r="K602" s="35">
        <f t="shared" si="287"/>
        <v>0</v>
      </c>
      <c r="L602" s="35">
        <f t="shared" si="287"/>
        <v>0</v>
      </c>
      <c r="M602" s="35">
        <f t="shared" si="287"/>
        <v>0</v>
      </c>
      <c r="N602" s="35">
        <f t="shared" si="287"/>
        <v>0</v>
      </c>
      <c r="O602" s="35">
        <f t="shared" si="287"/>
        <v>0</v>
      </c>
      <c r="P602" s="34" t="s">
        <v>1589</v>
      </c>
      <c r="Q602" s="36" t="s">
        <v>36</v>
      </c>
      <c r="R602" s="37" t="s">
        <v>115</v>
      </c>
    </row>
    <row r="603" spans="1:18" ht="69.75" x14ac:dyDescent="0.25">
      <c r="A603" s="32" t="s">
        <v>1590</v>
      </c>
      <c r="B603" s="33" t="s">
        <v>1591</v>
      </c>
      <c r="C603" s="34"/>
      <c r="D603" s="34"/>
      <c r="E603" s="34"/>
      <c r="F603" s="38">
        <v>0</v>
      </c>
      <c r="G603" s="38">
        <v>0</v>
      </c>
      <c r="H603" s="38">
        <v>0</v>
      </c>
      <c r="I603" s="38">
        <v>0</v>
      </c>
      <c r="J603" s="38">
        <v>0</v>
      </c>
      <c r="K603" s="38">
        <v>0</v>
      </c>
      <c r="L603" s="38">
        <v>0</v>
      </c>
      <c r="M603" s="38">
        <v>0</v>
      </c>
      <c r="N603" s="38">
        <v>0</v>
      </c>
      <c r="O603" s="38">
        <v>0</v>
      </c>
      <c r="P603" s="34"/>
      <c r="Q603" s="36"/>
      <c r="R603" s="37"/>
    </row>
    <row r="604" spans="1:18" ht="46.5" x14ac:dyDescent="0.25">
      <c r="A604" s="32" t="s">
        <v>1592</v>
      </c>
      <c r="B604" s="33" t="s">
        <v>1593</v>
      </c>
      <c r="C604" s="34" t="s">
        <v>1396</v>
      </c>
      <c r="D604" s="34" t="s">
        <v>1400</v>
      </c>
      <c r="E604" s="34" t="s">
        <v>41</v>
      </c>
      <c r="F604" s="35">
        <f>SUM(F605:F605)+32000</f>
        <v>32000</v>
      </c>
      <c r="G604" s="35">
        <f>SUM(G605:G605)+32000</f>
        <v>32000</v>
      </c>
      <c r="H604" s="35">
        <f t="shared" ref="H604:O604" si="288">SUM(H605:H605)</f>
        <v>0</v>
      </c>
      <c r="I604" s="35">
        <f t="shared" si="288"/>
        <v>0</v>
      </c>
      <c r="J604" s="35">
        <f t="shared" si="288"/>
        <v>0</v>
      </c>
      <c r="K604" s="35">
        <f t="shared" si="288"/>
        <v>0</v>
      </c>
      <c r="L604" s="35">
        <f t="shared" si="288"/>
        <v>0</v>
      </c>
      <c r="M604" s="35">
        <f t="shared" si="288"/>
        <v>0</v>
      </c>
      <c r="N604" s="35">
        <f t="shared" si="288"/>
        <v>0</v>
      </c>
      <c r="O604" s="35">
        <f t="shared" si="288"/>
        <v>0</v>
      </c>
      <c r="P604" s="34" t="s">
        <v>1594</v>
      </c>
      <c r="Q604" s="36" t="s">
        <v>36</v>
      </c>
      <c r="R604" s="37" t="s">
        <v>1595</v>
      </c>
    </row>
    <row r="605" spans="1:18" ht="69.75" x14ac:dyDescent="0.25">
      <c r="A605" s="32" t="s">
        <v>1596</v>
      </c>
      <c r="B605" s="33" t="s">
        <v>1597</v>
      </c>
      <c r="C605" s="34"/>
      <c r="D605" s="34"/>
      <c r="E605" s="34"/>
      <c r="F605" s="38">
        <v>0</v>
      </c>
      <c r="G605" s="38">
        <v>0</v>
      </c>
      <c r="H605" s="38">
        <v>0</v>
      </c>
      <c r="I605" s="38">
        <v>0</v>
      </c>
      <c r="J605" s="38">
        <v>0</v>
      </c>
      <c r="K605" s="38">
        <v>0</v>
      </c>
      <c r="L605" s="38">
        <v>0</v>
      </c>
      <c r="M605" s="38">
        <v>0</v>
      </c>
      <c r="N605" s="38">
        <v>0</v>
      </c>
      <c r="O605" s="38">
        <v>0</v>
      </c>
      <c r="P605" s="34"/>
      <c r="Q605" s="36"/>
      <c r="R605" s="37"/>
    </row>
    <row r="606" spans="1:18" ht="46.5" x14ac:dyDescent="0.25">
      <c r="A606" s="32" t="s">
        <v>1598</v>
      </c>
      <c r="B606" s="33" t="s">
        <v>1599</v>
      </c>
      <c r="C606" s="34" t="s">
        <v>1396</v>
      </c>
      <c r="D606" s="34" t="s">
        <v>1400</v>
      </c>
      <c r="E606" s="34" t="s">
        <v>41</v>
      </c>
      <c r="F606" s="35">
        <f>SUM(F607:F607)+22000</f>
        <v>22000</v>
      </c>
      <c r="G606" s="35">
        <f>SUM(G607:G607)+22000</f>
        <v>22000</v>
      </c>
      <c r="H606" s="35">
        <f t="shared" ref="H606:O606" si="289">SUM(H607:H607)</f>
        <v>0</v>
      </c>
      <c r="I606" s="35">
        <f t="shared" si="289"/>
        <v>0</v>
      </c>
      <c r="J606" s="35">
        <f t="shared" si="289"/>
        <v>0</v>
      </c>
      <c r="K606" s="35">
        <f t="shared" si="289"/>
        <v>0</v>
      </c>
      <c r="L606" s="35">
        <f t="shared" si="289"/>
        <v>0</v>
      </c>
      <c r="M606" s="35">
        <f t="shared" si="289"/>
        <v>0</v>
      </c>
      <c r="N606" s="35">
        <f t="shared" si="289"/>
        <v>0</v>
      </c>
      <c r="O606" s="35">
        <f t="shared" si="289"/>
        <v>0</v>
      </c>
      <c r="P606" s="34" t="s">
        <v>1600</v>
      </c>
      <c r="Q606" s="36" t="s">
        <v>36</v>
      </c>
      <c r="R606" s="37" t="s">
        <v>1601</v>
      </c>
    </row>
    <row r="607" spans="1:18" ht="69.75" x14ac:dyDescent="0.25">
      <c r="A607" s="32" t="s">
        <v>1602</v>
      </c>
      <c r="B607" s="33" t="s">
        <v>1603</v>
      </c>
      <c r="C607" s="34"/>
      <c r="D607" s="34"/>
      <c r="E607" s="34"/>
      <c r="F607" s="38">
        <v>0</v>
      </c>
      <c r="G607" s="38">
        <v>0</v>
      </c>
      <c r="H607" s="38">
        <v>0</v>
      </c>
      <c r="I607" s="38">
        <v>0</v>
      </c>
      <c r="J607" s="38">
        <v>0</v>
      </c>
      <c r="K607" s="38">
        <v>0</v>
      </c>
      <c r="L607" s="38">
        <v>0</v>
      </c>
      <c r="M607" s="38">
        <v>0</v>
      </c>
      <c r="N607" s="38">
        <v>0</v>
      </c>
      <c r="O607" s="38">
        <v>0</v>
      </c>
      <c r="P607" s="34"/>
      <c r="Q607" s="36"/>
      <c r="R607" s="37"/>
    </row>
    <row r="608" spans="1:18" ht="302.25" x14ac:dyDescent="0.25">
      <c r="A608" s="32" t="s">
        <v>1604</v>
      </c>
      <c r="B608" s="33" t="s">
        <v>1605</v>
      </c>
      <c r="C608" s="34" t="s">
        <v>1606</v>
      </c>
      <c r="D608" s="34" t="s">
        <v>1607</v>
      </c>
      <c r="E608" s="34" t="s">
        <v>41</v>
      </c>
      <c r="F608" s="35">
        <f>SUM(F609:F610)+560699</f>
        <v>560699</v>
      </c>
      <c r="G608" s="35">
        <f>SUM(G609:G610)</f>
        <v>0</v>
      </c>
      <c r="H608" s="35">
        <f>SUM(H609:H610)</f>
        <v>0</v>
      </c>
      <c r="I608" s="35">
        <f>SUM(I609:I610)</f>
        <v>0</v>
      </c>
      <c r="J608" s="35">
        <f>SUM(J609:J610)+553600</f>
        <v>553600</v>
      </c>
      <c r="K608" s="35">
        <f>SUM(K609:K610)</f>
        <v>0</v>
      </c>
      <c r="L608" s="35">
        <f>SUM(L609:L610)</f>
        <v>0</v>
      </c>
      <c r="M608" s="35">
        <f>SUM(M609:M610)</f>
        <v>0</v>
      </c>
      <c r="N608" s="35">
        <f>SUM(N609:N610)</f>
        <v>0</v>
      </c>
      <c r="O608" s="35">
        <f>SUM(O609:O610)</f>
        <v>0</v>
      </c>
      <c r="P608" s="34" t="s">
        <v>1608</v>
      </c>
      <c r="Q608" s="36" t="s">
        <v>36</v>
      </c>
      <c r="R608" s="37" t="s">
        <v>1609</v>
      </c>
    </row>
    <row r="609" spans="1:18" ht="69.75" x14ac:dyDescent="0.25">
      <c r="A609" s="39"/>
      <c r="B609" s="40"/>
      <c r="C609" s="41"/>
      <c r="D609" s="41"/>
      <c r="E609" s="41"/>
      <c r="F609" s="42">
        <v>0</v>
      </c>
      <c r="G609" s="42">
        <v>0</v>
      </c>
      <c r="H609" s="42">
        <v>0</v>
      </c>
      <c r="I609" s="42">
        <v>0</v>
      </c>
      <c r="J609" s="42">
        <v>0</v>
      </c>
      <c r="K609" s="42">
        <v>0</v>
      </c>
      <c r="L609" s="42">
        <v>0</v>
      </c>
      <c r="M609" s="42">
        <v>0</v>
      </c>
      <c r="N609" s="42">
        <v>0</v>
      </c>
      <c r="O609" s="42">
        <v>0</v>
      </c>
      <c r="P609" s="41" t="s">
        <v>1610</v>
      </c>
      <c r="Q609" s="43" t="s">
        <v>36</v>
      </c>
      <c r="R609" s="44" t="s">
        <v>1611</v>
      </c>
    </row>
    <row r="610" spans="1:18" ht="116.25" x14ac:dyDescent="0.25">
      <c r="A610" s="32" t="s">
        <v>1612</v>
      </c>
      <c r="B610" s="33" t="s">
        <v>1613</v>
      </c>
      <c r="C610" s="34"/>
      <c r="D610" s="34"/>
      <c r="E610" s="34"/>
      <c r="F610" s="38">
        <v>0</v>
      </c>
      <c r="G610" s="38">
        <v>0</v>
      </c>
      <c r="H610" s="38">
        <v>0</v>
      </c>
      <c r="I610" s="38">
        <v>0</v>
      </c>
      <c r="J610" s="38">
        <v>0</v>
      </c>
      <c r="K610" s="38">
        <v>0</v>
      </c>
      <c r="L610" s="38">
        <v>0</v>
      </c>
      <c r="M610" s="38">
        <v>0</v>
      </c>
      <c r="N610" s="38">
        <v>0</v>
      </c>
      <c r="O610" s="38">
        <v>0</v>
      </c>
      <c r="P610" s="34"/>
      <c r="Q610" s="36"/>
      <c r="R610" s="37"/>
    </row>
    <row r="611" spans="1:18" ht="69.75" x14ac:dyDescent="0.25">
      <c r="A611" s="32" t="s">
        <v>1614</v>
      </c>
      <c r="B611" s="33" t="s">
        <v>1615</v>
      </c>
      <c r="C611" s="34" t="s">
        <v>1396</v>
      </c>
      <c r="D611" s="34" t="s">
        <v>1607</v>
      </c>
      <c r="E611" s="34" t="s">
        <v>41</v>
      </c>
      <c r="F611" s="35">
        <f>SUM(F612:F613)+5200</f>
        <v>5200</v>
      </c>
      <c r="G611" s="35">
        <f>SUM(G612:G613)</f>
        <v>0</v>
      </c>
      <c r="H611" s="35">
        <f>SUM(H612:H613)</f>
        <v>0</v>
      </c>
      <c r="I611" s="35">
        <f>SUM(I612:I613)</f>
        <v>0</v>
      </c>
      <c r="J611" s="35">
        <f>SUM(J612:J613)+5200</f>
        <v>5200</v>
      </c>
      <c r="K611" s="35">
        <f>SUM(K612:K613)</f>
        <v>0</v>
      </c>
      <c r="L611" s="35">
        <f>SUM(L612:L613)</f>
        <v>0</v>
      </c>
      <c r="M611" s="35">
        <f>SUM(M612:M613)</f>
        <v>0</v>
      </c>
      <c r="N611" s="35">
        <f>SUM(N612:N613)</f>
        <v>0</v>
      </c>
      <c r="O611" s="35">
        <f>SUM(O612:O613)</f>
        <v>0</v>
      </c>
      <c r="P611" s="34" t="s">
        <v>1616</v>
      </c>
      <c r="Q611" s="36" t="s">
        <v>36</v>
      </c>
      <c r="R611" s="37" t="s">
        <v>89</v>
      </c>
    </row>
    <row r="612" spans="1:18" ht="69.75" x14ac:dyDescent="0.25">
      <c r="A612" s="39"/>
      <c r="B612" s="40"/>
      <c r="C612" s="41"/>
      <c r="D612" s="41"/>
      <c r="E612" s="41"/>
      <c r="F612" s="42">
        <v>0</v>
      </c>
      <c r="G612" s="42">
        <v>0</v>
      </c>
      <c r="H612" s="42">
        <v>0</v>
      </c>
      <c r="I612" s="42">
        <v>0</v>
      </c>
      <c r="J612" s="42">
        <v>0</v>
      </c>
      <c r="K612" s="42">
        <v>0</v>
      </c>
      <c r="L612" s="42">
        <v>0</v>
      </c>
      <c r="M612" s="42">
        <v>0</v>
      </c>
      <c r="N612" s="42">
        <v>0</v>
      </c>
      <c r="O612" s="42">
        <v>0</v>
      </c>
      <c r="P612" s="41" t="s">
        <v>1617</v>
      </c>
      <c r="Q612" s="43" t="s">
        <v>36</v>
      </c>
      <c r="R612" s="44" t="s">
        <v>1057</v>
      </c>
    </row>
    <row r="613" spans="1:18" ht="116.25" x14ac:dyDescent="0.25">
      <c r="A613" s="32" t="s">
        <v>1618</v>
      </c>
      <c r="B613" s="33" t="s">
        <v>1619</v>
      </c>
      <c r="C613" s="34"/>
      <c r="D613" s="34"/>
      <c r="E613" s="34"/>
      <c r="F613" s="38">
        <v>0</v>
      </c>
      <c r="G613" s="38">
        <v>0</v>
      </c>
      <c r="H613" s="38">
        <v>0</v>
      </c>
      <c r="I613" s="38">
        <v>0</v>
      </c>
      <c r="J613" s="38">
        <v>0</v>
      </c>
      <c r="K613" s="38">
        <v>0</v>
      </c>
      <c r="L613" s="38">
        <v>0</v>
      </c>
      <c r="M613" s="38">
        <v>0</v>
      </c>
      <c r="N613" s="38">
        <v>0</v>
      </c>
      <c r="O613" s="38">
        <v>0</v>
      </c>
      <c r="P613" s="34"/>
      <c r="Q613" s="36"/>
      <c r="R613" s="37"/>
    </row>
    <row r="614" spans="1:18" ht="69.75" x14ac:dyDescent="0.25">
      <c r="A614" s="32" t="s">
        <v>1620</v>
      </c>
      <c r="B614" s="33" t="s">
        <v>1621</v>
      </c>
      <c r="C614" s="34" t="s">
        <v>1396</v>
      </c>
      <c r="D614" s="34" t="s">
        <v>1527</v>
      </c>
      <c r="E614" s="34" t="s">
        <v>41</v>
      </c>
      <c r="F614" s="35">
        <f>SUM(F615:F615)+222540</f>
        <v>222540</v>
      </c>
      <c r="G614" s="35">
        <f>SUM(G615:G615)</f>
        <v>0</v>
      </c>
      <c r="H614" s="35">
        <f>SUM(H615:H615)</f>
        <v>0</v>
      </c>
      <c r="I614" s="35">
        <f>SUM(I615:I615)</f>
        <v>0</v>
      </c>
      <c r="J614" s="35">
        <f>SUM(J615:J615)+222540</f>
        <v>222540</v>
      </c>
      <c r="K614" s="35">
        <f>SUM(K615:K615)</f>
        <v>0</v>
      </c>
      <c r="L614" s="35">
        <f>SUM(L615:L615)</f>
        <v>0</v>
      </c>
      <c r="M614" s="35">
        <f>SUM(M615:M615)</f>
        <v>0</v>
      </c>
      <c r="N614" s="35">
        <f>SUM(N615:N615)</f>
        <v>0</v>
      </c>
      <c r="O614" s="35">
        <f>SUM(O615:O615)</f>
        <v>0</v>
      </c>
      <c r="P614" s="34" t="s">
        <v>1622</v>
      </c>
      <c r="Q614" s="36" t="s">
        <v>36</v>
      </c>
      <c r="R614" s="37" t="s">
        <v>1623</v>
      </c>
    </row>
    <row r="615" spans="1:18" ht="46.5" x14ac:dyDescent="0.25">
      <c r="A615" s="32" t="s">
        <v>1624</v>
      </c>
      <c r="B615" s="33" t="s">
        <v>1625</v>
      </c>
      <c r="C615" s="34"/>
      <c r="D615" s="34"/>
      <c r="E615" s="34"/>
      <c r="F615" s="38">
        <v>0</v>
      </c>
      <c r="G615" s="38">
        <v>0</v>
      </c>
      <c r="H615" s="38">
        <v>0</v>
      </c>
      <c r="I615" s="38">
        <v>0</v>
      </c>
      <c r="J615" s="38">
        <v>0</v>
      </c>
      <c r="K615" s="38">
        <v>0</v>
      </c>
      <c r="L615" s="38">
        <v>0</v>
      </c>
      <c r="M615" s="38">
        <v>0</v>
      </c>
      <c r="N615" s="38">
        <v>0</v>
      </c>
      <c r="O615" s="38">
        <v>0</v>
      </c>
      <c r="P615" s="34"/>
      <c r="Q615" s="36"/>
      <c r="R615" s="37"/>
    </row>
    <row r="616" spans="1:18" ht="69.75" x14ac:dyDescent="0.25">
      <c r="A616" s="32" t="s">
        <v>1626</v>
      </c>
      <c r="B616" s="33" t="s">
        <v>1627</v>
      </c>
      <c r="C616" s="34" t="s">
        <v>1396</v>
      </c>
      <c r="D616" s="34" t="s">
        <v>1569</v>
      </c>
      <c r="E616" s="34" t="s">
        <v>41</v>
      </c>
      <c r="F616" s="35">
        <f>SUM(F617:F617)+320000</f>
        <v>320000</v>
      </c>
      <c r="G616" s="35">
        <f>SUM(G617:G617)+320000</f>
        <v>320000</v>
      </c>
      <c r="H616" s="35">
        <f t="shared" ref="H616:O616" si="290">SUM(H617:H617)</f>
        <v>0</v>
      </c>
      <c r="I616" s="35">
        <f t="shared" si="290"/>
        <v>0</v>
      </c>
      <c r="J616" s="35">
        <f t="shared" si="290"/>
        <v>0</v>
      </c>
      <c r="K616" s="35">
        <f t="shared" si="290"/>
        <v>0</v>
      </c>
      <c r="L616" s="35">
        <f t="shared" si="290"/>
        <v>0</v>
      </c>
      <c r="M616" s="35">
        <f t="shared" si="290"/>
        <v>0</v>
      </c>
      <c r="N616" s="35">
        <f t="shared" si="290"/>
        <v>0</v>
      </c>
      <c r="O616" s="35">
        <f t="shared" si="290"/>
        <v>0</v>
      </c>
      <c r="P616" s="34" t="s">
        <v>1628</v>
      </c>
      <c r="Q616" s="36" t="s">
        <v>36</v>
      </c>
      <c r="R616" s="37" t="s">
        <v>1629</v>
      </c>
    </row>
    <row r="617" spans="1:18" ht="69.75" x14ac:dyDescent="0.25">
      <c r="A617" s="32" t="s">
        <v>1630</v>
      </c>
      <c r="B617" s="33" t="s">
        <v>1631</v>
      </c>
      <c r="C617" s="34"/>
      <c r="D617" s="34"/>
      <c r="E617" s="34"/>
      <c r="F617" s="38">
        <v>0</v>
      </c>
      <c r="G617" s="38">
        <v>0</v>
      </c>
      <c r="H617" s="38">
        <v>0</v>
      </c>
      <c r="I617" s="38">
        <v>0</v>
      </c>
      <c r="J617" s="38">
        <v>0</v>
      </c>
      <c r="K617" s="38">
        <v>0</v>
      </c>
      <c r="L617" s="38">
        <v>0</v>
      </c>
      <c r="M617" s="38">
        <v>0</v>
      </c>
      <c r="N617" s="38">
        <v>0</v>
      </c>
      <c r="O617" s="38">
        <v>0</v>
      </c>
      <c r="P617" s="34"/>
      <c r="Q617" s="36"/>
      <c r="R617" s="37"/>
    </row>
    <row r="618" spans="1:18" ht="93" x14ac:dyDescent="0.25">
      <c r="A618" s="32" t="s">
        <v>1632</v>
      </c>
      <c r="B618" s="33" t="s">
        <v>1633</v>
      </c>
      <c r="C618" s="34" t="s">
        <v>1396</v>
      </c>
      <c r="D618" s="34" t="s">
        <v>1569</v>
      </c>
      <c r="E618" s="34" t="s">
        <v>41</v>
      </c>
      <c r="F618" s="35">
        <f>SUM(F619:F619)+23000</f>
        <v>23000</v>
      </c>
      <c r="G618" s="35">
        <f>SUM(G619:G619)+23000</f>
        <v>23000</v>
      </c>
      <c r="H618" s="35">
        <f t="shared" ref="H618:O618" si="291">SUM(H619:H619)</f>
        <v>0</v>
      </c>
      <c r="I618" s="35">
        <f t="shared" si="291"/>
        <v>0</v>
      </c>
      <c r="J618" s="35">
        <f t="shared" si="291"/>
        <v>0</v>
      </c>
      <c r="K618" s="35">
        <f t="shared" si="291"/>
        <v>0</v>
      </c>
      <c r="L618" s="35">
        <f t="shared" si="291"/>
        <v>0</v>
      </c>
      <c r="M618" s="35">
        <f t="shared" si="291"/>
        <v>0</v>
      </c>
      <c r="N618" s="35">
        <f t="shared" si="291"/>
        <v>0</v>
      </c>
      <c r="O618" s="35">
        <f t="shared" si="291"/>
        <v>0</v>
      </c>
      <c r="P618" s="34" t="s">
        <v>1634</v>
      </c>
      <c r="Q618" s="36" t="s">
        <v>36</v>
      </c>
      <c r="R618" s="37" t="s">
        <v>1635</v>
      </c>
    </row>
    <row r="619" spans="1:18" ht="69.75" x14ac:dyDescent="0.25">
      <c r="A619" s="32" t="s">
        <v>1636</v>
      </c>
      <c r="B619" s="33" t="s">
        <v>1637</v>
      </c>
      <c r="C619" s="34"/>
      <c r="D619" s="34"/>
      <c r="E619" s="34"/>
      <c r="F619" s="38">
        <v>0</v>
      </c>
      <c r="G619" s="38">
        <v>0</v>
      </c>
      <c r="H619" s="38">
        <v>0</v>
      </c>
      <c r="I619" s="38">
        <v>0</v>
      </c>
      <c r="J619" s="38">
        <v>0</v>
      </c>
      <c r="K619" s="38">
        <v>0</v>
      </c>
      <c r="L619" s="38">
        <v>0</v>
      </c>
      <c r="M619" s="38">
        <v>0</v>
      </c>
      <c r="N619" s="38">
        <v>0</v>
      </c>
      <c r="O619" s="38">
        <v>0</v>
      </c>
      <c r="P619" s="34"/>
      <c r="Q619" s="36"/>
      <c r="R619" s="37"/>
    </row>
    <row r="620" spans="1:18" ht="69.75" x14ac:dyDescent="0.25">
      <c r="A620" s="32" t="s">
        <v>1638</v>
      </c>
      <c r="B620" s="33" t="s">
        <v>1639</v>
      </c>
      <c r="C620" s="34" t="s">
        <v>1396</v>
      </c>
      <c r="D620" s="34" t="s">
        <v>1569</v>
      </c>
      <c r="E620" s="34" t="s">
        <v>41</v>
      </c>
      <c r="F620" s="35">
        <f>SUM(F621:F621)+16000</f>
        <v>16000</v>
      </c>
      <c r="G620" s="35">
        <f>SUM(G621:G621)+16000</f>
        <v>16000</v>
      </c>
      <c r="H620" s="35">
        <f t="shared" ref="H620:O620" si="292">SUM(H621:H621)</f>
        <v>0</v>
      </c>
      <c r="I620" s="35">
        <f t="shared" si="292"/>
        <v>0</v>
      </c>
      <c r="J620" s="35">
        <f t="shared" si="292"/>
        <v>0</v>
      </c>
      <c r="K620" s="35">
        <f t="shared" si="292"/>
        <v>0</v>
      </c>
      <c r="L620" s="35">
        <f t="shared" si="292"/>
        <v>0</v>
      </c>
      <c r="M620" s="35">
        <f t="shared" si="292"/>
        <v>0</v>
      </c>
      <c r="N620" s="35">
        <f t="shared" si="292"/>
        <v>0</v>
      </c>
      <c r="O620" s="35">
        <f t="shared" si="292"/>
        <v>0</v>
      </c>
      <c r="P620" s="34" t="s">
        <v>1640</v>
      </c>
      <c r="Q620" s="36" t="s">
        <v>36</v>
      </c>
      <c r="R620" s="37" t="s">
        <v>1641</v>
      </c>
    </row>
    <row r="621" spans="1:18" ht="69.75" x14ac:dyDescent="0.25">
      <c r="A621" s="32" t="s">
        <v>1642</v>
      </c>
      <c r="B621" s="33" t="s">
        <v>1643</v>
      </c>
      <c r="C621" s="34"/>
      <c r="D621" s="34"/>
      <c r="E621" s="34"/>
      <c r="F621" s="38">
        <v>0</v>
      </c>
      <c r="G621" s="38">
        <v>0</v>
      </c>
      <c r="H621" s="38">
        <v>0</v>
      </c>
      <c r="I621" s="38">
        <v>0</v>
      </c>
      <c r="J621" s="38">
        <v>0</v>
      </c>
      <c r="K621" s="38">
        <v>0</v>
      </c>
      <c r="L621" s="38">
        <v>0</v>
      </c>
      <c r="M621" s="38">
        <v>0</v>
      </c>
      <c r="N621" s="38">
        <v>0</v>
      </c>
      <c r="O621" s="38">
        <v>0</v>
      </c>
      <c r="P621" s="34"/>
      <c r="Q621" s="36"/>
      <c r="R621" s="37"/>
    </row>
    <row r="622" spans="1:18" ht="116.25" x14ac:dyDescent="0.25">
      <c r="A622" s="32" t="s">
        <v>1644</v>
      </c>
      <c r="B622" s="33" t="s">
        <v>1645</v>
      </c>
      <c r="C622" s="34" t="s">
        <v>1396</v>
      </c>
      <c r="D622" s="34" t="s">
        <v>1646</v>
      </c>
      <c r="E622" s="34" t="s">
        <v>41</v>
      </c>
      <c r="F622" s="35">
        <f>SUM(F623:F623)+185000</f>
        <v>185000</v>
      </c>
      <c r="G622" s="35">
        <f>SUM(G623:G623)+185000</f>
        <v>185000</v>
      </c>
      <c r="H622" s="35">
        <f t="shared" ref="H622:O622" si="293">SUM(H623:H623)</f>
        <v>0</v>
      </c>
      <c r="I622" s="35">
        <f t="shared" si="293"/>
        <v>0</v>
      </c>
      <c r="J622" s="35">
        <f t="shared" si="293"/>
        <v>0</v>
      </c>
      <c r="K622" s="35">
        <f t="shared" si="293"/>
        <v>0</v>
      </c>
      <c r="L622" s="35">
        <f t="shared" si="293"/>
        <v>0</v>
      </c>
      <c r="M622" s="35">
        <f t="shared" si="293"/>
        <v>0</v>
      </c>
      <c r="N622" s="35">
        <f t="shared" si="293"/>
        <v>0</v>
      </c>
      <c r="O622" s="35">
        <f t="shared" si="293"/>
        <v>0</v>
      </c>
      <c r="P622" s="34" t="s">
        <v>1647</v>
      </c>
      <c r="Q622" s="36" t="s">
        <v>36</v>
      </c>
      <c r="R622" s="37" t="s">
        <v>1648</v>
      </c>
    </row>
    <row r="623" spans="1:18" ht="116.25" x14ac:dyDescent="0.25">
      <c r="A623" s="32" t="s">
        <v>1649</v>
      </c>
      <c r="B623" s="33" t="s">
        <v>1650</v>
      </c>
      <c r="C623" s="34"/>
      <c r="D623" s="34"/>
      <c r="E623" s="34"/>
      <c r="F623" s="38">
        <v>0</v>
      </c>
      <c r="G623" s="38">
        <v>0</v>
      </c>
      <c r="H623" s="38">
        <v>0</v>
      </c>
      <c r="I623" s="38">
        <v>0</v>
      </c>
      <c r="J623" s="38">
        <v>0</v>
      </c>
      <c r="K623" s="38">
        <v>0</v>
      </c>
      <c r="L623" s="38">
        <v>0</v>
      </c>
      <c r="M623" s="38">
        <v>0</v>
      </c>
      <c r="N623" s="38">
        <v>0</v>
      </c>
      <c r="O623" s="38">
        <v>0</v>
      </c>
      <c r="P623" s="34"/>
      <c r="Q623" s="36"/>
      <c r="R623" s="37"/>
    </row>
    <row r="624" spans="1:18" ht="69.75" x14ac:dyDescent="0.25">
      <c r="A624" s="32" t="s">
        <v>1651</v>
      </c>
      <c r="B624" s="33" t="s">
        <v>1652</v>
      </c>
      <c r="C624" s="34" t="s">
        <v>1396</v>
      </c>
      <c r="D624" s="34" t="s">
        <v>1569</v>
      </c>
      <c r="E624" s="34" t="s">
        <v>41</v>
      </c>
      <c r="F624" s="35">
        <f>SUM(F625:F625)+1098656.44</f>
        <v>1098656.44</v>
      </c>
      <c r="G624" s="35">
        <f>SUM(G625:G625)+1098000</f>
        <v>1098000</v>
      </c>
      <c r="H624" s="35">
        <f t="shared" ref="H624:O624" si="294">SUM(H625:H625)</f>
        <v>0</v>
      </c>
      <c r="I624" s="35">
        <f t="shared" si="294"/>
        <v>0</v>
      </c>
      <c r="J624" s="35">
        <f t="shared" si="294"/>
        <v>0</v>
      </c>
      <c r="K624" s="35">
        <f t="shared" si="294"/>
        <v>0</v>
      </c>
      <c r="L624" s="35">
        <f t="shared" si="294"/>
        <v>0</v>
      </c>
      <c r="M624" s="35">
        <f t="shared" si="294"/>
        <v>0</v>
      </c>
      <c r="N624" s="35">
        <f t="shared" si="294"/>
        <v>0</v>
      </c>
      <c r="O624" s="35">
        <f t="shared" si="294"/>
        <v>0</v>
      </c>
      <c r="P624" s="34" t="s">
        <v>1653</v>
      </c>
      <c r="Q624" s="36" t="s">
        <v>36</v>
      </c>
      <c r="R624" s="37" t="s">
        <v>1654</v>
      </c>
    </row>
    <row r="625" spans="1:18" ht="69.75" x14ac:dyDescent="0.25">
      <c r="A625" s="32" t="s">
        <v>1655</v>
      </c>
      <c r="B625" s="33" t="s">
        <v>1656</v>
      </c>
      <c r="C625" s="34"/>
      <c r="D625" s="34"/>
      <c r="E625" s="34"/>
      <c r="F625" s="38">
        <v>0</v>
      </c>
      <c r="G625" s="38">
        <v>0</v>
      </c>
      <c r="H625" s="38">
        <v>0</v>
      </c>
      <c r="I625" s="38">
        <v>0</v>
      </c>
      <c r="J625" s="38">
        <v>0</v>
      </c>
      <c r="K625" s="38">
        <v>0</v>
      </c>
      <c r="L625" s="38">
        <v>0</v>
      </c>
      <c r="M625" s="38">
        <v>0</v>
      </c>
      <c r="N625" s="38">
        <v>0</v>
      </c>
      <c r="O625" s="38">
        <v>0</v>
      </c>
      <c r="P625" s="34"/>
      <c r="Q625" s="36"/>
      <c r="R625" s="37"/>
    </row>
    <row r="626" spans="1:18" ht="69.75" x14ac:dyDescent="0.25">
      <c r="A626" s="32" t="s">
        <v>1657</v>
      </c>
      <c r="B626" s="33" t="s">
        <v>1658</v>
      </c>
      <c r="C626" s="34" t="s">
        <v>1396</v>
      </c>
      <c r="D626" s="34" t="s">
        <v>1569</v>
      </c>
      <c r="E626" s="34" t="s">
        <v>41</v>
      </c>
      <c r="F626" s="35">
        <f>SUM(F627:F627)+90000</f>
        <v>90000</v>
      </c>
      <c r="G626" s="35">
        <f t="shared" ref="G626:L626" si="295">SUM(G627:G627)</f>
        <v>0</v>
      </c>
      <c r="H626" s="35">
        <f t="shared" si="295"/>
        <v>0</v>
      </c>
      <c r="I626" s="35">
        <f t="shared" si="295"/>
        <v>0</v>
      </c>
      <c r="J626" s="35">
        <f t="shared" si="295"/>
        <v>0</v>
      </c>
      <c r="K626" s="35">
        <f t="shared" si="295"/>
        <v>0</v>
      </c>
      <c r="L626" s="35">
        <f t="shared" si="295"/>
        <v>0</v>
      </c>
      <c r="M626" s="35">
        <f>SUM(M627:M627)+90000</f>
        <v>90000</v>
      </c>
      <c r="N626" s="35">
        <f>SUM(N627:N627)</f>
        <v>0</v>
      </c>
      <c r="O626" s="35">
        <f>SUM(O627:O627)</f>
        <v>0</v>
      </c>
      <c r="P626" s="34" t="s">
        <v>1659</v>
      </c>
      <c r="Q626" s="36" t="s">
        <v>36</v>
      </c>
      <c r="R626" s="37" t="s">
        <v>872</v>
      </c>
    </row>
    <row r="627" spans="1:18" ht="69.75" x14ac:dyDescent="0.25">
      <c r="A627" s="32" t="s">
        <v>1660</v>
      </c>
      <c r="B627" s="33" t="s">
        <v>1661</v>
      </c>
      <c r="C627" s="34"/>
      <c r="D627" s="34"/>
      <c r="E627" s="34"/>
      <c r="F627" s="38">
        <v>0</v>
      </c>
      <c r="G627" s="38">
        <v>0</v>
      </c>
      <c r="H627" s="38">
        <v>0</v>
      </c>
      <c r="I627" s="38">
        <v>0</v>
      </c>
      <c r="J627" s="38">
        <v>0</v>
      </c>
      <c r="K627" s="38">
        <v>0</v>
      </c>
      <c r="L627" s="38">
        <v>0</v>
      </c>
      <c r="M627" s="38">
        <v>0</v>
      </c>
      <c r="N627" s="38">
        <v>0</v>
      </c>
      <c r="O627" s="38">
        <v>0</v>
      </c>
      <c r="P627" s="34"/>
      <c r="Q627" s="36"/>
      <c r="R627" s="37"/>
    </row>
    <row r="628" spans="1:18" ht="69.75" x14ac:dyDescent="0.25">
      <c r="A628" s="32" t="s">
        <v>1662</v>
      </c>
      <c r="B628" s="33" t="s">
        <v>1663</v>
      </c>
      <c r="C628" s="34" t="s">
        <v>1396</v>
      </c>
      <c r="D628" s="34" t="s">
        <v>1569</v>
      </c>
      <c r="E628" s="34" t="s">
        <v>41</v>
      </c>
      <c r="F628" s="35">
        <f>SUM(F629:F629)+6842960.4</f>
        <v>6842960.4000000004</v>
      </c>
      <c r="G628" s="35">
        <f t="shared" ref="G628:L628" si="296">SUM(G629:G629)</f>
        <v>0</v>
      </c>
      <c r="H628" s="35">
        <f t="shared" si="296"/>
        <v>0</v>
      </c>
      <c r="I628" s="35">
        <f t="shared" si="296"/>
        <v>0</v>
      </c>
      <c r="J628" s="35">
        <f t="shared" si="296"/>
        <v>0</v>
      </c>
      <c r="K628" s="35">
        <f t="shared" si="296"/>
        <v>0</v>
      </c>
      <c r="L628" s="35">
        <f t="shared" si="296"/>
        <v>0</v>
      </c>
      <c r="M628" s="35">
        <f>SUM(M629:M629)+6842960.4</f>
        <v>6842960.4000000004</v>
      </c>
      <c r="N628" s="35">
        <f>SUM(N629:N629)</f>
        <v>0</v>
      </c>
      <c r="O628" s="35">
        <f>SUM(O629:O629)</f>
        <v>0</v>
      </c>
      <c r="P628" s="34" t="s">
        <v>1664</v>
      </c>
      <c r="Q628" s="36" t="s">
        <v>36</v>
      </c>
      <c r="R628" s="37" t="s">
        <v>1665</v>
      </c>
    </row>
    <row r="629" spans="1:18" ht="69.75" x14ac:dyDescent="0.25">
      <c r="A629" s="32" t="s">
        <v>1666</v>
      </c>
      <c r="B629" s="33" t="s">
        <v>1667</v>
      </c>
      <c r="C629" s="34"/>
      <c r="D629" s="34"/>
      <c r="E629" s="34"/>
      <c r="F629" s="38">
        <v>0</v>
      </c>
      <c r="G629" s="38">
        <v>0</v>
      </c>
      <c r="H629" s="38">
        <v>0</v>
      </c>
      <c r="I629" s="38">
        <v>0</v>
      </c>
      <c r="J629" s="38">
        <v>0</v>
      </c>
      <c r="K629" s="38">
        <v>0</v>
      </c>
      <c r="L629" s="38">
        <v>0</v>
      </c>
      <c r="M629" s="38">
        <v>0</v>
      </c>
      <c r="N629" s="38">
        <v>0</v>
      </c>
      <c r="O629" s="38">
        <v>0</v>
      </c>
      <c r="P629" s="34"/>
      <c r="Q629" s="36"/>
      <c r="R629" s="37"/>
    </row>
    <row r="630" spans="1:18" ht="93" x14ac:dyDescent="0.25">
      <c r="A630" s="32" t="s">
        <v>1668</v>
      </c>
      <c r="B630" s="33" t="s">
        <v>1669</v>
      </c>
      <c r="C630" s="34" t="s">
        <v>1396</v>
      </c>
      <c r="D630" s="34" t="s">
        <v>1569</v>
      </c>
      <c r="E630" s="34" t="s">
        <v>41</v>
      </c>
      <c r="F630" s="35">
        <f>SUM(F631:F631)+11000</f>
        <v>11000</v>
      </c>
      <c r="G630" s="35">
        <f t="shared" ref="G630:L630" si="297">SUM(G631:G631)</f>
        <v>0</v>
      </c>
      <c r="H630" s="35">
        <f t="shared" si="297"/>
        <v>0</v>
      </c>
      <c r="I630" s="35">
        <f t="shared" si="297"/>
        <v>0</v>
      </c>
      <c r="J630" s="35">
        <f t="shared" si="297"/>
        <v>0</v>
      </c>
      <c r="K630" s="35">
        <f t="shared" si="297"/>
        <v>0</v>
      </c>
      <c r="L630" s="35">
        <f t="shared" si="297"/>
        <v>0</v>
      </c>
      <c r="M630" s="35">
        <f>SUM(M631:M631)+11000</f>
        <v>11000</v>
      </c>
      <c r="N630" s="35">
        <f>SUM(N631:N631)</f>
        <v>0</v>
      </c>
      <c r="O630" s="35">
        <f>SUM(O631:O631)</f>
        <v>0</v>
      </c>
      <c r="P630" s="34" t="s">
        <v>1670</v>
      </c>
      <c r="Q630" s="36" t="s">
        <v>36</v>
      </c>
      <c r="R630" s="37" t="s">
        <v>1057</v>
      </c>
    </row>
    <row r="631" spans="1:18" ht="93" x14ac:dyDescent="0.25">
      <c r="A631" s="32" t="s">
        <v>1671</v>
      </c>
      <c r="B631" s="33" t="s">
        <v>1672</v>
      </c>
      <c r="C631" s="34"/>
      <c r="D631" s="34"/>
      <c r="E631" s="34"/>
      <c r="F631" s="38">
        <v>0</v>
      </c>
      <c r="G631" s="38">
        <v>0</v>
      </c>
      <c r="H631" s="38">
        <v>0</v>
      </c>
      <c r="I631" s="38">
        <v>0</v>
      </c>
      <c r="J631" s="38">
        <v>0</v>
      </c>
      <c r="K631" s="38">
        <v>0</v>
      </c>
      <c r="L631" s="38">
        <v>0</v>
      </c>
      <c r="M631" s="38">
        <v>0</v>
      </c>
      <c r="N631" s="38">
        <v>0</v>
      </c>
      <c r="O631" s="38">
        <v>0</v>
      </c>
      <c r="P631" s="34"/>
      <c r="Q631" s="36"/>
      <c r="R631" s="37"/>
    </row>
    <row r="632" spans="1:18" ht="93" x14ac:dyDescent="0.25">
      <c r="A632" s="32" t="s">
        <v>1673</v>
      </c>
      <c r="B632" s="33" t="s">
        <v>1674</v>
      </c>
      <c r="C632" s="34" t="s">
        <v>1396</v>
      </c>
      <c r="D632" s="34" t="s">
        <v>1569</v>
      </c>
      <c r="E632" s="34" t="s">
        <v>41</v>
      </c>
      <c r="F632" s="35">
        <f>SUM(F633:F633)+2000</f>
        <v>2000</v>
      </c>
      <c r="G632" s="35">
        <f t="shared" ref="G632:L632" si="298">SUM(G633:G633)</f>
        <v>0</v>
      </c>
      <c r="H632" s="35">
        <f t="shared" si="298"/>
        <v>0</v>
      </c>
      <c r="I632" s="35">
        <f t="shared" si="298"/>
        <v>0</v>
      </c>
      <c r="J632" s="35">
        <f t="shared" si="298"/>
        <v>0</v>
      </c>
      <c r="K632" s="35">
        <f t="shared" si="298"/>
        <v>0</v>
      </c>
      <c r="L632" s="35">
        <f t="shared" si="298"/>
        <v>0</v>
      </c>
      <c r="M632" s="35">
        <f>SUM(M633:M633)+2000</f>
        <v>2000</v>
      </c>
      <c r="N632" s="35">
        <f>SUM(N633:N633)</f>
        <v>0</v>
      </c>
      <c r="O632" s="35">
        <f>SUM(O633:O633)</f>
        <v>0</v>
      </c>
      <c r="P632" s="34" t="s">
        <v>1675</v>
      </c>
      <c r="Q632" s="36" t="s">
        <v>36</v>
      </c>
      <c r="R632" s="37" t="s">
        <v>48</v>
      </c>
    </row>
    <row r="633" spans="1:18" ht="93" x14ac:dyDescent="0.25">
      <c r="A633" s="32" t="s">
        <v>1676</v>
      </c>
      <c r="B633" s="33" t="s">
        <v>1677</v>
      </c>
      <c r="C633" s="34"/>
      <c r="D633" s="34"/>
      <c r="E633" s="34"/>
      <c r="F633" s="38">
        <v>0</v>
      </c>
      <c r="G633" s="38">
        <v>0</v>
      </c>
      <c r="H633" s="38">
        <v>0</v>
      </c>
      <c r="I633" s="38">
        <v>0</v>
      </c>
      <c r="J633" s="38">
        <v>0</v>
      </c>
      <c r="K633" s="38">
        <v>0</v>
      </c>
      <c r="L633" s="38">
        <v>0</v>
      </c>
      <c r="M633" s="38">
        <v>0</v>
      </c>
      <c r="N633" s="38">
        <v>0</v>
      </c>
      <c r="O633" s="38">
        <v>0</v>
      </c>
      <c r="P633" s="34"/>
      <c r="Q633" s="36"/>
      <c r="R633" s="37"/>
    </row>
    <row r="634" spans="1:18" ht="93" x14ac:dyDescent="0.25">
      <c r="A634" s="32" t="s">
        <v>1678</v>
      </c>
      <c r="B634" s="33" t="s">
        <v>1679</v>
      </c>
      <c r="C634" s="34" t="s">
        <v>1396</v>
      </c>
      <c r="D634" s="34" t="s">
        <v>1569</v>
      </c>
      <c r="E634" s="34" t="s">
        <v>41</v>
      </c>
      <c r="F634" s="35">
        <f>SUM(F635:F635)+71000</f>
        <v>71000</v>
      </c>
      <c r="G634" s="35">
        <f t="shared" ref="G634:L634" si="299">SUM(G635:G635)</f>
        <v>0</v>
      </c>
      <c r="H634" s="35">
        <f t="shared" si="299"/>
        <v>0</v>
      </c>
      <c r="I634" s="35">
        <f t="shared" si="299"/>
        <v>0</v>
      </c>
      <c r="J634" s="35">
        <f t="shared" si="299"/>
        <v>0</v>
      </c>
      <c r="K634" s="35">
        <f t="shared" si="299"/>
        <v>0</v>
      </c>
      <c r="L634" s="35">
        <f t="shared" si="299"/>
        <v>0</v>
      </c>
      <c r="M634" s="35">
        <f>SUM(M635:M635)+71000</f>
        <v>71000</v>
      </c>
      <c r="N634" s="35">
        <f>SUM(N635:N635)</f>
        <v>0</v>
      </c>
      <c r="O634" s="35">
        <f>SUM(O635:O635)</f>
        <v>0</v>
      </c>
      <c r="P634" s="34" t="s">
        <v>1680</v>
      </c>
      <c r="Q634" s="36" t="s">
        <v>36</v>
      </c>
      <c r="R634" s="37" t="s">
        <v>1681</v>
      </c>
    </row>
    <row r="635" spans="1:18" ht="93" x14ac:dyDescent="0.25">
      <c r="A635" s="32" t="s">
        <v>1682</v>
      </c>
      <c r="B635" s="33" t="s">
        <v>1683</v>
      </c>
      <c r="C635" s="34"/>
      <c r="D635" s="34"/>
      <c r="E635" s="34"/>
      <c r="F635" s="38">
        <v>0</v>
      </c>
      <c r="G635" s="38">
        <v>0</v>
      </c>
      <c r="H635" s="38">
        <v>0</v>
      </c>
      <c r="I635" s="38">
        <v>0</v>
      </c>
      <c r="J635" s="38">
        <v>0</v>
      </c>
      <c r="K635" s="38">
        <v>0</v>
      </c>
      <c r="L635" s="38">
        <v>0</v>
      </c>
      <c r="M635" s="38">
        <v>0</v>
      </c>
      <c r="N635" s="38">
        <v>0</v>
      </c>
      <c r="O635" s="38">
        <v>0</v>
      </c>
      <c r="P635" s="34"/>
      <c r="Q635" s="36"/>
      <c r="R635" s="37"/>
    </row>
    <row r="636" spans="1:18" ht="69.75" x14ac:dyDescent="0.25">
      <c r="A636" s="32" t="s">
        <v>1684</v>
      </c>
      <c r="B636" s="33" t="s">
        <v>1685</v>
      </c>
      <c r="C636" s="34" t="s">
        <v>1396</v>
      </c>
      <c r="D636" s="34" t="s">
        <v>1527</v>
      </c>
      <c r="E636" s="34" t="s">
        <v>41</v>
      </c>
      <c r="F636" s="35">
        <f>SUM(F637:F637)+20000</f>
        <v>20000</v>
      </c>
      <c r="G636" s="35">
        <f t="shared" ref="G636:L636" si="300">SUM(G637:G637)</f>
        <v>0</v>
      </c>
      <c r="H636" s="35">
        <f t="shared" si="300"/>
        <v>0</v>
      </c>
      <c r="I636" s="35">
        <f t="shared" si="300"/>
        <v>0</v>
      </c>
      <c r="J636" s="35">
        <f t="shared" si="300"/>
        <v>0</v>
      </c>
      <c r="K636" s="35">
        <f t="shared" si="300"/>
        <v>0</v>
      </c>
      <c r="L636" s="35">
        <f t="shared" si="300"/>
        <v>0</v>
      </c>
      <c r="M636" s="35">
        <f>SUM(M637:M637)+20000</f>
        <v>20000</v>
      </c>
      <c r="N636" s="35">
        <f>SUM(N637:N637)</f>
        <v>0</v>
      </c>
      <c r="O636" s="35">
        <f>SUM(O637:O637)</f>
        <v>0</v>
      </c>
      <c r="P636" s="34" t="s">
        <v>1686</v>
      </c>
      <c r="Q636" s="36" t="s">
        <v>36</v>
      </c>
      <c r="R636" s="37" t="s">
        <v>1687</v>
      </c>
    </row>
    <row r="637" spans="1:18" ht="69.75" x14ac:dyDescent="0.25">
      <c r="A637" s="32" t="s">
        <v>1688</v>
      </c>
      <c r="B637" s="33" t="s">
        <v>1689</v>
      </c>
      <c r="C637" s="34"/>
      <c r="D637" s="34"/>
      <c r="E637" s="34"/>
      <c r="F637" s="38">
        <v>0</v>
      </c>
      <c r="G637" s="38">
        <v>0</v>
      </c>
      <c r="H637" s="38">
        <v>0</v>
      </c>
      <c r="I637" s="38">
        <v>0</v>
      </c>
      <c r="J637" s="38">
        <v>0</v>
      </c>
      <c r="K637" s="38">
        <v>0</v>
      </c>
      <c r="L637" s="38">
        <v>0</v>
      </c>
      <c r="M637" s="38">
        <v>0</v>
      </c>
      <c r="N637" s="38">
        <v>0</v>
      </c>
      <c r="O637" s="38">
        <v>0</v>
      </c>
      <c r="P637" s="34"/>
      <c r="Q637" s="36"/>
      <c r="R637" s="37"/>
    </row>
    <row r="638" spans="1:18" ht="69.75" x14ac:dyDescent="0.25">
      <c r="A638" s="32" t="s">
        <v>1690</v>
      </c>
      <c r="B638" s="33" t="s">
        <v>1691</v>
      </c>
      <c r="C638" s="34" t="s">
        <v>1396</v>
      </c>
      <c r="D638" s="34" t="s">
        <v>1569</v>
      </c>
      <c r="E638" s="34" t="s">
        <v>41</v>
      </c>
      <c r="F638" s="35">
        <f>SUM(F639:F639)+300000</f>
        <v>300000</v>
      </c>
      <c r="G638" s="35">
        <f t="shared" ref="G638:L638" si="301">SUM(G639:G639)</f>
        <v>0</v>
      </c>
      <c r="H638" s="35">
        <f t="shared" si="301"/>
        <v>0</v>
      </c>
      <c r="I638" s="35">
        <f t="shared" si="301"/>
        <v>0</v>
      </c>
      <c r="J638" s="35">
        <f t="shared" si="301"/>
        <v>0</v>
      </c>
      <c r="K638" s="35">
        <f t="shared" si="301"/>
        <v>0</v>
      </c>
      <c r="L638" s="35">
        <f t="shared" si="301"/>
        <v>0</v>
      </c>
      <c r="M638" s="35">
        <f>SUM(M639:M639)+300000</f>
        <v>300000</v>
      </c>
      <c r="N638" s="35">
        <f>SUM(N639:N639)</f>
        <v>0</v>
      </c>
      <c r="O638" s="35">
        <f>SUM(O639:O639)</f>
        <v>0</v>
      </c>
      <c r="P638" s="34" t="s">
        <v>1692</v>
      </c>
      <c r="Q638" s="36" t="s">
        <v>36</v>
      </c>
      <c r="R638" s="37" t="s">
        <v>1693</v>
      </c>
    </row>
    <row r="639" spans="1:18" ht="69.75" x14ac:dyDescent="0.25">
      <c r="A639" s="32" t="s">
        <v>1694</v>
      </c>
      <c r="B639" s="33" t="s">
        <v>1695</v>
      </c>
      <c r="C639" s="34"/>
      <c r="D639" s="34"/>
      <c r="E639" s="34"/>
      <c r="F639" s="38">
        <v>0</v>
      </c>
      <c r="G639" s="38">
        <v>0</v>
      </c>
      <c r="H639" s="38">
        <v>0</v>
      </c>
      <c r="I639" s="38">
        <v>0</v>
      </c>
      <c r="J639" s="38">
        <v>0</v>
      </c>
      <c r="K639" s="38">
        <v>0</v>
      </c>
      <c r="L639" s="38">
        <v>0</v>
      </c>
      <c r="M639" s="38">
        <v>0</v>
      </c>
      <c r="N639" s="38">
        <v>0</v>
      </c>
      <c r="O639" s="38">
        <v>0</v>
      </c>
      <c r="P639" s="34"/>
      <c r="Q639" s="36"/>
      <c r="R639" s="37"/>
    </row>
    <row r="640" spans="1:18" ht="69.75" x14ac:dyDescent="0.25">
      <c r="A640" s="32" t="s">
        <v>1696</v>
      </c>
      <c r="B640" s="33" t="s">
        <v>1697</v>
      </c>
      <c r="C640" s="34" t="s">
        <v>1396</v>
      </c>
      <c r="D640" s="34" t="s">
        <v>1569</v>
      </c>
      <c r="E640" s="34" t="s">
        <v>41</v>
      </c>
      <c r="F640" s="35">
        <f>SUM(F641:F641)+205000</f>
        <v>205000</v>
      </c>
      <c r="G640" s="35">
        <f t="shared" ref="G640:L640" si="302">SUM(G641:G641)</f>
        <v>0</v>
      </c>
      <c r="H640" s="35">
        <f t="shared" si="302"/>
        <v>0</v>
      </c>
      <c r="I640" s="35">
        <f t="shared" si="302"/>
        <v>0</v>
      </c>
      <c r="J640" s="35">
        <f t="shared" si="302"/>
        <v>0</v>
      </c>
      <c r="K640" s="35">
        <f t="shared" si="302"/>
        <v>0</v>
      </c>
      <c r="L640" s="35">
        <f t="shared" si="302"/>
        <v>0</v>
      </c>
      <c r="M640" s="35">
        <f>SUM(M641:M641)+205000</f>
        <v>205000</v>
      </c>
      <c r="N640" s="35">
        <f>SUM(N641:N641)</f>
        <v>0</v>
      </c>
      <c r="O640" s="35">
        <f>SUM(O641:O641)</f>
        <v>0</v>
      </c>
      <c r="P640" s="34" t="s">
        <v>1698</v>
      </c>
      <c r="Q640" s="36" t="s">
        <v>36</v>
      </c>
      <c r="R640" s="37" t="s">
        <v>1699</v>
      </c>
    </row>
    <row r="641" spans="1:18" ht="69.75" x14ac:dyDescent="0.25">
      <c r="A641" s="32" t="s">
        <v>1700</v>
      </c>
      <c r="B641" s="33" t="s">
        <v>1701</v>
      </c>
      <c r="C641" s="34"/>
      <c r="D641" s="34"/>
      <c r="E641" s="34"/>
      <c r="F641" s="38">
        <v>0</v>
      </c>
      <c r="G641" s="38">
        <v>0</v>
      </c>
      <c r="H641" s="38">
        <v>0</v>
      </c>
      <c r="I641" s="38">
        <v>0</v>
      </c>
      <c r="J641" s="38">
        <v>0</v>
      </c>
      <c r="K641" s="38">
        <v>0</v>
      </c>
      <c r="L641" s="38">
        <v>0</v>
      </c>
      <c r="M641" s="38">
        <v>0</v>
      </c>
      <c r="N641" s="38">
        <v>0</v>
      </c>
      <c r="O641" s="38">
        <v>0</v>
      </c>
      <c r="P641" s="34"/>
      <c r="Q641" s="36"/>
      <c r="R641" s="37"/>
    </row>
    <row r="642" spans="1:18" ht="69.75" x14ac:dyDescent="0.25">
      <c r="A642" s="32" t="s">
        <v>1702</v>
      </c>
      <c r="B642" s="33" t="s">
        <v>1703</v>
      </c>
      <c r="C642" s="34" t="s">
        <v>1396</v>
      </c>
      <c r="D642" s="34" t="s">
        <v>1569</v>
      </c>
      <c r="E642" s="34" t="s">
        <v>41</v>
      </c>
      <c r="F642" s="35">
        <f>SUM(F643:F643)+20662.6</f>
        <v>20662.599999999999</v>
      </c>
      <c r="G642" s="35">
        <f t="shared" ref="G642:L642" si="303">SUM(G643:G643)</f>
        <v>0</v>
      </c>
      <c r="H642" s="35">
        <f t="shared" si="303"/>
        <v>0</v>
      </c>
      <c r="I642" s="35">
        <f t="shared" si="303"/>
        <v>0</v>
      </c>
      <c r="J642" s="35">
        <f t="shared" si="303"/>
        <v>0</v>
      </c>
      <c r="K642" s="35">
        <f t="shared" si="303"/>
        <v>0</v>
      </c>
      <c r="L642" s="35">
        <f t="shared" si="303"/>
        <v>0</v>
      </c>
      <c r="M642" s="35">
        <f>SUM(M643:M643)+20662.6</f>
        <v>20662.599999999999</v>
      </c>
      <c r="N642" s="35">
        <f>SUM(N643:N643)</f>
        <v>0</v>
      </c>
      <c r="O642" s="35">
        <f>SUM(O643:O643)</f>
        <v>0</v>
      </c>
      <c r="P642" s="34" t="s">
        <v>1704</v>
      </c>
      <c r="Q642" s="36" t="s">
        <v>36</v>
      </c>
      <c r="R642" s="37" t="s">
        <v>247</v>
      </c>
    </row>
    <row r="643" spans="1:18" ht="69.75" x14ac:dyDescent="0.25">
      <c r="A643" s="32" t="s">
        <v>1705</v>
      </c>
      <c r="B643" s="33" t="s">
        <v>1706</v>
      </c>
      <c r="C643" s="34"/>
      <c r="D643" s="34"/>
      <c r="E643" s="34"/>
      <c r="F643" s="38">
        <v>0</v>
      </c>
      <c r="G643" s="38">
        <v>0</v>
      </c>
      <c r="H643" s="38">
        <v>0</v>
      </c>
      <c r="I643" s="38">
        <v>0</v>
      </c>
      <c r="J643" s="38">
        <v>0</v>
      </c>
      <c r="K643" s="38">
        <v>0</v>
      </c>
      <c r="L643" s="38">
        <v>0</v>
      </c>
      <c r="M643" s="38">
        <v>0</v>
      </c>
      <c r="N643" s="38">
        <v>0</v>
      </c>
      <c r="O643" s="38">
        <v>0</v>
      </c>
      <c r="P643" s="34"/>
      <c r="Q643" s="36"/>
      <c r="R643" s="37"/>
    </row>
    <row r="644" spans="1:18" ht="69.75" x14ac:dyDescent="0.25">
      <c r="A644" s="32" t="s">
        <v>1707</v>
      </c>
      <c r="B644" s="33" t="s">
        <v>1708</v>
      </c>
      <c r="C644" s="34" t="s">
        <v>1396</v>
      </c>
      <c r="D644" s="34" t="s">
        <v>1527</v>
      </c>
      <c r="E644" s="34" t="s">
        <v>41</v>
      </c>
      <c r="F644" s="35">
        <f>SUM(F645:F645)+53000</f>
        <v>53000</v>
      </c>
      <c r="G644" s="35">
        <f t="shared" ref="G644:L644" si="304">SUM(G645:G645)</f>
        <v>0</v>
      </c>
      <c r="H644" s="35">
        <f t="shared" si="304"/>
        <v>0</v>
      </c>
      <c r="I644" s="35">
        <f t="shared" si="304"/>
        <v>0</v>
      </c>
      <c r="J644" s="35">
        <f t="shared" si="304"/>
        <v>0</v>
      </c>
      <c r="K644" s="35">
        <f t="shared" si="304"/>
        <v>0</v>
      </c>
      <c r="L644" s="35">
        <f t="shared" si="304"/>
        <v>0</v>
      </c>
      <c r="M644" s="35">
        <f>SUM(M645:M645)+53000</f>
        <v>53000</v>
      </c>
      <c r="N644" s="35">
        <f>SUM(N645:N645)</f>
        <v>0</v>
      </c>
      <c r="O644" s="35">
        <f>SUM(O645:O645)</f>
        <v>0</v>
      </c>
      <c r="P644" s="34" t="s">
        <v>1709</v>
      </c>
      <c r="Q644" s="36" t="s">
        <v>36</v>
      </c>
      <c r="R644" s="37" t="s">
        <v>247</v>
      </c>
    </row>
    <row r="645" spans="1:18" ht="69.75" x14ac:dyDescent="0.25">
      <c r="A645" s="32" t="s">
        <v>1710</v>
      </c>
      <c r="B645" s="33" t="s">
        <v>1711</v>
      </c>
      <c r="C645" s="34"/>
      <c r="D645" s="34"/>
      <c r="E645" s="34"/>
      <c r="F645" s="38">
        <v>0</v>
      </c>
      <c r="G645" s="38">
        <v>0</v>
      </c>
      <c r="H645" s="38">
        <v>0</v>
      </c>
      <c r="I645" s="38">
        <v>0</v>
      </c>
      <c r="J645" s="38">
        <v>0</v>
      </c>
      <c r="K645" s="38">
        <v>0</v>
      </c>
      <c r="L645" s="38">
        <v>0</v>
      </c>
      <c r="M645" s="38">
        <v>0</v>
      </c>
      <c r="N645" s="38">
        <v>0</v>
      </c>
      <c r="O645" s="38">
        <v>0</v>
      </c>
      <c r="P645" s="34"/>
      <c r="Q645" s="36"/>
      <c r="R645" s="37"/>
    </row>
    <row r="646" spans="1:18" ht="69.75" x14ac:dyDescent="0.25">
      <c r="A646" s="32" t="s">
        <v>1712</v>
      </c>
      <c r="B646" s="33" t="s">
        <v>1713</v>
      </c>
      <c r="C646" s="34" t="s">
        <v>1396</v>
      </c>
      <c r="D646" s="34" t="s">
        <v>1569</v>
      </c>
      <c r="E646" s="34" t="s">
        <v>41</v>
      </c>
      <c r="F646" s="35">
        <f>SUM(F647:F647)+4000</f>
        <v>4000</v>
      </c>
      <c r="G646" s="35">
        <f t="shared" ref="G646:L646" si="305">SUM(G647:G647)</f>
        <v>0</v>
      </c>
      <c r="H646" s="35">
        <f t="shared" si="305"/>
        <v>0</v>
      </c>
      <c r="I646" s="35">
        <f t="shared" si="305"/>
        <v>0</v>
      </c>
      <c r="J646" s="35">
        <f t="shared" si="305"/>
        <v>0</v>
      </c>
      <c r="K646" s="35">
        <f t="shared" si="305"/>
        <v>0</v>
      </c>
      <c r="L646" s="35">
        <f t="shared" si="305"/>
        <v>0</v>
      </c>
      <c r="M646" s="35">
        <f>SUM(M647:M647)+4000</f>
        <v>4000</v>
      </c>
      <c r="N646" s="35">
        <f>SUM(N647:N647)</f>
        <v>0</v>
      </c>
      <c r="O646" s="35">
        <f>SUM(O647:O647)</f>
        <v>0</v>
      </c>
      <c r="P646" s="34" t="s">
        <v>1714</v>
      </c>
      <c r="Q646" s="36" t="s">
        <v>36</v>
      </c>
      <c r="R646" s="37" t="s">
        <v>48</v>
      </c>
    </row>
    <row r="647" spans="1:18" ht="69.75" x14ac:dyDescent="0.25">
      <c r="A647" s="32" t="s">
        <v>1715</v>
      </c>
      <c r="B647" s="33" t="s">
        <v>1716</v>
      </c>
      <c r="C647" s="34"/>
      <c r="D647" s="34"/>
      <c r="E647" s="34"/>
      <c r="F647" s="38">
        <v>0</v>
      </c>
      <c r="G647" s="38">
        <v>0</v>
      </c>
      <c r="H647" s="38">
        <v>0</v>
      </c>
      <c r="I647" s="38">
        <v>0</v>
      </c>
      <c r="J647" s="38">
        <v>0</v>
      </c>
      <c r="K647" s="38">
        <v>0</v>
      </c>
      <c r="L647" s="38">
        <v>0</v>
      </c>
      <c r="M647" s="38">
        <v>0</v>
      </c>
      <c r="N647" s="38">
        <v>0</v>
      </c>
      <c r="O647" s="38">
        <v>0</v>
      </c>
      <c r="P647" s="34"/>
      <c r="Q647" s="36"/>
      <c r="R647" s="37"/>
    </row>
    <row r="648" spans="1:18" ht="69.75" x14ac:dyDescent="0.25">
      <c r="A648" s="32" t="s">
        <v>1717</v>
      </c>
      <c r="B648" s="33" t="s">
        <v>1718</v>
      </c>
      <c r="C648" s="34" t="s">
        <v>1396</v>
      </c>
      <c r="D648" s="34" t="s">
        <v>1527</v>
      </c>
      <c r="E648" s="34" t="s">
        <v>41</v>
      </c>
      <c r="F648" s="35">
        <f>SUM(F649:F649)+2350000</f>
        <v>2350000</v>
      </c>
      <c r="G648" s="35">
        <f t="shared" ref="G648:L648" si="306">SUM(G649:G649)</f>
        <v>0</v>
      </c>
      <c r="H648" s="35">
        <f t="shared" si="306"/>
        <v>0</v>
      </c>
      <c r="I648" s="35">
        <f t="shared" si="306"/>
        <v>0</v>
      </c>
      <c r="J648" s="35">
        <f t="shared" si="306"/>
        <v>0</v>
      </c>
      <c r="K648" s="35">
        <f t="shared" si="306"/>
        <v>0</v>
      </c>
      <c r="L648" s="35">
        <f t="shared" si="306"/>
        <v>0</v>
      </c>
      <c r="M648" s="35">
        <f>SUM(M649:M649)+2350000</f>
        <v>2350000</v>
      </c>
      <c r="N648" s="35">
        <f>SUM(N649:N649)</f>
        <v>0</v>
      </c>
      <c r="O648" s="35">
        <f>SUM(O649:O649)</f>
        <v>0</v>
      </c>
      <c r="P648" s="34" t="s">
        <v>1719</v>
      </c>
      <c r="Q648" s="36" t="s">
        <v>36</v>
      </c>
      <c r="R648" s="37" t="s">
        <v>1720</v>
      </c>
    </row>
    <row r="649" spans="1:18" ht="69.75" x14ac:dyDescent="0.25">
      <c r="A649" s="32" t="s">
        <v>1721</v>
      </c>
      <c r="B649" s="33" t="s">
        <v>1722</v>
      </c>
      <c r="C649" s="34"/>
      <c r="D649" s="34"/>
      <c r="E649" s="34"/>
      <c r="F649" s="38">
        <v>0</v>
      </c>
      <c r="G649" s="38">
        <v>0</v>
      </c>
      <c r="H649" s="38">
        <v>0</v>
      </c>
      <c r="I649" s="38">
        <v>0</v>
      </c>
      <c r="J649" s="38">
        <v>0</v>
      </c>
      <c r="K649" s="38">
        <v>0</v>
      </c>
      <c r="L649" s="38">
        <v>0</v>
      </c>
      <c r="M649" s="38">
        <v>0</v>
      </c>
      <c r="N649" s="38">
        <v>0</v>
      </c>
      <c r="O649" s="38">
        <v>0</v>
      </c>
      <c r="P649" s="34"/>
      <c r="Q649" s="36"/>
      <c r="R649" s="37"/>
    </row>
    <row r="650" spans="1:18" ht="69.75" x14ac:dyDescent="0.25">
      <c r="A650" s="32" t="s">
        <v>1723</v>
      </c>
      <c r="B650" s="33" t="s">
        <v>1724</v>
      </c>
      <c r="C650" s="34" t="s">
        <v>1396</v>
      </c>
      <c r="D650" s="34" t="s">
        <v>1527</v>
      </c>
      <c r="E650" s="34" t="s">
        <v>41</v>
      </c>
      <c r="F650" s="35">
        <f>SUM(F651:F651)+1499469.2</f>
        <v>1499469.2</v>
      </c>
      <c r="G650" s="35">
        <f t="shared" ref="G650:L650" si="307">SUM(G651:G651)</f>
        <v>0</v>
      </c>
      <c r="H650" s="35">
        <f t="shared" si="307"/>
        <v>0</v>
      </c>
      <c r="I650" s="35">
        <f t="shared" si="307"/>
        <v>0</v>
      </c>
      <c r="J650" s="35">
        <f t="shared" si="307"/>
        <v>0</v>
      </c>
      <c r="K650" s="35">
        <f t="shared" si="307"/>
        <v>0</v>
      </c>
      <c r="L650" s="35">
        <f t="shared" si="307"/>
        <v>0</v>
      </c>
      <c r="M650" s="35">
        <f>SUM(M651:M651)+1499469.2</f>
        <v>1499469.2</v>
      </c>
      <c r="N650" s="35">
        <f>SUM(N651:N651)</f>
        <v>0</v>
      </c>
      <c r="O650" s="35">
        <f>SUM(O651:O651)</f>
        <v>0</v>
      </c>
      <c r="P650" s="34" t="s">
        <v>1725</v>
      </c>
      <c r="Q650" s="36" t="s">
        <v>36</v>
      </c>
      <c r="R650" s="37" t="s">
        <v>1726</v>
      </c>
    </row>
    <row r="651" spans="1:18" ht="69.75" x14ac:dyDescent="0.25">
      <c r="A651" s="32" t="s">
        <v>1727</v>
      </c>
      <c r="B651" s="33" t="s">
        <v>1728</v>
      </c>
      <c r="C651" s="34"/>
      <c r="D651" s="34"/>
      <c r="E651" s="34"/>
      <c r="F651" s="38">
        <v>0</v>
      </c>
      <c r="G651" s="38">
        <v>0</v>
      </c>
      <c r="H651" s="38">
        <v>0</v>
      </c>
      <c r="I651" s="38">
        <v>0</v>
      </c>
      <c r="J651" s="38">
        <v>0</v>
      </c>
      <c r="K651" s="38">
        <v>0</v>
      </c>
      <c r="L651" s="38">
        <v>0</v>
      </c>
      <c r="M651" s="38">
        <v>0</v>
      </c>
      <c r="N651" s="38">
        <v>0</v>
      </c>
      <c r="O651" s="38">
        <v>0</v>
      </c>
      <c r="P651" s="34"/>
      <c r="Q651" s="36"/>
      <c r="R651" s="37"/>
    </row>
    <row r="652" spans="1:18" ht="46.5" x14ac:dyDescent="0.25">
      <c r="A652" s="32" t="s">
        <v>1729</v>
      </c>
      <c r="B652" s="33" t="s">
        <v>1730</v>
      </c>
      <c r="C652" s="34" t="s">
        <v>1396</v>
      </c>
      <c r="D652" s="34" t="s">
        <v>1527</v>
      </c>
      <c r="E652" s="34" t="s">
        <v>41</v>
      </c>
      <c r="F652" s="35">
        <f>SUM(F653:F653)+202267.3</f>
        <v>202267.3</v>
      </c>
      <c r="G652" s="35">
        <f t="shared" ref="G652:L652" si="308">SUM(G653:G653)</f>
        <v>0</v>
      </c>
      <c r="H652" s="35">
        <f t="shared" si="308"/>
        <v>0</v>
      </c>
      <c r="I652" s="35">
        <f t="shared" si="308"/>
        <v>0</v>
      </c>
      <c r="J652" s="35">
        <f t="shared" si="308"/>
        <v>0</v>
      </c>
      <c r="K652" s="35">
        <f t="shared" si="308"/>
        <v>0</v>
      </c>
      <c r="L652" s="35">
        <f t="shared" si="308"/>
        <v>0</v>
      </c>
      <c r="M652" s="35">
        <f>SUM(M653:M653)+202267.3</f>
        <v>202267.3</v>
      </c>
      <c r="N652" s="35">
        <f>SUM(N653:N653)</f>
        <v>0</v>
      </c>
      <c r="O652" s="35">
        <f>SUM(O653:O653)</f>
        <v>0</v>
      </c>
      <c r="P652" s="34" t="s">
        <v>1731</v>
      </c>
      <c r="Q652" s="36" t="s">
        <v>36</v>
      </c>
      <c r="R652" s="37" t="s">
        <v>37</v>
      </c>
    </row>
    <row r="653" spans="1:18" ht="46.5" x14ac:dyDescent="0.25">
      <c r="A653" s="32" t="s">
        <v>1732</v>
      </c>
      <c r="B653" s="33" t="s">
        <v>1733</v>
      </c>
      <c r="C653" s="34"/>
      <c r="D653" s="34"/>
      <c r="E653" s="34"/>
      <c r="F653" s="38">
        <v>0</v>
      </c>
      <c r="G653" s="38">
        <v>0</v>
      </c>
      <c r="H653" s="38">
        <v>0</v>
      </c>
      <c r="I653" s="38">
        <v>0</v>
      </c>
      <c r="J653" s="38">
        <v>0</v>
      </c>
      <c r="K653" s="38">
        <v>0</v>
      </c>
      <c r="L653" s="38">
        <v>0</v>
      </c>
      <c r="M653" s="38">
        <v>0</v>
      </c>
      <c r="N653" s="38">
        <v>0</v>
      </c>
      <c r="O653" s="38">
        <v>0</v>
      </c>
      <c r="P653" s="34"/>
      <c r="Q653" s="36"/>
      <c r="R653" s="37"/>
    </row>
    <row r="654" spans="1:18" ht="46.5" x14ac:dyDescent="0.25">
      <c r="A654" s="32" t="s">
        <v>1734</v>
      </c>
      <c r="B654" s="33" t="s">
        <v>1735</v>
      </c>
      <c r="C654" s="34" t="s">
        <v>1396</v>
      </c>
      <c r="D654" s="34" t="s">
        <v>1736</v>
      </c>
      <c r="E654" s="34" t="s">
        <v>41</v>
      </c>
      <c r="F654" s="35">
        <f>SUM(F655:F655)+53390</f>
        <v>53390</v>
      </c>
      <c r="G654" s="35">
        <f t="shared" ref="G654:L654" si="309">SUM(G655:G655)</f>
        <v>0</v>
      </c>
      <c r="H654" s="35">
        <f t="shared" si="309"/>
        <v>0</v>
      </c>
      <c r="I654" s="35">
        <f t="shared" si="309"/>
        <v>0</v>
      </c>
      <c r="J654" s="35">
        <f t="shared" si="309"/>
        <v>0</v>
      </c>
      <c r="K654" s="35">
        <f t="shared" si="309"/>
        <v>0</v>
      </c>
      <c r="L654" s="35">
        <f t="shared" si="309"/>
        <v>0</v>
      </c>
      <c r="M654" s="35">
        <f>SUM(M655:M655)+53390</f>
        <v>53390</v>
      </c>
      <c r="N654" s="35">
        <f>SUM(N655:N655)</f>
        <v>0</v>
      </c>
      <c r="O654" s="35">
        <f>SUM(O655:O655)</f>
        <v>0</v>
      </c>
      <c r="P654" s="34" t="s">
        <v>1731</v>
      </c>
      <c r="Q654" s="36" t="s">
        <v>36</v>
      </c>
      <c r="R654" s="37" t="s">
        <v>62</v>
      </c>
    </row>
    <row r="655" spans="1:18" ht="46.5" x14ac:dyDescent="0.25">
      <c r="A655" s="32" t="s">
        <v>1737</v>
      </c>
      <c r="B655" s="33" t="s">
        <v>1738</v>
      </c>
      <c r="C655" s="34"/>
      <c r="D655" s="34"/>
      <c r="E655" s="34"/>
      <c r="F655" s="38">
        <v>0</v>
      </c>
      <c r="G655" s="38">
        <v>0</v>
      </c>
      <c r="H655" s="38">
        <v>0</v>
      </c>
      <c r="I655" s="38">
        <v>0</v>
      </c>
      <c r="J655" s="38">
        <v>0</v>
      </c>
      <c r="K655" s="38">
        <v>0</v>
      </c>
      <c r="L655" s="38">
        <v>0</v>
      </c>
      <c r="M655" s="38">
        <v>0</v>
      </c>
      <c r="N655" s="38">
        <v>0</v>
      </c>
      <c r="O655" s="38">
        <v>0</v>
      </c>
      <c r="P655" s="34"/>
      <c r="Q655" s="36"/>
      <c r="R655" s="37"/>
    </row>
    <row r="656" spans="1:18" ht="93" x14ac:dyDescent="0.25">
      <c r="A656" s="32" t="s">
        <v>1739</v>
      </c>
      <c r="B656" s="33" t="s">
        <v>1740</v>
      </c>
      <c r="C656" s="34" t="s">
        <v>778</v>
      </c>
      <c r="D656" s="34" t="s">
        <v>779</v>
      </c>
      <c r="E656" s="34" t="s">
        <v>41</v>
      </c>
      <c r="F656" s="35">
        <f>SUM(F657:F657)+2830</f>
        <v>2830</v>
      </c>
      <c r="G656" s="35">
        <f>SUM(G657:G657)+2830</f>
        <v>2830</v>
      </c>
      <c r="H656" s="35">
        <f t="shared" ref="H656:O656" si="310">SUM(H657:H657)</f>
        <v>0</v>
      </c>
      <c r="I656" s="35">
        <f t="shared" si="310"/>
        <v>0</v>
      </c>
      <c r="J656" s="35">
        <f t="shared" si="310"/>
        <v>0</v>
      </c>
      <c r="K656" s="35">
        <f t="shared" si="310"/>
        <v>0</v>
      </c>
      <c r="L656" s="35">
        <f t="shared" si="310"/>
        <v>0</v>
      </c>
      <c r="M656" s="35">
        <f t="shared" si="310"/>
        <v>0</v>
      </c>
      <c r="N656" s="35">
        <f t="shared" si="310"/>
        <v>0</v>
      </c>
      <c r="O656" s="35">
        <f t="shared" si="310"/>
        <v>0</v>
      </c>
      <c r="P656" s="34" t="s">
        <v>1741</v>
      </c>
      <c r="Q656" s="36" t="s">
        <v>36</v>
      </c>
      <c r="R656" s="37" t="s">
        <v>95</v>
      </c>
    </row>
    <row r="657" spans="1:18" ht="69.75" x14ac:dyDescent="0.25">
      <c r="A657" s="32" t="s">
        <v>1742</v>
      </c>
      <c r="B657" s="33" t="s">
        <v>1743</v>
      </c>
      <c r="C657" s="34"/>
      <c r="D657" s="34"/>
      <c r="E657" s="34"/>
      <c r="F657" s="38">
        <v>0</v>
      </c>
      <c r="G657" s="38">
        <v>0</v>
      </c>
      <c r="H657" s="38">
        <v>0</v>
      </c>
      <c r="I657" s="38">
        <v>0</v>
      </c>
      <c r="J657" s="38">
        <v>0</v>
      </c>
      <c r="K657" s="38">
        <v>0</v>
      </c>
      <c r="L657" s="38">
        <v>0</v>
      </c>
      <c r="M657" s="38">
        <v>0</v>
      </c>
      <c r="N657" s="38">
        <v>0</v>
      </c>
      <c r="O657" s="38">
        <v>0</v>
      </c>
      <c r="P657" s="34"/>
      <c r="Q657" s="36"/>
      <c r="R657" s="37"/>
    </row>
    <row r="658" spans="1:18" ht="93" x14ac:dyDescent="0.25">
      <c r="A658" s="32" t="s">
        <v>1744</v>
      </c>
      <c r="B658" s="33" t="s">
        <v>1745</v>
      </c>
      <c r="C658" s="34" t="s">
        <v>787</v>
      </c>
      <c r="D658" s="34" t="s">
        <v>788</v>
      </c>
      <c r="E658" s="34" t="s">
        <v>41</v>
      </c>
      <c r="F658" s="35">
        <f>SUM(F659:F659)+3860</f>
        <v>3860</v>
      </c>
      <c r="G658" s="35">
        <f>SUM(G659:G659)+3860</f>
        <v>3860</v>
      </c>
      <c r="H658" s="35">
        <f t="shared" ref="H658:O658" si="311">SUM(H659:H659)</f>
        <v>0</v>
      </c>
      <c r="I658" s="35">
        <f t="shared" si="311"/>
        <v>0</v>
      </c>
      <c r="J658" s="35">
        <f t="shared" si="311"/>
        <v>0</v>
      </c>
      <c r="K658" s="35">
        <f t="shared" si="311"/>
        <v>0</v>
      </c>
      <c r="L658" s="35">
        <f t="shared" si="311"/>
        <v>0</v>
      </c>
      <c r="M658" s="35">
        <f t="shared" si="311"/>
        <v>0</v>
      </c>
      <c r="N658" s="35">
        <f t="shared" si="311"/>
        <v>0</v>
      </c>
      <c r="O658" s="35">
        <f t="shared" si="311"/>
        <v>0</v>
      </c>
      <c r="P658" s="34" t="s">
        <v>1741</v>
      </c>
      <c r="Q658" s="36" t="s">
        <v>36</v>
      </c>
      <c r="R658" s="37" t="s">
        <v>352</v>
      </c>
    </row>
    <row r="659" spans="1:18" ht="69.75" x14ac:dyDescent="0.25">
      <c r="A659" s="32" t="s">
        <v>1746</v>
      </c>
      <c r="B659" s="33" t="s">
        <v>1743</v>
      </c>
      <c r="C659" s="34"/>
      <c r="D659" s="34"/>
      <c r="E659" s="34"/>
      <c r="F659" s="38">
        <v>0</v>
      </c>
      <c r="G659" s="38">
        <v>0</v>
      </c>
      <c r="H659" s="38">
        <v>0</v>
      </c>
      <c r="I659" s="38">
        <v>0</v>
      </c>
      <c r="J659" s="38">
        <v>0</v>
      </c>
      <c r="K659" s="38">
        <v>0</v>
      </c>
      <c r="L659" s="38">
        <v>0</v>
      </c>
      <c r="M659" s="38">
        <v>0</v>
      </c>
      <c r="N659" s="38">
        <v>0</v>
      </c>
      <c r="O659" s="38">
        <v>0</v>
      </c>
      <c r="P659" s="34"/>
      <c r="Q659" s="36"/>
      <c r="R659" s="37"/>
    </row>
    <row r="660" spans="1:18" ht="93" x14ac:dyDescent="0.25">
      <c r="A660" s="32" t="s">
        <v>1747</v>
      </c>
      <c r="B660" s="33" t="s">
        <v>1748</v>
      </c>
      <c r="C660" s="34" t="s">
        <v>87</v>
      </c>
      <c r="D660" s="34" t="s">
        <v>793</v>
      </c>
      <c r="E660" s="34" t="s">
        <v>41</v>
      </c>
      <c r="F660" s="35">
        <f>SUM(F661:F661)+3770</f>
        <v>3770</v>
      </c>
      <c r="G660" s="35">
        <f>SUM(G661:G661)+3770</f>
        <v>3770</v>
      </c>
      <c r="H660" s="35">
        <f t="shared" ref="H660:O660" si="312">SUM(H661:H661)</f>
        <v>0</v>
      </c>
      <c r="I660" s="35">
        <f t="shared" si="312"/>
        <v>0</v>
      </c>
      <c r="J660" s="35">
        <f t="shared" si="312"/>
        <v>0</v>
      </c>
      <c r="K660" s="35">
        <f t="shared" si="312"/>
        <v>0</v>
      </c>
      <c r="L660" s="35">
        <f t="shared" si="312"/>
        <v>0</v>
      </c>
      <c r="M660" s="35">
        <f t="shared" si="312"/>
        <v>0</v>
      </c>
      <c r="N660" s="35">
        <f t="shared" si="312"/>
        <v>0</v>
      </c>
      <c r="O660" s="35">
        <f t="shared" si="312"/>
        <v>0</v>
      </c>
      <c r="P660" s="34" t="s">
        <v>1741</v>
      </c>
      <c r="Q660" s="36" t="s">
        <v>36</v>
      </c>
      <c r="R660" s="37" t="s">
        <v>168</v>
      </c>
    </row>
    <row r="661" spans="1:18" ht="69.75" x14ac:dyDescent="0.25">
      <c r="A661" s="32" t="s">
        <v>1749</v>
      </c>
      <c r="B661" s="33" t="s">
        <v>1743</v>
      </c>
      <c r="C661" s="34"/>
      <c r="D661" s="34"/>
      <c r="E661" s="34"/>
      <c r="F661" s="38">
        <v>0</v>
      </c>
      <c r="G661" s="38">
        <v>0</v>
      </c>
      <c r="H661" s="38">
        <v>0</v>
      </c>
      <c r="I661" s="38">
        <v>0</v>
      </c>
      <c r="J661" s="38">
        <v>0</v>
      </c>
      <c r="K661" s="38">
        <v>0</v>
      </c>
      <c r="L661" s="38">
        <v>0</v>
      </c>
      <c r="M661" s="38">
        <v>0</v>
      </c>
      <c r="N661" s="38">
        <v>0</v>
      </c>
      <c r="O661" s="38">
        <v>0</v>
      </c>
      <c r="P661" s="34"/>
      <c r="Q661" s="36"/>
      <c r="R661" s="37"/>
    </row>
    <row r="662" spans="1:18" ht="93" x14ac:dyDescent="0.25">
      <c r="A662" s="32" t="s">
        <v>1750</v>
      </c>
      <c r="B662" s="33" t="s">
        <v>1751</v>
      </c>
      <c r="C662" s="34" t="s">
        <v>798</v>
      </c>
      <c r="D662" s="34" t="s">
        <v>799</v>
      </c>
      <c r="E662" s="34" t="s">
        <v>41</v>
      </c>
      <c r="F662" s="35">
        <f>SUM(F663:F663)+2970</f>
        <v>2970</v>
      </c>
      <c r="G662" s="35">
        <f>SUM(G663:G663)+2970</f>
        <v>2970</v>
      </c>
      <c r="H662" s="35">
        <f t="shared" ref="H662:O662" si="313">SUM(H663:H663)</f>
        <v>0</v>
      </c>
      <c r="I662" s="35">
        <f t="shared" si="313"/>
        <v>0</v>
      </c>
      <c r="J662" s="35">
        <f t="shared" si="313"/>
        <v>0</v>
      </c>
      <c r="K662" s="35">
        <f t="shared" si="313"/>
        <v>0</v>
      </c>
      <c r="L662" s="35">
        <f t="shared" si="313"/>
        <v>0</v>
      </c>
      <c r="M662" s="35">
        <f t="shared" si="313"/>
        <v>0</v>
      </c>
      <c r="N662" s="35">
        <f t="shared" si="313"/>
        <v>0</v>
      </c>
      <c r="O662" s="35">
        <f t="shared" si="313"/>
        <v>0</v>
      </c>
      <c r="P662" s="34" t="s">
        <v>1741</v>
      </c>
      <c r="Q662" s="36" t="s">
        <v>36</v>
      </c>
      <c r="R662" s="37" t="s">
        <v>95</v>
      </c>
    </row>
    <row r="663" spans="1:18" ht="69.75" x14ac:dyDescent="0.25">
      <c r="A663" s="32" t="s">
        <v>1752</v>
      </c>
      <c r="B663" s="33" t="s">
        <v>1743</v>
      </c>
      <c r="C663" s="34"/>
      <c r="D663" s="34"/>
      <c r="E663" s="34"/>
      <c r="F663" s="38">
        <v>0</v>
      </c>
      <c r="G663" s="38">
        <v>0</v>
      </c>
      <c r="H663" s="38">
        <v>0</v>
      </c>
      <c r="I663" s="38">
        <v>0</v>
      </c>
      <c r="J663" s="38">
        <v>0</v>
      </c>
      <c r="K663" s="38">
        <v>0</v>
      </c>
      <c r="L663" s="38">
        <v>0</v>
      </c>
      <c r="M663" s="38">
        <v>0</v>
      </c>
      <c r="N663" s="38">
        <v>0</v>
      </c>
      <c r="O663" s="38">
        <v>0</v>
      </c>
      <c r="P663" s="34"/>
      <c r="Q663" s="36"/>
      <c r="R663" s="37"/>
    </row>
    <row r="664" spans="1:18" ht="93" x14ac:dyDescent="0.25">
      <c r="A664" s="32" t="s">
        <v>1753</v>
      </c>
      <c r="B664" s="33" t="s">
        <v>1754</v>
      </c>
      <c r="C664" s="34" t="s">
        <v>94</v>
      </c>
      <c r="D664" s="34" t="s">
        <v>804</v>
      </c>
      <c r="E664" s="34" t="s">
        <v>41</v>
      </c>
      <c r="F664" s="35">
        <f>SUM(F665:F665)+990</f>
        <v>990</v>
      </c>
      <c r="G664" s="35">
        <f>SUM(G665:G665)+990</f>
        <v>990</v>
      </c>
      <c r="H664" s="35">
        <f t="shared" ref="H664:O664" si="314">SUM(H665:H665)</f>
        <v>0</v>
      </c>
      <c r="I664" s="35">
        <f t="shared" si="314"/>
        <v>0</v>
      </c>
      <c r="J664" s="35">
        <f t="shared" si="314"/>
        <v>0</v>
      </c>
      <c r="K664" s="35">
        <f t="shared" si="314"/>
        <v>0</v>
      </c>
      <c r="L664" s="35">
        <f t="shared" si="314"/>
        <v>0</v>
      </c>
      <c r="M664" s="35">
        <f t="shared" si="314"/>
        <v>0</v>
      </c>
      <c r="N664" s="35">
        <f t="shared" si="314"/>
        <v>0</v>
      </c>
      <c r="O664" s="35">
        <f t="shared" si="314"/>
        <v>0</v>
      </c>
      <c r="P664" s="34" t="s">
        <v>1741</v>
      </c>
      <c r="Q664" s="36" t="s">
        <v>36</v>
      </c>
      <c r="R664" s="37" t="s">
        <v>62</v>
      </c>
    </row>
    <row r="665" spans="1:18" ht="69.75" x14ac:dyDescent="0.25">
      <c r="A665" s="32" t="s">
        <v>1755</v>
      </c>
      <c r="B665" s="33" t="s">
        <v>1743</v>
      </c>
      <c r="C665" s="34"/>
      <c r="D665" s="34"/>
      <c r="E665" s="34"/>
      <c r="F665" s="38">
        <v>0</v>
      </c>
      <c r="G665" s="38">
        <v>0</v>
      </c>
      <c r="H665" s="38">
        <v>0</v>
      </c>
      <c r="I665" s="38">
        <v>0</v>
      </c>
      <c r="J665" s="38">
        <v>0</v>
      </c>
      <c r="K665" s="38">
        <v>0</v>
      </c>
      <c r="L665" s="38">
        <v>0</v>
      </c>
      <c r="M665" s="38">
        <v>0</v>
      </c>
      <c r="N665" s="38">
        <v>0</v>
      </c>
      <c r="O665" s="38">
        <v>0</v>
      </c>
      <c r="P665" s="34"/>
      <c r="Q665" s="36"/>
      <c r="R665" s="37"/>
    </row>
    <row r="666" spans="1:18" ht="116.25" x14ac:dyDescent="0.25">
      <c r="A666" s="32" t="s">
        <v>1756</v>
      </c>
      <c r="B666" s="33" t="s">
        <v>1757</v>
      </c>
      <c r="C666" s="34" t="s">
        <v>99</v>
      </c>
      <c r="D666" s="34" t="s">
        <v>809</v>
      </c>
      <c r="E666" s="34" t="s">
        <v>41</v>
      </c>
      <c r="F666" s="35">
        <f>SUM(F667:F667)+4950</f>
        <v>4950</v>
      </c>
      <c r="G666" s="35">
        <f>SUM(G667:G667)+4950</f>
        <v>4950</v>
      </c>
      <c r="H666" s="35">
        <f t="shared" ref="H666:O666" si="315">SUM(H667:H667)</f>
        <v>0</v>
      </c>
      <c r="I666" s="35">
        <f t="shared" si="315"/>
        <v>0</v>
      </c>
      <c r="J666" s="35">
        <f t="shared" si="315"/>
        <v>0</v>
      </c>
      <c r="K666" s="35">
        <f t="shared" si="315"/>
        <v>0</v>
      </c>
      <c r="L666" s="35">
        <f t="shared" si="315"/>
        <v>0</v>
      </c>
      <c r="M666" s="35">
        <f t="shared" si="315"/>
        <v>0</v>
      </c>
      <c r="N666" s="35">
        <f t="shared" si="315"/>
        <v>0</v>
      </c>
      <c r="O666" s="35">
        <f t="shared" si="315"/>
        <v>0</v>
      </c>
      <c r="P666" s="34" t="s">
        <v>1741</v>
      </c>
      <c r="Q666" s="36" t="s">
        <v>36</v>
      </c>
      <c r="R666" s="37" t="s">
        <v>638</v>
      </c>
    </row>
    <row r="667" spans="1:18" ht="69.75" x14ac:dyDescent="0.25">
      <c r="A667" s="32" t="s">
        <v>1758</v>
      </c>
      <c r="B667" s="33" t="s">
        <v>1743</v>
      </c>
      <c r="C667" s="34"/>
      <c r="D667" s="34"/>
      <c r="E667" s="34"/>
      <c r="F667" s="38">
        <v>0</v>
      </c>
      <c r="G667" s="38">
        <v>0</v>
      </c>
      <c r="H667" s="38">
        <v>0</v>
      </c>
      <c r="I667" s="38">
        <v>0</v>
      </c>
      <c r="J667" s="38">
        <v>0</v>
      </c>
      <c r="K667" s="38">
        <v>0</v>
      </c>
      <c r="L667" s="38">
        <v>0</v>
      </c>
      <c r="M667" s="38">
        <v>0</v>
      </c>
      <c r="N667" s="38">
        <v>0</v>
      </c>
      <c r="O667" s="38">
        <v>0</v>
      </c>
      <c r="P667" s="34"/>
      <c r="Q667" s="36"/>
      <c r="R667" s="37"/>
    </row>
    <row r="668" spans="1:18" ht="93" x14ac:dyDescent="0.25">
      <c r="A668" s="32" t="s">
        <v>1759</v>
      </c>
      <c r="B668" s="33" t="s">
        <v>1760</v>
      </c>
      <c r="C668" s="34" t="s">
        <v>104</v>
      </c>
      <c r="D668" s="34" t="s">
        <v>814</v>
      </c>
      <c r="E668" s="34" t="s">
        <v>41</v>
      </c>
      <c r="F668" s="35">
        <f>SUM(F669:F669)+1430</f>
        <v>1430</v>
      </c>
      <c r="G668" s="35">
        <f>SUM(G669:G669)+1430</f>
        <v>1430</v>
      </c>
      <c r="H668" s="35">
        <f t="shared" ref="H668:O668" si="316">SUM(H669:H669)</f>
        <v>0</v>
      </c>
      <c r="I668" s="35">
        <f t="shared" si="316"/>
        <v>0</v>
      </c>
      <c r="J668" s="35">
        <f t="shared" si="316"/>
        <v>0</v>
      </c>
      <c r="K668" s="35">
        <f t="shared" si="316"/>
        <v>0</v>
      </c>
      <c r="L668" s="35">
        <f t="shared" si="316"/>
        <v>0</v>
      </c>
      <c r="M668" s="35">
        <f t="shared" si="316"/>
        <v>0</v>
      </c>
      <c r="N668" s="35">
        <f t="shared" si="316"/>
        <v>0</v>
      </c>
      <c r="O668" s="35">
        <f t="shared" si="316"/>
        <v>0</v>
      </c>
      <c r="P668" s="34" t="s">
        <v>1741</v>
      </c>
      <c r="Q668" s="36" t="s">
        <v>36</v>
      </c>
      <c r="R668" s="37" t="s">
        <v>954</v>
      </c>
    </row>
    <row r="669" spans="1:18" ht="69.75" x14ac:dyDescent="0.25">
      <c r="A669" s="32" t="s">
        <v>1761</v>
      </c>
      <c r="B669" s="33" t="s">
        <v>1743</v>
      </c>
      <c r="C669" s="34"/>
      <c r="D669" s="34"/>
      <c r="E669" s="34"/>
      <c r="F669" s="38">
        <v>0</v>
      </c>
      <c r="G669" s="38">
        <v>0</v>
      </c>
      <c r="H669" s="38">
        <v>0</v>
      </c>
      <c r="I669" s="38">
        <v>0</v>
      </c>
      <c r="J669" s="38">
        <v>0</v>
      </c>
      <c r="K669" s="38">
        <v>0</v>
      </c>
      <c r="L669" s="38">
        <v>0</v>
      </c>
      <c r="M669" s="38">
        <v>0</v>
      </c>
      <c r="N669" s="38">
        <v>0</v>
      </c>
      <c r="O669" s="38">
        <v>0</v>
      </c>
      <c r="P669" s="34"/>
      <c r="Q669" s="36"/>
      <c r="R669" s="37"/>
    </row>
    <row r="670" spans="1:18" ht="93" x14ac:dyDescent="0.25">
      <c r="A670" s="32" t="s">
        <v>1762</v>
      </c>
      <c r="B670" s="33" t="s">
        <v>1763</v>
      </c>
      <c r="C670" s="34" t="s">
        <v>819</v>
      </c>
      <c r="D670" s="34" t="s">
        <v>820</v>
      </c>
      <c r="E670" s="34" t="s">
        <v>41</v>
      </c>
      <c r="F670" s="35">
        <f>SUM(F671:F671)+2160</f>
        <v>2160</v>
      </c>
      <c r="G670" s="35">
        <f>SUM(G671:G671)+2160</f>
        <v>2160</v>
      </c>
      <c r="H670" s="35">
        <f t="shared" ref="H670:O670" si="317">SUM(H671:H671)</f>
        <v>0</v>
      </c>
      <c r="I670" s="35">
        <f t="shared" si="317"/>
        <v>0</v>
      </c>
      <c r="J670" s="35">
        <f t="shared" si="317"/>
        <v>0</v>
      </c>
      <c r="K670" s="35">
        <f t="shared" si="317"/>
        <v>0</v>
      </c>
      <c r="L670" s="35">
        <f t="shared" si="317"/>
        <v>0</v>
      </c>
      <c r="M670" s="35">
        <f t="shared" si="317"/>
        <v>0</v>
      </c>
      <c r="N670" s="35">
        <f t="shared" si="317"/>
        <v>0</v>
      </c>
      <c r="O670" s="35">
        <f t="shared" si="317"/>
        <v>0</v>
      </c>
      <c r="P670" s="34" t="s">
        <v>1741</v>
      </c>
      <c r="Q670" s="36" t="s">
        <v>36</v>
      </c>
      <c r="R670" s="37" t="s">
        <v>162</v>
      </c>
    </row>
    <row r="671" spans="1:18" ht="69.75" x14ac:dyDescent="0.25">
      <c r="A671" s="32" t="s">
        <v>1764</v>
      </c>
      <c r="B671" s="33" t="s">
        <v>1743</v>
      </c>
      <c r="C671" s="34"/>
      <c r="D671" s="34"/>
      <c r="E671" s="34"/>
      <c r="F671" s="38">
        <v>0</v>
      </c>
      <c r="G671" s="38">
        <v>0</v>
      </c>
      <c r="H671" s="38">
        <v>0</v>
      </c>
      <c r="I671" s="38">
        <v>0</v>
      </c>
      <c r="J671" s="38">
        <v>0</v>
      </c>
      <c r="K671" s="38">
        <v>0</v>
      </c>
      <c r="L671" s="38">
        <v>0</v>
      </c>
      <c r="M671" s="38">
        <v>0</v>
      </c>
      <c r="N671" s="38">
        <v>0</v>
      </c>
      <c r="O671" s="38">
        <v>0</v>
      </c>
      <c r="P671" s="34"/>
      <c r="Q671" s="36"/>
      <c r="R671" s="37"/>
    </row>
    <row r="672" spans="1:18" ht="93" x14ac:dyDescent="0.25">
      <c r="A672" s="32" t="s">
        <v>1765</v>
      </c>
      <c r="B672" s="33" t="s">
        <v>1766</v>
      </c>
      <c r="C672" s="34" t="s">
        <v>825</v>
      </c>
      <c r="D672" s="34" t="s">
        <v>826</v>
      </c>
      <c r="E672" s="34" t="s">
        <v>41</v>
      </c>
      <c r="F672" s="35">
        <f>SUM(F673:F673)+850</f>
        <v>850</v>
      </c>
      <c r="G672" s="35">
        <f>SUM(G673:G673)+850</f>
        <v>850</v>
      </c>
      <c r="H672" s="35">
        <f t="shared" ref="H672:O672" si="318">SUM(H673:H673)</f>
        <v>0</v>
      </c>
      <c r="I672" s="35">
        <f t="shared" si="318"/>
        <v>0</v>
      </c>
      <c r="J672" s="35">
        <f t="shared" si="318"/>
        <v>0</v>
      </c>
      <c r="K672" s="35">
        <f t="shared" si="318"/>
        <v>0</v>
      </c>
      <c r="L672" s="35">
        <f t="shared" si="318"/>
        <v>0</v>
      </c>
      <c r="M672" s="35">
        <f t="shared" si="318"/>
        <v>0</v>
      </c>
      <c r="N672" s="35">
        <f t="shared" si="318"/>
        <v>0</v>
      </c>
      <c r="O672" s="35">
        <f t="shared" si="318"/>
        <v>0</v>
      </c>
      <c r="P672" s="34" t="s">
        <v>1741</v>
      </c>
      <c r="Q672" s="36" t="s">
        <v>36</v>
      </c>
      <c r="R672" s="37" t="s">
        <v>62</v>
      </c>
    </row>
    <row r="673" spans="1:18" ht="69.75" x14ac:dyDescent="0.25">
      <c r="A673" s="32" t="s">
        <v>1767</v>
      </c>
      <c r="B673" s="33" t="s">
        <v>1743</v>
      </c>
      <c r="C673" s="34"/>
      <c r="D673" s="34"/>
      <c r="E673" s="34"/>
      <c r="F673" s="38">
        <v>0</v>
      </c>
      <c r="G673" s="38">
        <v>0</v>
      </c>
      <c r="H673" s="38">
        <v>0</v>
      </c>
      <c r="I673" s="38">
        <v>0</v>
      </c>
      <c r="J673" s="38">
        <v>0</v>
      </c>
      <c r="K673" s="38">
        <v>0</v>
      </c>
      <c r="L673" s="38">
        <v>0</v>
      </c>
      <c r="M673" s="38">
        <v>0</v>
      </c>
      <c r="N673" s="38">
        <v>0</v>
      </c>
      <c r="O673" s="38">
        <v>0</v>
      </c>
      <c r="P673" s="34"/>
      <c r="Q673" s="36"/>
      <c r="R673" s="37"/>
    </row>
    <row r="674" spans="1:18" ht="93" x14ac:dyDescent="0.25">
      <c r="A674" s="32" t="s">
        <v>1768</v>
      </c>
      <c r="B674" s="33" t="s">
        <v>1769</v>
      </c>
      <c r="C674" s="34" t="s">
        <v>831</v>
      </c>
      <c r="D674" s="34" t="s">
        <v>832</v>
      </c>
      <c r="E674" s="34" t="s">
        <v>41</v>
      </c>
      <c r="F674" s="35">
        <f>SUM(F675:F675)+2640</f>
        <v>2640</v>
      </c>
      <c r="G674" s="35">
        <f>SUM(G675:G675)+2640</f>
        <v>2640</v>
      </c>
      <c r="H674" s="35">
        <f t="shared" ref="H674:O674" si="319">SUM(H675:H675)</f>
        <v>0</v>
      </c>
      <c r="I674" s="35">
        <f t="shared" si="319"/>
        <v>0</v>
      </c>
      <c r="J674" s="35">
        <f t="shared" si="319"/>
        <v>0</v>
      </c>
      <c r="K674" s="35">
        <f t="shared" si="319"/>
        <v>0</v>
      </c>
      <c r="L674" s="35">
        <f t="shared" si="319"/>
        <v>0</v>
      </c>
      <c r="M674" s="35">
        <f t="shared" si="319"/>
        <v>0</v>
      </c>
      <c r="N674" s="35">
        <f t="shared" si="319"/>
        <v>0</v>
      </c>
      <c r="O674" s="35">
        <f t="shared" si="319"/>
        <v>0</v>
      </c>
      <c r="P674" s="34" t="s">
        <v>1741</v>
      </c>
      <c r="Q674" s="36" t="s">
        <v>36</v>
      </c>
      <c r="R674" s="37" t="s">
        <v>95</v>
      </c>
    </row>
    <row r="675" spans="1:18" ht="69.75" x14ac:dyDescent="0.25">
      <c r="A675" s="32" t="s">
        <v>1770</v>
      </c>
      <c r="B675" s="33" t="s">
        <v>1743</v>
      </c>
      <c r="C675" s="34"/>
      <c r="D675" s="34"/>
      <c r="E675" s="34"/>
      <c r="F675" s="38">
        <v>0</v>
      </c>
      <c r="G675" s="38">
        <v>0</v>
      </c>
      <c r="H675" s="38">
        <v>0</v>
      </c>
      <c r="I675" s="38">
        <v>0</v>
      </c>
      <c r="J675" s="38">
        <v>0</v>
      </c>
      <c r="K675" s="38">
        <v>0</v>
      </c>
      <c r="L675" s="38">
        <v>0</v>
      </c>
      <c r="M675" s="38">
        <v>0</v>
      </c>
      <c r="N675" s="38">
        <v>0</v>
      </c>
      <c r="O675" s="38">
        <v>0</v>
      </c>
      <c r="P675" s="34"/>
      <c r="Q675" s="36"/>
      <c r="R675" s="37"/>
    </row>
    <row r="676" spans="1:18" ht="93" x14ac:dyDescent="0.25">
      <c r="A676" s="32" t="s">
        <v>1771</v>
      </c>
      <c r="B676" s="33" t="s">
        <v>1772</v>
      </c>
      <c r="C676" s="34" t="s">
        <v>839</v>
      </c>
      <c r="D676" s="34" t="s">
        <v>840</v>
      </c>
      <c r="E676" s="34" t="s">
        <v>41</v>
      </c>
      <c r="F676" s="35">
        <f>SUM(F677:F677)+1450</f>
        <v>1450</v>
      </c>
      <c r="G676" s="35">
        <f>SUM(G677:G677)+1450</f>
        <v>1450</v>
      </c>
      <c r="H676" s="35">
        <f t="shared" ref="H676:O676" si="320">SUM(H677:H677)</f>
        <v>0</v>
      </c>
      <c r="I676" s="35">
        <f t="shared" si="320"/>
        <v>0</v>
      </c>
      <c r="J676" s="35">
        <f t="shared" si="320"/>
        <v>0</v>
      </c>
      <c r="K676" s="35">
        <f t="shared" si="320"/>
        <v>0</v>
      </c>
      <c r="L676" s="35">
        <f t="shared" si="320"/>
        <v>0</v>
      </c>
      <c r="M676" s="35">
        <f t="shared" si="320"/>
        <v>0</v>
      </c>
      <c r="N676" s="35">
        <f t="shared" si="320"/>
        <v>0</v>
      </c>
      <c r="O676" s="35">
        <f t="shared" si="320"/>
        <v>0</v>
      </c>
      <c r="P676" s="34" t="s">
        <v>1741</v>
      </c>
      <c r="Q676" s="36" t="s">
        <v>36</v>
      </c>
      <c r="R676" s="37" t="s">
        <v>251</v>
      </c>
    </row>
    <row r="677" spans="1:18" ht="69.75" x14ac:dyDescent="0.25">
      <c r="A677" s="32" t="s">
        <v>1773</v>
      </c>
      <c r="B677" s="33" t="s">
        <v>1743</v>
      </c>
      <c r="C677" s="34"/>
      <c r="D677" s="34"/>
      <c r="E677" s="34"/>
      <c r="F677" s="38">
        <v>0</v>
      </c>
      <c r="G677" s="38">
        <v>0</v>
      </c>
      <c r="H677" s="38">
        <v>0</v>
      </c>
      <c r="I677" s="38">
        <v>0</v>
      </c>
      <c r="J677" s="38">
        <v>0</v>
      </c>
      <c r="K677" s="38">
        <v>0</v>
      </c>
      <c r="L677" s="38">
        <v>0</v>
      </c>
      <c r="M677" s="38">
        <v>0</v>
      </c>
      <c r="N677" s="38">
        <v>0</v>
      </c>
      <c r="O677" s="38">
        <v>0</v>
      </c>
      <c r="P677" s="34"/>
      <c r="Q677" s="36"/>
      <c r="R677" s="37"/>
    </row>
    <row r="678" spans="1:18" ht="93" x14ac:dyDescent="0.25">
      <c r="A678" s="32" t="s">
        <v>1774</v>
      </c>
      <c r="B678" s="33" t="s">
        <v>1775</v>
      </c>
      <c r="C678" s="34" t="s">
        <v>845</v>
      </c>
      <c r="D678" s="34" t="s">
        <v>846</v>
      </c>
      <c r="E678" s="34" t="s">
        <v>41</v>
      </c>
      <c r="F678" s="35">
        <f>SUM(F679:F679)+3600</f>
        <v>3600</v>
      </c>
      <c r="G678" s="35">
        <f>SUM(G679:G679)+3600</f>
        <v>3600</v>
      </c>
      <c r="H678" s="35">
        <f t="shared" ref="H678:O678" si="321">SUM(H679:H679)</f>
        <v>0</v>
      </c>
      <c r="I678" s="35">
        <f t="shared" si="321"/>
        <v>0</v>
      </c>
      <c r="J678" s="35">
        <f t="shared" si="321"/>
        <v>0</v>
      </c>
      <c r="K678" s="35">
        <f t="shared" si="321"/>
        <v>0</v>
      </c>
      <c r="L678" s="35">
        <f t="shared" si="321"/>
        <v>0</v>
      </c>
      <c r="M678" s="35">
        <f t="shared" si="321"/>
        <v>0</v>
      </c>
      <c r="N678" s="35">
        <f t="shared" si="321"/>
        <v>0</v>
      </c>
      <c r="O678" s="35">
        <f t="shared" si="321"/>
        <v>0</v>
      </c>
      <c r="P678" s="34" t="s">
        <v>1741</v>
      </c>
      <c r="Q678" s="36" t="s">
        <v>36</v>
      </c>
      <c r="R678" s="37" t="s">
        <v>62</v>
      </c>
    </row>
    <row r="679" spans="1:18" ht="69.75" x14ac:dyDescent="0.25">
      <c r="A679" s="32" t="s">
        <v>1776</v>
      </c>
      <c r="B679" s="33" t="s">
        <v>1743</v>
      </c>
      <c r="C679" s="34"/>
      <c r="D679" s="34"/>
      <c r="E679" s="34"/>
      <c r="F679" s="38">
        <v>0</v>
      </c>
      <c r="G679" s="38">
        <v>0</v>
      </c>
      <c r="H679" s="38">
        <v>0</v>
      </c>
      <c r="I679" s="38">
        <v>0</v>
      </c>
      <c r="J679" s="38">
        <v>0</v>
      </c>
      <c r="K679" s="38">
        <v>0</v>
      </c>
      <c r="L679" s="38">
        <v>0</v>
      </c>
      <c r="M679" s="38">
        <v>0</v>
      </c>
      <c r="N679" s="38">
        <v>0</v>
      </c>
      <c r="O679" s="38">
        <v>0</v>
      </c>
      <c r="P679" s="34"/>
      <c r="Q679" s="36"/>
      <c r="R679" s="37"/>
    </row>
    <row r="680" spans="1:18" ht="93" x14ac:dyDescent="0.25">
      <c r="A680" s="32" t="s">
        <v>1777</v>
      </c>
      <c r="B680" s="33" t="s">
        <v>1778</v>
      </c>
      <c r="C680" s="34" t="s">
        <v>851</v>
      </c>
      <c r="D680" s="34" t="s">
        <v>852</v>
      </c>
      <c r="E680" s="34" t="s">
        <v>41</v>
      </c>
      <c r="F680" s="35">
        <f>SUM(F681:F681)+8800</f>
        <v>8800</v>
      </c>
      <c r="G680" s="35">
        <f>SUM(G681:G681)+8800</f>
        <v>8800</v>
      </c>
      <c r="H680" s="35">
        <f t="shared" ref="H680:O680" si="322">SUM(H681:H681)</f>
        <v>0</v>
      </c>
      <c r="I680" s="35">
        <f t="shared" si="322"/>
        <v>0</v>
      </c>
      <c r="J680" s="35">
        <f t="shared" si="322"/>
        <v>0</v>
      </c>
      <c r="K680" s="35">
        <f t="shared" si="322"/>
        <v>0</v>
      </c>
      <c r="L680" s="35">
        <f t="shared" si="322"/>
        <v>0</v>
      </c>
      <c r="M680" s="35">
        <f t="shared" si="322"/>
        <v>0</v>
      </c>
      <c r="N680" s="35">
        <f t="shared" si="322"/>
        <v>0</v>
      </c>
      <c r="O680" s="35">
        <f t="shared" si="322"/>
        <v>0</v>
      </c>
      <c r="P680" s="34" t="s">
        <v>1741</v>
      </c>
      <c r="Q680" s="36" t="s">
        <v>36</v>
      </c>
      <c r="R680" s="37" t="s">
        <v>1779</v>
      </c>
    </row>
    <row r="681" spans="1:18" ht="69.75" x14ac:dyDescent="0.25">
      <c r="A681" s="32" t="s">
        <v>1780</v>
      </c>
      <c r="B681" s="33" t="s">
        <v>1743</v>
      </c>
      <c r="C681" s="34"/>
      <c r="D681" s="34"/>
      <c r="E681" s="34"/>
      <c r="F681" s="38">
        <v>0</v>
      </c>
      <c r="G681" s="38">
        <v>0</v>
      </c>
      <c r="H681" s="38">
        <v>0</v>
      </c>
      <c r="I681" s="38">
        <v>0</v>
      </c>
      <c r="J681" s="38">
        <v>0</v>
      </c>
      <c r="K681" s="38">
        <v>0</v>
      </c>
      <c r="L681" s="38">
        <v>0</v>
      </c>
      <c r="M681" s="38">
        <v>0</v>
      </c>
      <c r="N681" s="38">
        <v>0</v>
      </c>
      <c r="O681" s="38">
        <v>0</v>
      </c>
      <c r="P681" s="34"/>
      <c r="Q681" s="36"/>
      <c r="R681" s="37"/>
    </row>
    <row r="682" spans="1:18" ht="93" x14ac:dyDescent="0.25">
      <c r="A682" s="32" t="s">
        <v>1781</v>
      </c>
      <c r="B682" s="33" t="s">
        <v>1782</v>
      </c>
      <c r="C682" s="34" t="s">
        <v>857</v>
      </c>
      <c r="D682" s="34" t="s">
        <v>858</v>
      </c>
      <c r="E682" s="34" t="s">
        <v>41</v>
      </c>
      <c r="F682" s="35">
        <f>SUM(F683:F683)+1930</f>
        <v>1930</v>
      </c>
      <c r="G682" s="35">
        <f>SUM(G683:G683)+1930</f>
        <v>1930</v>
      </c>
      <c r="H682" s="35">
        <f t="shared" ref="H682:O682" si="323">SUM(H683:H683)</f>
        <v>0</v>
      </c>
      <c r="I682" s="35">
        <f t="shared" si="323"/>
        <v>0</v>
      </c>
      <c r="J682" s="35">
        <f t="shared" si="323"/>
        <v>0</v>
      </c>
      <c r="K682" s="35">
        <f t="shared" si="323"/>
        <v>0</v>
      </c>
      <c r="L682" s="35">
        <f t="shared" si="323"/>
        <v>0</v>
      </c>
      <c r="M682" s="35">
        <f t="shared" si="323"/>
        <v>0</v>
      </c>
      <c r="N682" s="35">
        <f t="shared" si="323"/>
        <v>0</v>
      </c>
      <c r="O682" s="35">
        <f t="shared" si="323"/>
        <v>0</v>
      </c>
      <c r="P682" s="34" t="s">
        <v>1741</v>
      </c>
      <c r="Q682" s="36" t="s">
        <v>36</v>
      </c>
      <c r="R682" s="37" t="s">
        <v>170</v>
      </c>
    </row>
    <row r="683" spans="1:18" ht="69.75" x14ac:dyDescent="0.25">
      <c r="A683" s="32" t="s">
        <v>1783</v>
      </c>
      <c r="B683" s="33" t="s">
        <v>1743</v>
      </c>
      <c r="C683" s="34"/>
      <c r="D683" s="34"/>
      <c r="E683" s="34"/>
      <c r="F683" s="38">
        <v>0</v>
      </c>
      <c r="G683" s="38">
        <v>0</v>
      </c>
      <c r="H683" s="38">
        <v>0</v>
      </c>
      <c r="I683" s="38">
        <v>0</v>
      </c>
      <c r="J683" s="38">
        <v>0</v>
      </c>
      <c r="K683" s="38">
        <v>0</v>
      </c>
      <c r="L683" s="38">
        <v>0</v>
      </c>
      <c r="M683" s="38">
        <v>0</v>
      </c>
      <c r="N683" s="38">
        <v>0</v>
      </c>
      <c r="O683" s="38">
        <v>0</v>
      </c>
      <c r="P683" s="34"/>
      <c r="Q683" s="36"/>
      <c r="R683" s="37"/>
    </row>
    <row r="684" spans="1:18" ht="45" x14ac:dyDescent="0.25">
      <c r="A684" s="26" t="s">
        <v>1784</v>
      </c>
      <c r="B684" s="27" t="s">
        <v>1785</v>
      </c>
      <c r="C684" s="28" t="s">
        <v>1396</v>
      </c>
      <c r="D684" s="28" t="s">
        <v>1400</v>
      </c>
      <c r="E684" s="28" t="s">
        <v>34</v>
      </c>
      <c r="F684" s="29">
        <f t="shared" ref="F684:O684" si="324">SUM(F685:F685)</f>
        <v>15000</v>
      </c>
      <c r="G684" s="29">
        <f t="shared" si="324"/>
        <v>15000</v>
      </c>
      <c r="H684" s="29">
        <f t="shared" si="324"/>
        <v>0</v>
      </c>
      <c r="I684" s="29">
        <f t="shared" si="324"/>
        <v>0</v>
      </c>
      <c r="J684" s="29">
        <f t="shared" si="324"/>
        <v>0</v>
      </c>
      <c r="K684" s="29">
        <f t="shared" si="324"/>
        <v>0</v>
      </c>
      <c r="L684" s="29">
        <f t="shared" si="324"/>
        <v>0</v>
      </c>
      <c r="M684" s="29">
        <f t="shared" si="324"/>
        <v>0</v>
      </c>
      <c r="N684" s="29">
        <f t="shared" si="324"/>
        <v>0</v>
      </c>
      <c r="O684" s="29">
        <f t="shared" si="324"/>
        <v>0</v>
      </c>
      <c r="P684" s="28" t="s">
        <v>1786</v>
      </c>
      <c r="Q684" s="30" t="s">
        <v>36</v>
      </c>
      <c r="R684" s="31" t="s">
        <v>48</v>
      </c>
    </row>
    <row r="685" spans="1:18" ht="46.5" x14ac:dyDescent="0.25">
      <c r="A685" s="32" t="s">
        <v>1787</v>
      </c>
      <c r="B685" s="33" t="s">
        <v>1788</v>
      </c>
      <c r="C685" s="34" t="s">
        <v>1396</v>
      </c>
      <c r="D685" s="34" t="s">
        <v>1488</v>
      </c>
      <c r="E685" s="34" t="s">
        <v>41</v>
      </c>
      <c r="F685" s="35">
        <f>SUM(F686:F686)+15000</f>
        <v>15000</v>
      </c>
      <c r="G685" s="35">
        <f>SUM(G686:G686)+15000</f>
        <v>15000</v>
      </c>
      <c r="H685" s="35">
        <f t="shared" ref="H685:O685" si="325">SUM(H686:H686)</f>
        <v>0</v>
      </c>
      <c r="I685" s="35">
        <f t="shared" si="325"/>
        <v>0</v>
      </c>
      <c r="J685" s="35">
        <f t="shared" si="325"/>
        <v>0</v>
      </c>
      <c r="K685" s="35">
        <f t="shared" si="325"/>
        <v>0</v>
      </c>
      <c r="L685" s="35">
        <f t="shared" si="325"/>
        <v>0</v>
      </c>
      <c r="M685" s="35">
        <f t="shared" si="325"/>
        <v>0</v>
      </c>
      <c r="N685" s="35">
        <f t="shared" si="325"/>
        <v>0</v>
      </c>
      <c r="O685" s="35">
        <f t="shared" si="325"/>
        <v>0</v>
      </c>
      <c r="P685" s="34" t="s">
        <v>1789</v>
      </c>
      <c r="Q685" s="36" t="s">
        <v>36</v>
      </c>
      <c r="R685" s="37" t="s">
        <v>48</v>
      </c>
    </row>
    <row r="686" spans="1:18" ht="69.75" x14ac:dyDescent="0.25">
      <c r="A686" s="32" t="s">
        <v>1790</v>
      </c>
      <c r="B686" s="33" t="s">
        <v>1791</v>
      </c>
      <c r="C686" s="34"/>
      <c r="D686" s="34"/>
      <c r="E686" s="34"/>
      <c r="F686" s="38">
        <v>0</v>
      </c>
      <c r="G686" s="38">
        <v>0</v>
      </c>
      <c r="H686" s="38">
        <v>0</v>
      </c>
      <c r="I686" s="38">
        <v>0</v>
      </c>
      <c r="J686" s="38">
        <v>0</v>
      </c>
      <c r="K686" s="38">
        <v>0</v>
      </c>
      <c r="L686" s="38">
        <v>0</v>
      </c>
      <c r="M686" s="38">
        <v>0</v>
      </c>
      <c r="N686" s="38">
        <v>0</v>
      </c>
      <c r="O686" s="38">
        <v>0</v>
      </c>
      <c r="P686" s="34"/>
      <c r="Q686" s="36"/>
      <c r="R686" s="37"/>
    </row>
    <row r="687" spans="1:18" ht="67.5" x14ac:dyDescent="0.25">
      <c r="A687" s="26" t="s">
        <v>1792</v>
      </c>
      <c r="B687" s="27" t="s">
        <v>1793</v>
      </c>
      <c r="C687" s="28" t="s">
        <v>1396</v>
      </c>
      <c r="D687" s="28" t="s">
        <v>1400</v>
      </c>
      <c r="E687" s="28" t="s">
        <v>34</v>
      </c>
      <c r="F687" s="29">
        <f t="shared" ref="F687:O687" si="326">F688+F690+F692+F694+F696+F698+F700+F702+F704+F706+F708+F710</f>
        <v>160393.81</v>
      </c>
      <c r="G687" s="29">
        <f t="shared" si="326"/>
        <v>30140</v>
      </c>
      <c r="H687" s="29">
        <f t="shared" si="326"/>
        <v>127368.81</v>
      </c>
      <c r="I687" s="29">
        <f t="shared" si="326"/>
        <v>0</v>
      </c>
      <c r="J687" s="29">
        <f t="shared" si="326"/>
        <v>2885</v>
      </c>
      <c r="K687" s="29">
        <f t="shared" si="326"/>
        <v>0</v>
      </c>
      <c r="L687" s="29">
        <f t="shared" si="326"/>
        <v>0</v>
      </c>
      <c r="M687" s="29">
        <f t="shared" si="326"/>
        <v>0</v>
      </c>
      <c r="N687" s="29">
        <f t="shared" si="326"/>
        <v>0</v>
      </c>
      <c r="O687" s="29">
        <f t="shared" si="326"/>
        <v>0</v>
      </c>
      <c r="P687" s="28" t="s">
        <v>1794</v>
      </c>
      <c r="Q687" s="30" t="s">
        <v>36</v>
      </c>
      <c r="R687" s="31" t="s">
        <v>37</v>
      </c>
    </row>
    <row r="688" spans="1:18" ht="46.5" x14ac:dyDescent="0.25">
      <c r="A688" s="32" t="s">
        <v>1795</v>
      </c>
      <c r="B688" s="33" t="s">
        <v>1796</v>
      </c>
      <c r="C688" s="34" t="s">
        <v>892</v>
      </c>
      <c r="D688" s="34" t="s">
        <v>913</v>
      </c>
      <c r="E688" s="34" t="s">
        <v>41</v>
      </c>
      <c r="F688" s="35">
        <f>SUM(F689:F689)+2885</f>
        <v>2885</v>
      </c>
      <c r="G688" s="35">
        <f>SUM(G689:G689)</f>
        <v>0</v>
      </c>
      <c r="H688" s="35">
        <f>SUM(H689:H689)</f>
        <v>0</v>
      </c>
      <c r="I688" s="35">
        <f>SUM(I689:I689)</f>
        <v>0</v>
      </c>
      <c r="J688" s="35">
        <f>SUM(J689:J689)+2885</f>
        <v>2885</v>
      </c>
      <c r="K688" s="35">
        <f>SUM(K689:K689)</f>
        <v>0</v>
      </c>
      <c r="L688" s="35">
        <f>SUM(L689:L689)</f>
        <v>0</v>
      </c>
      <c r="M688" s="35">
        <f>SUM(M689:M689)</f>
        <v>0</v>
      </c>
      <c r="N688" s="35">
        <f>SUM(N689:N689)</f>
        <v>0</v>
      </c>
      <c r="O688" s="35">
        <f>SUM(O689:O689)</f>
        <v>0</v>
      </c>
      <c r="P688" s="34" t="s">
        <v>1797</v>
      </c>
      <c r="Q688" s="36" t="s">
        <v>36</v>
      </c>
      <c r="R688" s="37" t="s">
        <v>95</v>
      </c>
    </row>
    <row r="689" spans="1:18" ht="46.5" x14ac:dyDescent="0.25">
      <c r="A689" s="32" t="s">
        <v>1798</v>
      </c>
      <c r="B689" s="33" t="s">
        <v>1799</v>
      </c>
      <c r="C689" s="34"/>
      <c r="D689" s="34"/>
      <c r="E689" s="34"/>
      <c r="F689" s="38">
        <v>0</v>
      </c>
      <c r="G689" s="38">
        <v>0</v>
      </c>
      <c r="H689" s="38">
        <v>0</v>
      </c>
      <c r="I689" s="38">
        <v>0</v>
      </c>
      <c r="J689" s="38">
        <v>0</v>
      </c>
      <c r="K689" s="38">
        <v>0</v>
      </c>
      <c r="L689" s="38">
        <v>0</v>
      </c>
      <c r="M689" s="38">
        <v>0</v>
      </c>
      <c r="N689" s="38">
        <v>0</v>
      </c>
      <c r="O689" s="38">
        <v>0</v>
      </c>
      <c r="P689" s="34"/>
      <c r="Q689" s="36"/>
      <c r="R689" s="37"/>
    </row>
    <row r="690" spans="1:18" ht="46.5" x14ac:dyDescent="0.25">
      <c r="A690" s="32" t="s">
        <v>1800</v>
      </c>
      <c r="B690" s="33" t="s">
        <v>1801</v>
      </c>
      <c r="C690" s="34" t="s">
        <v>851</v>
      </c>
      <c r="D690" s="34" t="s">
        <v>852</v>
      </c>
      <c r="E690" s="34" t="s">
        <v>41</v>
      </c>
      <c r="F690" s="35">
        <f>SUM(F691:F691)+72653.15</f>
        <v>72653.149999999994</v>
      </c>
      <c r="G690" s="35">
        <f>SUM(G691:G691)</f>
        <v>0</v>
      </c>
      <c r="H690" s="35">
        <f>SUM(H691:H691)+72653.15</f>
        <v>72653.149999999994</v>
      </c>
      <c r="I690" s="35">
        <f t="shared" ref="I690:O690" si="327">SUM(I691:I691)</f>
        <v>0</v>
      </c>
      <c r="J690" s="35">
        <f t="shared" si="327"/>
        <v>0</v>
      </c>
      <c r="K690" s="35">
        <f t="shared" si="327"/>
        <v>0</v>
      </c>
      <c r="L690" s="35">
        <f t="shared" si="327"/>
        <v>0</v>
      </c>
      <c r="M690" s="35">
        <f t="shared" si="327"/>
        <v>0</v>
      </c>
      <c r="N690" s="35">
        <f t="shared" si="327"/>
        <v>0</v>
      </c>
      <c r="O690" s="35">
        <f t="shared" si="327"/>
        <v>0</v>
      </c>
      <c r="P690" s="34" t="s">
        <v>1802</v>
      </c>
      <c r="Q690" s="36" t="s">
        <v>36</v>
      </c>
      <c r="R690" s="37" t="s">
        <v>62</v>
      </c>
    </row>
    <row r="691" spans="1:18" ht="69.75" x14ac:dyDescent="0.25">
      <c r="A691" s="32" t="s">
        <v>1803</v>
      </c>
      <c r="B691" s="33" t="s">
        <v>1804</v>
      </c>
      <c r="C691" s="34"/>
      <c r="D691" s="34"/>
      <c r="E691" s="34"/>
      <c r="F691" s="38">
        <v>0</v>
      </c>
      <c r="G691" s="38">
        <v>0</v>
      </c>
      <c r="H691" s="38">
        <v>0</v>
      </c>
      <c r="I691" s="38">
        <v>0</v>
      </c>
      <c r="J691" s="38">
        <v>0</v>
      </c>
      <c r="K691" s="38">
        <v>0</v>
      </c>
      <c r="L691" s="38">
        <v>0</v>
      </c>
      <c r="M691" s="38">
        <v>0</v>
      </c>
      <c r="N691" s="38">
        <v>0</v>
      </c>
      <c r="O691" s="38">
        <v>0</v>
      </c>
      <c r="P691" s="34"/>
      <c r="Q691" s="36"/>
      <c r="R691" s="37"/>
    </row>
    <row r="692" spans="1:18" ht="46.5" x14ac:dyDescent="0.25">
      <c r="A692" s="32" t="s">
        <v>1805</v>
      </c>
      <c r="B692" s="33" t="s">
        <v>1806</v>
      </c>
      <c r="C692" s="34" t="s">
        <v>787</v>
      </c>
      <c r="D692" s="34" t="s">
        <v>788</v>
      </c>
      <c r="E692" s="34" t="s">
        <v>41</v>
      </c>
      <c r="F692" s="35">
        <f>SUM(F693:F693)+6997.47</f>
        <v>6997.47</v>
      </c>
      <c r="G692" s="35">
        <f>SUM(G693:G693)</f>
        <v>0</v>
      </c>
      <c r="H692" s="35">
        <f>SUM(H693:H693)+6997.47</f>
        <v>6997.47</v>
      </c>
      <c r="I692" s="35">
        <f t="shared" ref="I692:O692" si="328">SUM(I693:I693)</f>
        <v>0</v>
      </c>
      <c r="J692" s="35">
        <f t="shared" si="328"/>
        <v>0</v>
      </c>
      <c r="K692" s="35">
        <f t="shared" si="328"/>
        <v>0</v>
      </c>
      <c r="L692" s="35">
        <f t="shared" si="328"/>
        <v>0</v>
      </c>
      <c r="M692" s="35">
        <f t="shared" si="328"/>
        <v>0</v>
      </c>
      <c r="N692" s="35">
        <f t="shared" si="328"/>
        <v>0</v>
      </c>
      <c r="O692" s="35">
        <f t="shared" si="328"/>
        <v>0</v>
      </c>
      <c r="P692" s="34" t="s">
        <v>1802</v>
      </c>
      <c r="Q692" s="36" t="s">
        <v>36</v>
      </c>
      <c r="R692" s="37" t="s">
        <v>48</v>
      </c>
    </row>
    <row r="693" spans="1:18" ht="69.75" x14ac:dyDescent="0.25">
      <c r="A693" s="32" t="s">
        <v>1807</v>
      </c>
      <c r="B693" s="33" t="s">
        <v>1804</v>
      </c>
      <c r="C693" s="34"/>
      <c r="D693" s="34"/>
      <c r="E693" s="34"/>
      <c r="F693" s="38">
        <v>0</v>
      </c>
      <c r="G693" s="38">
        <v>0</v>
      </c>
      <c r="H693" s="38">
        <v>0</v>
      </c>
      <c r="I693" s="38">
        <v>0</v>
      </c>
      <c r="J693" s="38">
        <v>0</v>
      </c>
      <c r="K693" s="38">
        <v>0</v>
      </c>
      <c r="L693" s="38">
        <v>0</v>
      </c>
      <c r="M693" s="38">
        <v>0</v>
      </c>
      <c r="N693" s="38">
        <v>0</v>
      </c>
      <c r="O693" s="38">
        <v>0</v>
      </c>
      <c r="P693" s="34"/>
      <c r="Q693" s="36"/>
      <c r="R693" s="37"/>
    </row>
    <row r="694" spans="1:18" ht="69.75" x14ac:dyDescent="0.25">
      <c r="A694" s="32" t="s">
        <v>1808</v>
      </c>
      <c r="B694" s="33" t="s">
        <v>1809</v>
      </c>
      <c r="C694" s="34" t="s">
        <v>87</v>
      </c>
      <c r="D694" s="34" t="s">
        <v>793</v>
      </c>
      <c r="E694" s="34" t="s">
        <v>41</v>
      </c>
      <c r="F694" s="35">
        <f>SUM(F695:F695)+7359.81</f>
        <v>7359.81</v>
      </c>
      <c r="G694" s="35">
        <f>SUM(G695:G695)</f>
        <v>0</v>
      </c>
      <c r="H694" s="35">
        <f>SUM(H695:H695)+7359.81</f>
        <v>7359.81</v>
      </c>
      <c r="I694" s="35">
        <f t="shared" ref="I694:O694" si="329">SUM(I695:I695)</f>
        <v>0</v>
      </c>
      <c r="J694" s="35">
        <f t="shared" si="329"/>
        <v>0</v>
      </c>
      <c r="K694" s="35">
        <f t="shared" si="329"/>
        <v>0</v>
      </c>
      <c r="L694" s="35">
        <f t="shared" si="329"/>
        <v>0</v>
      </c>
      <c r="M694" s="35">
        <f t="shared" si="329"/>
        <v>0</v>
      </c>
      <c r="N694" s="35">
        <f t="shared" si="329"/>
        <v>0</v>
      </c>
      <c r="O694" s="35">
        <f t="shared" si="329"/>
        <v>0</v>
      </c>
      <c r="P694" s="34" t="s">
        <v>1810</v>
      </c>
      <c r="Q694" s="36" t="s">
        <v>36</v>
      </c>
      <c r="R694" s="37" t="s">
        <v>48</v>
      </c>
    </row>
    <row r="695" spans="1:18" ht="69.75" x14ac:dyDescent="0.25">
      <c r="A695" s="32" t="s">
        <v>1811</v>
      </c>
      <c r="B695" s="33" t="s">
        <v>1804</v>
      </c>
      <c r="C695" s="34"/>
      <c r="D695" s="34"/>
      <c r="E695" s="34"/>
      <c r="F695" s="38">
        <v>0</v>
      </c>
      <c r="G695" s="38">
        <v>0</v>
      </c>
      <c r="H695" s="38">
        <v>0</v>
      </c>
      <c r="I695" s="38">
        <v>0</v>
      </c>
      <c r="J695" s="38">
        <v>0</v>
      </c>
      <c r="K695" s="38">
        <v>0</v>
      </c>
      <c r="L695" s="38">
        <v>0</v>
      </c>
      <c r="M695" s="38">
        <v>0</v>
      </c>
      <c r="N695" s="38">
        <v>0</v>
      </c>
      <c r="O695" s="38">
        <v>0</v>
      </c>
      <c r="P695" s="34"/>
      <c r="Q695" s="36"/>
      <c r="R695" s="37"/>
    </row>
    <row r="696" spans="1:18" ht="46.5" x14ac:dyDescent="0.25">
      <c r="A696" s="32" t="s">
        <v>1812</v>
      </c>
      <c r="B696" s="33" t="s">
        <v>1813</v>
      </c>
      <c r="C696" s="34" t="s">
        <v>798</v>
      </c>
      <c r="D696" s="34" t="s">
        <v>799</v>
      </c>
      <c r="E696" s="34" t="s">
        <v>41</v>
      </c>
      <c r="F696" s="35">
        <f>SUM(F697:F697)+1566.93</f>
        <v>1566.93</v>
      </c>
      <c r="G696" s="35">
        <f>SUM(G697:G697)</f>
        <v>0</v>
      </c>
      <c r="H696" s="35">
        <f>SUM(H697:H697)+1566.93</f>
        <v>1566.93</v>
      </c>
      <c r="I696" s="35">
        <f t="shared" ref="I696:O696" si="330">SUM(I697:I697)</f>
        <v>0</v>
      </c>
      <c r="J696" s="35">
        <f t="shared" si="330"/>
        <v>0</v>
      </c>
      <c r="K696" s="35">
        <f t="shared" si="330"/>
        <v>0</v>
      </c>
      <c r="L696" s="35">
        <f t="shared" si="330"/>
        <v>0</v>
      </c>
      <c r="M696" s="35">
        <f t="shared" si="330"/>
        <v>0</v>
      </c>
      <c r="N696" s="35">
        <f t="shared" si="330"/>
        <v>0</v>
      </c>
      <c r="O696" s="35">
        <f t="shared" si="330"/>
        <v>0</v>
      </c>
      <c r="P696" s="34" t="s">
        <v>1802</v>
      </c>
      <c r="Q696" s="36" t="s">
        <v>36</v>
      </c>
      <c r="R696" s="37" t="s">
        <v>48</v>
      </c>
    </row>
    <row r="697" spans="1:18" ht="69.75" x14ac:dyDescent="0.25">
      <c r="A697" s="32" t="s">
        <v>1814</v>
      </c>
      <c r="B697" s="33" t="s">
        <v>1804</v>
      </c>
      <c r="C697" s="34"/>
      <c r="D697" s="34"/>
      <c r="E697" s="34"/>
      <c r="F697" s="38">
        <v>0</v>
      </c>
      <c r="G697" s="38">
        <v>0</v>
      </c>
      <c r="H697" s="38">
        <v>0</v>
      </c>
      <c r="I697" s="38">
        <v>0</v>
      </c>
      <c r="J697" s="38">
        <v>0</v>
      </c>
      <c r="K697" s="38">
        <v>0</v>
      </c>
      <c r="L697" s="38">
        <v>0</v>
      </c>
      <c r="M697" s="38">
        <v>0</v>
      </c>
      <c r="N697" s="38">
        <v>0</v>
      </c>
      <c r="O697" s="38">
        <v>0</v>
      </c>
      <c r="P697" s="34"/>
      <c r="Q697" s="36"/>
      <c r="R697" s="37"/>
    </row>
    <row r="698" spans="1:18" ht="46.5" x14ac:dyDescent="0.25">
      <c r="A698" s="32" t="s">
        <v>1815</v>
      </c>
      <c r="B698" s="33" t="s">
        <v>1816</v>
      </c>
      <c r="C698" s="34" t="s">
        <v>94</v>
      </c>
      <c r="D698" s="34" t="s">
        <v>804</v>
      </c>
      <c r="E698" s="34" t="s">
        <v>41</v>
      </c>
      <c r="F698" s="35">
        <f>SUM(F699:F699)+1740.96</f>
        <v>1740.96</v>
      </c>
      <c r="G698" s="35">
        <f>SUM(G699:G699)</f>
        <v>0</v>
      </c>
      <c r="H698" s="35">
        <f>SUM(H699:H699)+1740.96</f>
        <v>1740.96</v>
      </c>
      <c r="I698" s="35">
        <f t="shared" ref="I698:O698" si="331">SUM(I699:I699)</f>
        <v>0</v>
      </c>
      <c r="J698" s="35">
        <f t="shared" si="331"/>
        <v>0</v>
      </c>
      <c r="K698" s="35">
        <f t="shared" si="331"/>
        <v>0</v>
      </c>
      <c r="L698" s="35">
        <f t="shared" si="331"/>
        <v>0</v>
      </c>
      <c r="M698" s="35">
        <f t="shared" si="331"/>
        <v>0</v>
      </c>
      <c r="N698" s="35">
        <f t="shared" si="331"/>
        <v>0</v>
      </c>
      <c r="O698" s="35">
        <f t="shared" si="331"/>
        <v>0</v>
      </c>
      <c r="P698" s="34" t="s">
        <v>1802</v>
      </c>
      <c r="Q698" s="36" t="s">
        <v>36</v>
      </c>
      <c r="R698" s="37" t="s">
        <v>48</v>
      </c>
    </row>
    <row r="699" spans="1:18" ht="69.75" x14ac:dyDescent="0.25">
      <c r="A699" s="32" t="s">
        <v>1817</v>
      </c>
      <c r="B699" s="33" t="s">
        <v>1804</v>
      </c>
      <c r="C699" s="34"/>
      <c r="D699" s="34"/>
      <c r="E699" s="34"/>
      <c r="F699" s="38">
        <v>0</v>
      </c>
      <c r="G699" s="38">
        <v>0</v>
      </c>
      <c r="H699" s="38">
        <v>0</v>
      </c>
      <c r="I699" s="38">
        <v>0</v>
      </c>
      <c r="J699" s="38">
        <v>0</v>
      </c>
      <c r="K699" s="38">
        <v>0</v>
      </c>
      <c r="L699" s="38">
        <v>0</v>
      </c>
      <c r="M699" s="38">
        <v>0</v>
      </c>
      <c r="N699" s="38">
        <v>0</v>
      </c>
      <c r="O699" s="38">
        <v>0</v>
      </c>
      <c r="P699" s="34"/>
      <c r="Q699" s="36"/>
      <c r="R699" s="37"/>
    </row>
    <row r="700" spans="1:18" ht="69.75" x14ac:dyDescent="0.25">
      <c r="A700" s="32" t="s">
        <v>1818</v>
      </c>
      <c r="B700" s="33" t="s">
        <v>1819</v>
      </c>
      <c r="C700" s="34" t="s">
        <v>99</v>
      </c>
      <c r="D700" s="34" t="s">
        <v>809</v>
      </c>
      <c r="E700" s="34" t="s">
        <v>41</v>
      </c>
      <c r="F700" s="35">
        <f>SUM(F701:F701)+22005.52</f>
        <v>22005.52</v>
      </c>
      <c r="G700" s="35">
        <f>SUM(G701:G701)+13340</f>
        <v>13340</v>
      </c>
      <c r="H700" s="35">
        <f>SUM(H701:H701)+8665.52</f>
        <v>8665.52</v>
      </c>
      <c r="I700" s="35">
        <f t="shared" ref="I700:O700" si="332">SUM(I701:I701)</f>
        <v>0</v>
      </c>
      <c r="J700" s="35">
        <f t="shared" si="332"/>
        <v>0</v>
      </c>
      <c r="K700" s="35">
        <f t="shared" si="332"/>
        <v>0</v>
      </c>
      <c r="L700" s="35">
        <f t="shared" si="332"/>
        <v>0</v>
      </c>
      <c r="M700" s="35">
        <f t="shared" si="332"/>
        <v>0</v>
      </c>
      <c r="N700" s="35">
        <f t="shared" si="332"/>
        <v>0</v>
      </c>
      <c r="O700" s="35">
        <f t="shared" si="332"/>
        <v>0</v>
      </c>
      <c r="P700" s="34" t="s">
        <v>1802</v>
      </c>
      <c r="Q700" s="36" t="s">
        <v>36</v>
      </c>
      <c r="R700" s="37" t="s">
        <v>186</v>
      </c>
    </row>
    <row r="701" spans="1:18" ht="69.75" x14ac:dyDescent="0.25">
      <c r="A701" s="32" t="s">
        <v>1820</v>
      </c>
      <c r="B701" s="33" t="s">
        <v>1804</v>
      </c>
      <c r="C701" s="34"/>
      <c r="D701" s="34"/>
      <c r="E701" s="34"/>
      <c r="F701" s="38">
        <v>0</v>
      </c>
      <c r="G701" s="38">
        <v>0</v>
      </c>
      <c r="H701" s="38">
        <v>0</v>
      </c>
      <c r="I701" s="38">
        <v>0</v>
      </c>
      <c r="J701" s="38">
        <v>0</v>
      </c>
      <c r="K701" s="38">
        <v>0</v>
      </c>
      <c r="L701" s="38">
        <v>0</v>
      </c>
      <c r="M701" s="38">
        <v>0</v>
      </c>
      <c r="N701" s="38">
        <v>0</v>
      </c>
      <c r="O701" s="38">
        <v>0</v>
      </c>
      <c r="P701" s="34"/>
      <c r="Q701" s="36"/>
      <c r="R701" s="37"/>
    </row>
    <row r="702" spans="1:18" ht="46.5" x14ac:dyDescent="0.25">
      <c r="A702" s="32" t="s">
        <v>1821</v>
      </c>
      <c r="B702" s="33" t="s">
        <v>1822</v>
      </c>
      <c r="C702" s="34" t="s">
        <v>104</v>
      </c>
      <c r="D702" s="34" t="s">
        <v>814</v>
      </c>
      <c r="E702" s="34" t="s">
        <v>41</v>
      </c>
      <c r="F702" s="35">
        <f>SUM(F703:F703)+28118.25</f>
        <v>28118.25</v>
      </c>
      <c r="G702" s="35">
        <f>SUM(G703:G703)+16800</f>
        <v>16800</v>
      </c>
      <c r="H702" s="35">
        <f>SUM(H703:H703)+11318.25</f>
        <v>11318.25</v>
      </c>
      <c r="I702" s="35">
        <f t="shared" ref="I702:O702" si="333">SUM(I703:I703)</f>
        <v>0</v>
      </c>
      <c r="J702" s="35">
        <f t="shared" si="333"/>
        <v>0</v>
      </c>
      <c r="K702" s="35">
        <f t="shared" si="333"/>
        <v>0</v>
      </c>
      <c r="L702" s="35">
        <f t="shared" si="333"/>
        <v>0</v>
      </c>
      <c r="M702" s="35">
        <f t="shared" si="333"/>
        <v>0</v>
      </c>
      <c r="N702" s="35">
        <f t="shared" si="333"/>
        <v>0</v>
      </c>
      <c r="O702" s="35">
        <f t="shared" si="333"/>
        <v>0</v>
      </c>
      <c r="P702" s="34" t="s">
        <v>1802</v>
      </c>
      <c r="Q702" s="36" t="s">
        <v>36</v>
      </c>
      <c r="R702" s="37" t="s">
        <v>37</v>
      </c>
    </row>
    <row r="703" spans="1:18" ht="69.75" x14ac:dyDescent="0.25">
      <c r="A703" s="32" t="s">
        <v>1823</v>
      </c>
      <c r="B703" s="33" t="s">
        <v>1804</v>
      </c>
      <c r="C703" s="34"/>
      <c r="D703" s="34"/>
      <c r="E703" s="34"/>
      <c r="F703" s="38">
        <v>0</v>
      </c>
      <c r="G703" s="38">
        <v>0</v>
      </c>
      <c r="H703" s="38">
        <v>0</v>
      </c>
      <c r="I703" s="38">
        <v>0</v>
      </c>
      <c r="J703" s="38">
        <v>0</v>
      </c>
      <c r="K703" s="38">
        <v>0</v>
      </c>
      <c r="L703" s="38">
        <v>0</v>
      </c>
      <c r="M703" s="38">
        <v>0</v>
      </c>
      <c r="N703" s="38">
        <v>0</v>
      </c>
      <c r="O703" s="38">
        <v>0</v>
      </c>
      <c r="P703" s="34"/>
      <c r="Q703" s="36"/>
      <c r="R703" s="37"/>
    </row>
    <row r="704" spans="1:18" ht="46.5" x14ac:dyDescent="0.25">
      <c r="A704" s="32" t="s">
        <v>1824</v>
      </c>
      <c r="B704" s="33" t="s">
        <v>1825</v>
      </c>
      <c r="C704" s="34" t="s">
        <v>819</v>
      </c>
      <c r="D704" s="34" t="s">
        <v>820</v>
      </c>
      <c r="E704" s="34" t="s">
        <v>41</v>
      </c>
      <c r="F704" s="35">
        <f>SUM(F705:F705)+8202.64</f>
        <v>8202.64</v>
      </c>
      <c r="G704" s="35">
        <f>SUM(G705:G705)</f>
        <v>0</v>
      </c>
      <c r="H704" s="35">
        <f>SUM(H705:H705)+8202.64</f>
        <v>8202.64</v>
      </c>
      <c r="I704" s="35">
        <f t="shared" ref="I704:O704" si="334">SUM(I705:I705)</f>
        <v>0</v>
      </c>
      <c r="J704" s="35">
        <f t="shared" si="334"/>
        <v>0</v>
      </c>
      <c r="K704" s="35">
        <f t="shared" si="334"/>
        <v>0</v>
      </c>
      <c r="L704" s="35">
        <f t="shared" si="334"/>
        <v>0</v>
      </c>
      <c r="M704" s="35">
        <f t="shared" si="334"/>
        <v>0</v>
      </c>
      <c r="N704" s="35">
        <f t="shared" si="334"/>
        <v>0</v>
      </c>
      <c r="O704" s="35">
        <f t="shared" si="334"/>
        <v>0</v>
      </c>
      <c r="P704" s="34" t="s">
        <v>1802</v>
      </c>
      <c r="Q704" s="36" t="s">
        <v>36</v>
      </c>
      <c r="R704" s="37" t="s">
        <v>48</v>
      </c>
    </row>
    <row r="705" spans="1:18" ht="69.75" x14ac:dyDescent="0.25">
      <c r="A705" s="32" t="s">
        <v>1826</v>
      </c>
      <c r="B705" s="33" t="s">
        <v>1804</v>
      </c>
      <c r="C705" s="34"/>
      <c r="D705" s="34"/>
      <c r="E705" s="34"/>
      <c r="F705" s="38">
        <v>0</v>
      </c>
      <c r="G705" s="38">
        <v>0</v>
      </c>
      <c r="H705" s="38">
        <v>0</v>
      </c>
      <c r="I705" s="38">
        <v>0</v>
      </c>
      <c r="J705" s="38">
        <v>0</v>
      </c>
      <c r="K705" s="38">
        <v>0</v>
      </c>
      <c r="L705" s="38">
        <v>0</v>
      </c>
      <c r="M705" s="38">
        <v>0</v>
      </c>
      <c r="N705" s="38">
        <v>0</v>
      </c>
      <c r="O705" s="38">
        <v>0</v>
      </c>
      <c r="P705" s="34"/>
      <c r="Q705" s="36"/>
      <c r="R705" s="37"/>
    </row>
    <row r="706" spans="1:18" ht="46.5" x14ac:dyDescent="0.25">
      <c r="A706" s="32" t="s">
        <v>1827</v>
      </c>
      <c r="B706" s="33" t="s">
        <v>1828</v>
      </c>
      <c r="C706" s="34" t="s">
        <v>825</v>
      </c>
      <c r="D706" s="34" t="s">
        <v>826</v>
      </c>
      <c r="E706" s="34" t="s">
        <v>41</v>
      </c>
      <c r="F706" s="35">
        <f>SUM(F707:F707)+7262.26</f>
        <v>7262.26</v>
      </c>
      <c r="G706" s="35">
        <f>SUM(G707:G707)</f>
        <v>0</v>
      </c>
      <c r="H706" s="35">
        <f>SUM(H707:H707)+7262.26</f>
        <v>7262.26</v>
      </c>
      <c r="I706" s="35">
        <f t="shared" ref="I706:O706" si="335">SUM(I707:I707)</f>
        <v>0</v>
      </c>
      <c r="J706" s="35">
        <f t="shared" si="335"/>
        <v>0</v>
      </c>
      <c r="K706" s="35">
        <f t="shared" si="335"/>
        <v>0</v>
      </c>
      <c r="L706" s="35">
        <f t="shared" si="335"/>
        <v>0</v>
      </c>
      <c r="M706" s="35">
        <f t="shared" si="335"/>
        <v>0</v>
      </c>
      <c r="N706" s="35">
        <f t="shared" si="335"/>
        <v>0</v>
      </c>
      <c r="O706" s="35">
        <f t="shared" si="335"/>
        <v>0</v>
      </c>
      <c r="P706" s="34" t="s">
        <v>1802</v>
      </c>
      <c r="Q706" s="36" t="s">
        <v>36</v>
      </c>
      <c r="R706" s="37" t="s">
        <v>37</v>
      </c>
    </row>
    <row r="707" spans="1:18" ht="69.75" x14ac:dyDescent="0.25">
      <c r="A707" s="32" t="s">
        <v>1829</v>
      </c>
      <c r="B707" s="33" t="s">
        <v>1804</v>
      </c>
      <c r="C707" s="34"/>
      <c r="D707" s="34"/>
      <c r="E707" s="34"/>
      <c r="F707" s="38">
        <v>0</v>
      </c>
      <c r="G707" s="38">
        <v>0</v>
      </c>
      <c r="H707" s="38">
        <v>0</v>
      </c>
      <c r="I707" s="38">
        <v>0</v>
      </c>
      <c r="J707" s="38">
        <v>0</v>
      </c>
      <c r="K707" s="38">
        <v>0</v>
      </c>
      <c r="L707" s="38">
        <v>0</v>
      </c>
      <c r="M707" s="38">
        <v>0</v>
      </c>
      <c r="N707" s="38">
        <v>0</v>
      </c>
      <c r="O707" s="38">
        <v>0</v>
      </c>
      <c r="P707" s="34"/>
      <c r="Q707" s="36"/>
      <c r="R707" s="37"/>
    </row>
    <row r="708" spans="1:18" ht="46.5" x14ac:dyDescent="0.25">
      <c r="A708" s="32" t="s">
        <v>1830</v>
      </c>
      <c r="B708" s="33" t="s">
        <v>1831</v>
      </c>
      <c r="C708" s="34" t="s">
        <v>831</v>
      </c>
      <c r="D708" s="34" t="s">
        <v>832</v>
      </c>
      <c r="E708" s="34" t="s">
        <v>41</v>
      </c>
      <c r="F708" s="35">
        <f>SUM(F709:F709)+1601.82</f>
        <v>1601.82</v>
      </c>
      <c r="G708" s="35">
        <f>SUM(G709:G709)</f>
        <v>0</v>
      </c>
      <c r="H708" s="35">
        <f>SUM(H709:H709)+1601.82</f>
        <v>1601.82</v>
      </c>
      <c r="I708" s="35">
        <f t="shared" ref="I708:O708" si="336">SUM(I709:I709)</f>
        <v>0</v>
      </c>
      <c r="J708" s="35">
        <f t="shared" si="336"/>
        <v>0</v>
      </c>
      <c r="K708" s="35">
        <f t="shared" si="336"/>
        <v>0</v>
      </c>
      <c r="L708" s="35">
        <f t="shared" si="336"/>
        <v>0</v>
      </c>
      <c r="M708" s="35">
        <f t="shared" si="336"/>
        <v>0</v>
      </c>
      <c r="N708" s="35">
        <f t="shared" si="336"/>
        <v>0</v>
      </c>
      <c r="O708" s="35">
        <f t="shared" si="336"/>
        <v>0</v>
      </c>
      <c r="P708" s="34" t="s">
        <v>1802</v>
      </c>
      <c r="Q708" s="36" t="s">
        <v>36</v>
      </c>
      <c r="R708" s="37" t="s">
        <v>48</v>
      </c>
    </row>
    <row r="709" spans="1:18" ht="69.75" x14ac:dyDescent="0.25">
      <c r="A709" s="32" t="s">
        <v>1832</v>
      </c>
      <c r="B709" s="33" t="s">
        <v>1804</v>
      </c>
      <c r="C709" s="34"/>
      <c r="D709" s="34"/>
      <c r="E709" s="34"/>
      <c r="F709" s="38">
        <v>0</v>
      </c>
      <c r="G709" s="38">
        <v>0</v>
      </c>
      <c r="H709" s="38">
        <v>0</v>
      </c>
      <c r="I709" s="38">
        <v>0</v>
      </c>
      <c r="J709" s="38">
        <v>0</v>
      </c>
      <c r="K709" s="38">
        <v>0</v>
      </c>
      <c r="L709" s="38">
        <v>0</v>
      </c>
      <c r="M709" s="38">
        <v>0</v>
      </c>
      <c r="N709" s="38">
        <v>0</v>
      </c>
      <c r="O709" s="38">
        <v>0</v>
      </c>
      <c r="P709" s="34"/>
      <c r="Q709" s="36"/>
      <c r="R709" s="37"/>
    </row>
    <row r="710" spans="1:18" ht="69.75" x14ac:dyDescent="0.25">
      <c r="A710" s="32" t="s">
        <v>1833</v>
      </c>
      <c r="B710" s="33" t="s">
        <v>1834</v>
      </c>
      <c r="C710" s="34" t="s">
        <v>892</v>
      </c>
      <c r="D710" s="34" t="s">
        <v>913</v>
      </c>
      <c r="E710" s="34"/>
      <c r="F710" s="35">
        <f t="shared" ref="F710:O710" si="337">SUM(F711:F711)</f>
        <v>0</v>
      </c>
      <c r="G710" s="35">
        <f t="shared" si="337"/>
        <v>0</v>
      </c>
      <c r="H710" s="35">
        <f t="shared" si="337"/>
        <v>0</v>
      </c>
      <c r="I710" s="35">
        <f t="shared" si="337"/>
        <v>0</v>
      </c>
      <c r="J710" s="35">
        <f t="shared" si="337"/>
        <v>0</v>
      </c>
      <c r="K710" s="35">
        <f t="shared" si="337"/>
        <v>0</v>
      </c>
      <c r="L710" s="35">
        <f t="shared" si="337"/>
        <v>0</v>
      </c>
      <c r="M710" s="35">
        <f t="shared" si="337"/>
        <v>0</v>
      </c>
      <c r="N710" s="35">
        <f t="shared" si="337"/>
        <v>0</v>
      </c>
      <c r="O710" s="35">
        <f t="shared" si="337"/>
        <v>0</v>
      </c>
      <c r="P710" s="34" t="s">
        <v>1835</v>
      </c>
      <c r="Q710" s="36" t="s">
        <v>36</v>
      </c>
      <c r="R710" s="37" t="s">
        <v>37</v>
      </c>
    </row>
    <row r="711" spans="1:18" ht="69.75" x14ac:dyDescent="0.25">
      <c r="A711" s="32" t="s">
        <v>1836</v>
      </c>
      <c r="B711" s="33" t="s">
        <v>1837</v>
      </c>
      <c r="C711" s="34"/>
      <c r="D711" s="34"/>
      <c r="E711" s="34"/>
      <c r="F711" s="38">
        <v>0</v>
      </c>
      <c r="G711" s="38">
        <v>0</v>
      </c>
      <c r="H711" s="38">
        <v>0</v>
      </c>
      <c r="I711" s="38">
        <v>0</v>
      </c>
      <c r="J711" s="38">
        <v>0</v>
      </c>
      <c r="K711" s="38">
        <v>0</v>
      </c>
      <c r="L711" s="38">
        <v>0</v>
      </c>
      <c r="M711" s="38">
        <v>0</v>
      </c>
      <c r="N711" s="38">
        <v>0</v>
      </c>
      <c r="O711" s="38">
        <v>0</v>
      </c>
      <c r="P711" s="34"/>
      <c r="Q711" s="36"/>
      <c r="R711" s="37"/>
    </row>
    <row r="712" spans="1:18" ht="45" x14ac:dyDescent="0.25">
      <c r="A712" s="20" t="s">
        <v>1838</v>
      </c>
      <c r="B712" s="21" t="s">
        <v>1839</v>
      </c>
      <c r="C712" s="22" t="s">
        <v>1840</v>
      </c>
      <c r="D712" s="22" t="s">
        <v>1841</v>
      </c>
      <c r="E712" s="22"/>
      <c r="F712" s="23">
        <f t="shared" ref="F712:O712" si="338">SUM(F713:F713)</f>
        <v>2500</v>
      </c>
      <c r="G712" s="23">
        <f t="shared" si="338"/>
        <v>2500</v>
      </c>
      <c r="H712" s="23">
        <f t="shared" si="338"/>
        <v>0</v>
      </c>
      <c r="I712" s="23">
        <f t="shared" si="338"/>
        <v>0</v>
      </c>
      <c r="J712" s="23">
        <f t="shared" si="338"/>
        <v>0</v>
      </c>
      <c r="K712" s="23">
        <f t="shared" si="338"/>
        <v>0</v>
      </c>
      <c r="L712" s="23">
        <f t="shared" si="338"/>
        <v>0</v>
      </c>
      <c r="M712" s="23">
        <f t="shared" si="338"/>
        <v>0</v>
      </c>
      <c r="N712" s="23">
        <f t="shared" si="338"/>
        <v>0</v>
      </c>
      <c r="O712" s="23">
        <f t="shared" si="338"/>
        <v>0</v>
      </c>
      <c r="P712" s="22" t="s">
        <v>1842</v>
      </c>
      <c r="Q712" s="24" t="s">
        <v>30</v>
      </c>
      <c r="R712" s="25" t="s">
        <v>135</v>
      </c>
    </row>
    <row r="713" spans="1:18" ht="45" x14ac:dyDescent="0.25">
      <c r="A713" s="26" t="s">
        <v>1843</v>
      </c>
      <c r="B713" s="27" t="s">
        <v>1844</v>
      </c>
      <c r="C713" s="28" t="s">
        <v>1008</v>
      </c>
      <c r="D713" s="28" t="s">
        <v>1009</v>
      </c>
      <c r="E713" s="28" t="s">
        <v>34</v>
      </c>
      <c r="F713" s="29">
        <f t="shared" ref="F713:O713" si="339">F714+F716+F718</f>
        <v>2500</v>
      </c>
      <c r="G713" s="29">
        <f t="shared" si="339"/>
        <v>2500</v>
      </c>
      <c r="H713" s="29">
        <f t="shared" si="339"/>
        <v>0</v>
      </c>
      <c r="I713" s="29">
        <f t="shared" si="339"/>
        <v>0</v>
      </c>
      <c r="J713" s="29">
        <f t="shared" si="339"/>
        <v>0</v>
      </c>
      <c r="K713" s="29">
        <f t="shared" si="339"/>
        <v>0</v>
      </c>
      <c r="L713" s="29">
        <f t="shared" si="339"/>
        <v>0</v>
      </c>
      <c r="M713" s="29">
        <f t="shared" si="339"/>
        <v>0</v>
      </c>
      <c r="N713" s="29">
        <f t="shared" si="339"/>
        <v>0</v>
      </c>
      <c r="O713" s="29">
        <f t="shared" si="339"/>
        <v>0</v>
      </c>
      <c r="P713" s="28" t="s">
        <v>1845</v>
      </c>
      <c r="Q713" s="30" t="s">
        <v>36</v>
      </c>
      <c r="R713" s="31" t="s">
        <v>62</v>
      </c>
    </row>
    <row r="714" spans="1:18" ht="46.5" x14ac:dyDescent="0.25">
      <c r="A714" s="32" t="s">
        <v>1846</v>
      </c>
      <c r="B714" s="33" t="s">
        <v>1847</v>
      </c>
      <c r="C714" s="34" t="s">
        <v>193</v>
      </c>
      <c r="D714" s="34" t="s">
        <v>194</v>
      </c>
      <c r="E714" s="34"/>
      <c r="F714" s="35">
        <f>SUM(F715:F715)+500</f>
        <v>500</v>
      </c>
      <c r="G714" s="35">
        <f>SUM(G715:G715)+500</f>
        <v>500</v>
      </c>
      <c r="H714" s="35">
        <f t="shared" ref="H714:O714" si="340">SUM(H715:H715)</f>
        <v>0</v>
      </c>
      <c r="I714" s="35">
        <f t="shared" si="340"/>
        <v>0</v>
      </c>
      <c r="J714" s="35">
        <f t="shared" si="340"/>
        <v>0</v>
      </c>
      <c r="K714" s="35">
        <f t="shared" si="340"/>
        <v>0</v>
      </c>
      <c r="L714" s="35">
        <f t="shared" si="340"/>
        <v>0</v>
      </c>
      <c r="M714" s="35">
        <f t="shared" si="340"/>
        <v>0</v>
      </c>
      <c r="N714" s="35">
        <f t="shared" si="340"/>
        <v>0</v>
      </c>
      <c r="O714" s="35">
        <f t="shared" si="340"/>
        <v>0</v>
      </c>
      <c r="P714" s="34" t="s">
        <v>1848</v>
      </c>
      <c r="Q714" s="36" t="s">
        <v>36</v>
      </c>
      <c r="R714" s="37" t="s">
        <v>48</v>
      </c>
    </row>
    <row r="715" spans="1:18" ht="46.5" x14ac:dyDescent="0.25">
      <c r="A715" s="32" t="s">
        <v>1849</v>
      </c>
      <c r="B715" s="33" t="s">
        <v>1850</v>
      </c>
      <c r="C715" s="34"/>
      <c r="D715" s="34"/>
      <c r="E715" s="34"/>
      <c r="F715" s="38">
        <v>0</v>
      </c>
      <c r="G715" s="38">
        <v>0</v>
      </c>
      <c r="H715" s="38">
        <v>0</v>
      </c>
      <c r="I715" s="38">
        <v>0</v>
      </c>
      <c r="J715" s="38">
        <v>0</v>
      </c>
      <c r="K715" s="38">
        <v>0</v>
      </c>
      <c r="L715" s="38">
        <v>0</v>
      </c>
      <c r="M715" s="38">
        <v>0</v>
      </c>
      <c r="N715" s="38">
        <v>0</v>
      </c>
      <c r="O715" s="38">
        <v>0</v>
      </c>
      <c r="P715" s="34"/>
      <c r="Q715" s="36"/>
      <c r="R715" s="37"/>
    </row>
    <row r="716" spans="1:18" ht="46.5" x14ac:dyDescent="0.25">
      <c r="A716" s="32" t="s">
        <v>1851</v>
      </c>
      <c r="B716" s="33" t="s">
        <v>1852</v>
      </c>
      <c r="C716" s="34" t="s">
        <v>193</v>
      </c>
      <c r="D716" s="34" t="s">
        <v>194</v>
      </c>
      <c r="E716" s="34" t="s">
        <v>41</v>
      </c>
      <c r="F716" s="35">
        <f>SUM(F717:F717)+2000</f>
        <v>2000</v>
      </c>
      <c r="G716" s="35">
        <f>SUM(G717:G717)+2000</f>
        <v>2000</v>
      </c>
      <c r="H716" s="35">
        <f t="shared" ref="H716:O716" si="341">SUM(H717:H717)</f>
        <v>0</v>
      </c>
      <c r="I716" s="35">
        <f t="shared" si="341"/>
        <v>0</v>
      </c>
      <c r="J716" s="35">
        <f t="shared" si="341"/>
        <v>0</v>
      </c>
      <c r="K716" s="35">
        <f t="shared" si="341"/>
        <v>0</v>
      </c>
      <c r="L716" s="35">
        <f t="shared" si="341"/>
        <v>0</v>
      </c>
      <c r="M716" s="35">
        <f t="shared" si="341"/>
        <v>0</v>
      </c>
      <c r="N716" s="35">
        <f t="shared" si="341"/>
        <v>0</v>
      </c>
      <c r="O716" s="35">
        <f t="shared" si="341"/>
        <v>0</v>
      </c>
      <c r="P716" s="34" t="s">
        <v>1853</v>
      </c>
      <c r="Q716" s="36" t="s">
        <v>36</v>
      </c>
      <c r="R716" s="37" t="s">
        <v>48</v>
      </c>
    </row>
    <row r="717" spans="1:18" ht="46.5" x14ac:dyDescent="0.25">
      <c r="A717" s="32" t="s">
        <v>1854</v>
      </c>
      <c r="B717" s="33" t="s">
        <v>1855</v>
      </c>
      <c r="C717" s="34"/>
      <c r="D717" s="34"/>
      <c r="E717" s="34"/>
      <c r="F717" s="38">
        <v>0</v>
      </c>
      <c r="G717" s="38">
        <v>0</v>
      </c>
      <c r="H717" s="38">
        <v>0</v>
      </c>
      <c r="I717" s="38">
        <v>0</v>
      </c>
      <c r="J717" s="38">
        <v>0</v>
      </c>
      <c r="K717" s="38">
        <v>0</v>
      </c>
      <c r="L717" s="38">
        <v>0</v>
      </c>
      <c r="M717" s="38">
        <v>0</v>
      </c>
      <c r="N717" s="38">
        <v>0</v>
      </c>
      <c r="O717" s="38">
        <v>0</v>
      </c>
      <c r="P717" s="34"/>
      <c r="Q717" s="36"/>
      <c r="R717" s="37"/>
    </row>
    <row r="718" spans="1:18" ht="69.75" x14ac:dyDescent="0.25">
      <c r="A718" s="32" t="s">
        <v>1856</v>
      </c>
      <c r="B718" s="33" t="s">
        <v>1857</v>
      </c>
      <c r="C718" s="34" t="s">
        <v>1396</v>
      </c>
      <c r="D718" s="34" t="s">
        <v>1400</v>
      </c>
      <c r="E718" s="34" t="s">
        <v>41</v>
      </c>
      <c r="F718" s="35">
        <f t="shared" ref="F718:O718" si="342">SUM(F719:F719)</f>
        <v>0</v>
      </c>
      <c r="G718" s="35">
        <f t="shared" si="342"/>
        <v>0</v>
      </c>
      <c r="H718" s="35">
        <f t="shared" si="342"/>
        <v>0</v>
      </c>
      <c r="I718" s="35">
        <f t="shared" si="342"/>
        <v>0</v>
      </c>
      <c r="J718" s="35">
        <f t="shared" si="342"/>
        <v>0</v>
      </c>
      <c r="K718" s="35">
        <f t="shared" si="342"/>
        <v>0</v>
      </c>
      <c r="L718" s="35">
        <f t="shared" si="342"/>
        <v>0</v>
      </c>
      <c r="M718" s="35">
        <f t="shared" si="342"/>
        <v>0</v>
      </c>
      <c r="N718" s="35">
        <f t="shared" si="342"/>
        <v>0</v>
      </c>
      <c r="O718" s="35">
        <f t="shared" si="342"/>
        <v>0</v>
      </c>
      <c r="P718" s="34" t="s">
        <v>1858</v>
      </c>
      <c r="Q718" s="36" t="s">
        <v>36</v>
      </c>
      <c r="R718" s="37" t="s">
        <v>48</v>
      </c>
    </row>
    <row r="719" spans="1:18" ht="46.5" x14ac:dyDescent="0.25">
      <c r="A719" s="32" t="s">
        <v>1859</v>
      </c>
      <c r="B719" s="33" t="s">
        <v>1860</v>
      </c>
      <c r="C719" s="34"/>
      <c r="D719" s="34"/>
      <c r="E719" s="34"/>
      <c r="F719" s="38">
        <v>0</v>
      </c>
      <c r="G719" s="38">
        <v>0</v>
      </c>
      <c r="H719" s="38">
        <v>0</v>
      </c>
      <c r="I719" s="38">
        <v>0</v>
      </c>
      <c r="J719" s="38">
        <v>0</v>
      </c>
      <c r="K719" s="38">
        <v>0</v>
      </c>
      <c r="L719" s="38">
        <v>0</v>
      </c>
      <c r="M719" s="38">
        <v>0</v>
      </c>
      <c r="N719" s="38">
        <v>0</v>
      </c>
      <c r="O719" s="38">
        <v>0</v>
      </c>
      <c r="P719" s="34"/>
      <c r="Q719" s="36"/>
      <c r="R719" s="37"/>
    </row>
    <row r="720" spans="1:18" ht="45" x14ac:dyDescent="0.25">
      <c r="A720" s="20" t="s">
        <v>1861</v>
      </c>
      <c r="B720" s="21" t="s">
        <v>1862</v>
      </c>
      <c r="C720" s="22" t="s">
        <v>1396</v>
      </c>
      <c r="D720" s="22" t="s">
        <v>1400</v>
      </c>
      <c r="E720" s="22"/>
      <c r="F720" s="23">
        <f t="shared" ref="F720:O720" si="343">SUM(F721:F721)</f>
        <v>117460</v>
      </c>
      <c r="G720" s="23">
        <f t="shared" si="343"/>
        <v>58730</v>
      </c>
      <c r="H720" s="23">
        <f t="shared" si="343"/>
        <v>0</v>
      </c>
      <c r="I720" s="23">
        <f t="shared" si="343"/>
        <v>0</v>
      </c>
      <c r="J720" s="23">
        <f t="shared" si="343"/>
        <v>58730</v>
      </c>
      <c r="K720" s="23">
        <f t="shared" si="343"/>
        <v>0</v>
      </c>
      <c r="L720" s="23">
        <f t="shared" si="343"/>
        <v>0</v>
      </c>
      <c r="M720" s="23">
        <f t="shared" si="343"/>
        <v>0</v>
      </c>
      <c r="N720" s="23">
        <f t="shared" si="343"/>
        <v>0</v>
      </c>
      <c r="O720" s="23">
        <f t="shared" si="343"/>
        <v>0</v>
      </c>
      <c r="P720" s="22" t="s">
        <v>1863</v>
      </c>
      <c r="Q720" s="24" t="s">
        <v>36</v>
      </c>
      <c r="R720" s="25" t="s">
        <v>1864</v>
      </c>
    </row>
    <row r="721" spans="1:18" ht="45" x14ac:dyDescent="0.25">
      <c r="A721" s="26" t="s">
        <v>1865</v>
      </c>
      <c r="B721" s="27" t="s">
        <v>1866</v>
      </c>
      <c r="C721" s="28" t="s">
        <v>1396</v>
      </c>
      <c r="D721" s="28" t="s">
        <v>1400</v>
      </c>
      <c r="E721" s="28" t="s">
        <v>34</v>
      </c>
      <c r="F721" s="29">
        <f t="shared" ref="F721:O721" si="344">F722+F724+F726+F728+F730+F732+F734+F736+F738+F740+F742+F744+F746+F748</f>
        <v>117460</v>
      </c>
      <c r="G721" s="29">
        <f t="shared" si="344"/>
        <v>58730</v>
      </c>
      <c r="H721" s="29">
        <f t="shared" si="344"/>
        <v>0</v>
      </c>
      <c r="I721" s="29">
        <f t="shared" si="344"/>
        <v>0</v>
      </c>
      <c r="J721" s="29">
        <f t="shared" si="344"/>
        <v>58730</v>
      </c>
      <c r="K721" s="29">
        <f t="shared" si="344"/>
        <v>0</v>
      </c>
      <c r="L721" s="29">
        <f t="shared" si="344"/>
        <v>0</v>
      </c>
      <c r="M721" s="29">
        <f t="shared" si="344"/>
        <v>0</v>
      </c>
      <c r="N721" s="29">
        <f t="shared" si="344"/>
        <v>0</v>
      </c>
      <c r="O721" s="29">
        <f t="shared" si="344"/>
        <v>0</v>
      </c>
      <c r="P721" s="28" t="s">
        <v>1867</v>
      </c>
      <c r="Q721" s="30" t="s">
        <v>36</v>
      </c>
      <c r="R721" s="31" t="s">
        <v>1864</v>
      </c>
    </row>
    <row r="722" spans="1:18" ht="69.75" x14ac:dyDescent="0.25">
      <c r="A722" s="32" t="s">
        <v>1868</v>
      </c>
      <c r="B722" s="33" t="s">
        <v>1869</v>
      </c>
      <c r="C722" s="34" t="s">
        <v>1396</v>
      </c>
      <c r="D722" s="34" t="s">
        <v>1488</v>
      </c>
      <c r="E722" s="34" t="s">
        <v>41</v>
      </c>
      <c r="F722" s="35">
        <f>SUM(F723:F723)+8100</f>
        <v>8100</v>
      </c>
      <c r="G722" s="35">
        <f>SUM(G723:G723)+4050</f>
        <v>4050</v>
      </c>
      <c r="H722" s="35">
        <f>SUM(H723:H723)</f>
        <v>0</v>
      </c>
      <c r="I722" s="35">
        <f>SUM(I723:I723)</f>
        <v>0</v>
      </c>
      <c r="J722" s="35">
        <f>SUM(J723:J723)+4050</f>
        <v>4050</v>
      </c>
      <c r="K722" s="35">
        <f>SUM(K723:K723)</f>
        <v>0</v>
      </c>
      <c r="L722" s="35">
        <f>SUM(L723:L723)</f>
        <v>0</v>
      </c>
      <c r="M722" s="35">
        <f>SUM(M723:M723)</f>
        <v>0</v>
      </c>
      <c r="N722" s="35">
        <f>SUM(N723:N723)</f>
        <v>0</v>
      </c>
      <c r="O722" s="35">
        <f>SUM(O723:O723)</f>
        <v>0</v>
      </c>
      <c r="P722" s="34" t="s">
        <v>1867</v>
      </c>
      <c r="Q722" s="36" t="s">
        <v>36</v>
      </c>
      <c r="R722" s="37" t="s">
        <v>37</v>
      </c>
    </row>
    <row r="723" spans="1:18" ht="69.75" x14ac:dyDescent="0.25">
      <c r="A723" s="32" t="s">
        <v>1870</v>
      </c>
      <c r="B723" s="33" t="s">
        <v>1871</v>
      </c>
      <c r="C723" s="34"/>
      <c r="D723" s="34"/>
      <c r="E723" s="34"/>
      <c r="F723" s="38">
        <v>0</v>
      </c>
      <c r="G723" s="38">
        <v>0</v>
      </c>
      <c r="H723" s="38">
        <v>0</v>
      </c>
      <c r="I723" s="38">
        <v>0</v>
      </c>
      <c r="J723" s="38">
        <v>0</v>
      </c>
      <c r="K723" s="38">
        <v>0</v>
      </c>
      <c r="L723" s="38">
        <v>0</v>
      </c>
      <c r="M723" s="38">
        <v>0</v>
      </c>
      <c r="N723" s="38">
        <v>0</v>
      </c>
      <c r="O723" s="38">
        <v>0</v>
      </c>
      <c r="P723" s="34"/>
      <c r="Q723" s="36"/>
      <c r="R723" s="37"/>
    </row>
    <row r="724" spans="1:18" ht="69.75" x14ac:dyDescent="0.25">
      <c r="A724" s="32" t="s">
        <v>1872</v>
      </c>
      <c r="B724" s="33" t="s">
        <v>1873</v>
      </c>
      <c r="C724" s="34" t="s">
        <v>1396</v>
      </c>
      <c r="D724" s="34" t="s">
        <v>1488</v>
      </c>
      <c r="E724" s="34" t="s">
        <v>41</v>
      </c>
      <c r="F724" s="35">
        <f>SUM(F725:F725)+16200</f>
        <v>16200</v>
      </c>
      <c r="G724" s="35">
        <f>SUM(G725:G725)+8100</f>
        <v>8100</v>
      </c>
      <c r="H724" s="35">
        <f>SUM(H725:H725)</f>
        <v>0</v>
      </c>
      <c r="I724" s="35">
        <f>SUM(I725:I725)</f>
        <v>0</v>
      </c>
      <c r="J724" s="35">
        <f>SUM(J725:J725)+8100</f>
        <v>8100</v>
      </c>
      <c r="K724" s="35">
        <f>SUM(K725:K725)</f>
        <v>0</v>
      </c>
      <c r="L724" s="35">
        <f>SUM(L725:L725)</f>
        <v>0</v>
      </c>
      <c r="M724" s="35">
        <f>SUM(M725:M725)</f>
        <v>0</v>
      </c>
      <c r="N724" s="35">
        <f>SUM(N725:N725)</f>
        <v>0</v>
      </c>
      <c r="O724" s="35">
        <f>SUM(O725:O725)</f>
        <v>0</v>
      </c>
      <c r="P724" s="34" t="s">
        <v>1867</v>
      </c>
      <c r="Q724" s="36" t="s">
        <v>36</v>
      </c>
      <c r="R724" s="37" t="s">
        <v>62</v>
      </c>
    </row>
    <row r="725" spans="1:18" ht="69.75" x14ac:dyDescent="0.25">
      <c r="A725" s="32" t="s">
        <v>1874</v>
      </c>
      <c r="B725" s="33" t="s">
        <v>1871</v>
      </c>
      <c r="C725" s="34"/>
      <c r="D725" s="34"/>
      <c r="E725" s="34"/>
      <c r="F725" s="38">
        <v>0</v>
      </c>
      <c r="G725" s="38">
        <v>0</v>
      </c>
      <c r="H725" s="38">
        <v>0</v>
      </c>
      <c r="I725" s="38">
        <v>0</v>
      </c>
      <c r="J725" s="38">
        <v>0</v>
      </c>
      <c r="K725" s="38">
        <v>0</v>
      </c>
      <c r="L725" s="38">
        <v>0</v>
      </c>
      <c r="M725" s="38">
        <v>0</v>
      </c>
      <c r="N725" s="38">
        <v>0</v>
      </c>
      <c r="O725" s="38">
        <v>0</v>
      </c>
      <c r="P725" s="34"/>
      <c r="Q725" s="36"/>
      <c r="R725" s="37"/>
    </row>
    <row r="726" spans="1:18" ht="69.75" x14ac:dyDescent="0.25">
      <c r="A726" s="32" t="s">
        <v>1875</v>
      </c>
      <c r="B726" s="33" t="s">
        <v>1876</v>
      </c>
      <c r="C726" s="34" t="s">
        <v>1396</v>
      </c>
      <c r="D726" s="34" t="s">
        <v>1488</v>
      </c>
      <c r="E726" s="34" t="s">
        <v>41</v>
      </c>
      <c r="F726" s="35">
        <f>SUM(F727:F727)+8100</f>
        <v>8100</v>
      </c>
      <c r="G726" s="35">
        <f>SUM(G727:G727)+4050</f>
        <v>4050</v>
      </c>
      <c r="H726" s="35">
        <f>SUM(H727:H727)</f>
        <v>0</v>
      </c>
      <c r="I726" s="35">
        <f>SUM(I727:I727)</f>
        <v>0</v>
      </c>
      <c r="J726" s="35">
        <f>SUM(J727:J727)+4050</f>
        <v>4050</v>
      </c>
      <c r="K726" s="35">
        <f>SUM(K727:K727)</f>
        <v>0</v>
      </c>
      <c r="L726" s="35">
        <f>SUM(L727:L727)</f>
        <v>0</v>
      </c>
      <c r="M726" s="35">
        <f>SUM(M727:M727)</f>
        <v>0</v>
      </c>
      <c r="N726" s="35">
        <f>SUM(N727:N727)</f>
        <v>0</v>
      </c>
      <c r="O726" s="35">
        <f>SUM(O727:O727)</f>
        <v>0</v>
      </c>
      <c r="P726" s="34" t="s">
        <v>1867</v>
      </c>
      <c r="Q726" s="36" t="s">
        <v>36</v>
      </c>
      <c r="R726" s="37" t="s">
        <v>37</v>
      </c>
    </row>
    <row r="727" spans="1:18" ht="69.75" x14ac:dyDescent="0.25">
      <c r="A727" s="32" t="s">
        <v>1877</v>
      </c>
      <c r="B727" s="33" t="s">
        <v>1871</v>
      </c>
      <c r="C727" s="34"/>
      <c r="D727" s="34"/>
      <c r="E727" s="34"/>
      <c r="F727" s="38">
        <v>0</v>
      </c>
      <c r="G727" s="38">
        <v>0</v>
      </c>
      <c r="H727" s="38">
        <v>0</v>
      </c>
      <c r="I727" s="38">
        <v>0</v>
      </c>
      <c r="J727" s="38">
        <v>0</v>
      </c>
      <c r="K727" s="38">
        <v>0</v>
      </c>
      <c r="L727" s="38">
        <v>0</v>
      </c>
      <c r="M727" s="38">
        <v>0</v>
      </c>
      <c r="N727" s="38">
        <v>0</v>
      </c>
      <c r="O727" s="38">
        <v>0</v>
      </c>
      <c r="P727" s="34"/>
      <c r="Q727" s="36"/>
      <c r="R727" s="37"/>
    </row>
    <row r="728" spans="1:18" ht="69.75" x14ac:dyDescent="0.25">
      <c r="A728" s="32" t="s">
        <v>1878</v>
      </c>
      <c r="B728" s="33" t="s">
        <v>1879</v>
      </c>
      <c r="C728" s="34" t="s">
        <v>1396</v>
      </c>
      <c r="D728" s="34" t="s">
        <v>1488</v>
      </c>
      <c r="E728" s="34" t="s">
        <v>41</v>
      </c>
      <c r="F728" s="35">
        <f>SUM(F729:F729)+8100</f>
        <v>8100</v>
      </c>
      <c r="G728" s="35">
        <f>SUM(G729:G729)+4050</f>
        <v>4050</v>
      </c>
      <c r="H728" s="35">
        <f>SUM(H729:H729)</f>
        <v>0</v>
      </c>
      <c r="I728" s="35">
        <f>SUM(I729:I729)</f>
        <v>0</v>
      </c>
      <c r="J728" s="35">
        <f>SUM(J729:J729)+4050</f>
        <v>4050</v>
      </c>
      <c r="K728" s="35">
        <f>SUM(K729:K729)</f>
        <v>0</v>
      </c>
      <c r="L728" s="35">
        <f>SUM(L729:L729)</f>
        <v>0</v>
      </c>
      <c r="M728" s="35">
        <f>SUM(M729:M729)</f>
        <v>0</v>
      </c>
      <c r="N728" s="35">
        <f>SUM(N729:N729)</f>
        <v>0</v>
      </c>
      <c r="O728" s="35">
        <f>SUM(O729:O729)</f>
        <v>0</v>
      </c>
      <c r="P728" s="34" t="s">
        <v>1867</v>
      </c>
      <c r="Q728" s="36" t="s">
        <v>36</v>
      </c>
      <c r="R728" s="37" t="s">
        <v>37</v>
      </c>
    </row>
    <row r="729" spans="1:18" ht="69.75" x14ac:dyDescent="0.25">
      <c r="A729" s="32" t="s">
        <v>1880</v>
      </c>
      <c r="B729" s="33" t="s">
        <v>1871</v>
      </c>
      <c r="C729" s="34"/>
      <c r="D729" s="34"/>
      <c r="E729" s="34"/>
      <c r="F729" s="38">
        <v>0</v>
      </c>
      <c r="G729" s="38">
        <v>0</v>
      </c>
      <c r="H729" s="38">
        <v>0</v>
      </c>
      <c r="I729" s="38">
        <v>0</v>
      </c>
      <c r="J729" s="38">
        <v>0</v>
      </c>
      <c r="K729" s="38">
        <v>0</v>
      </c>
      <c r="L729" s="38">
        <v>0</v>
      </c>
      <c r="M729" s="38">
        <v>0</v>
      </c>
      <c r="N729" s="38">
        <v>0</v>
      </c>
      <c r="O729" s="38">
        <v>0</v>
      </c>
      <c r="P729" s="34"/>
      <c r="Q729" s="36"/>
      <c r="R729" s="37"/>
    </row>
    <row r="730" spans="1:18" ht="69.75" x14ac:dyDescent="0.25">
      <c r="A730" s="32" t="s">
        <v>1881</v>
      </c>
      <c r="B730" s="33" t="s">
        <v>1882</v>
      </c>
      <c r="C730" s="34" t="s">
        <v>1396</v>
      </c>
      <c r="D730" s="34" t="s">
        <v>1488</v>
      </c>
      <c r="E730" s="34" t="s">
        <v>41</v>
      </c>
      <c r="F730" s="35">
        <f>SUM(F731:F731)+8100</f>
        <v>8100</v>
      </c>
      <c r="G730" s="35">
        <f>SUM(G731:G731)+4050</f>
        <v>4050</v>
      </c>
      <c r="H730" s="35">
        <f>SUM(H731:H731)</f>
        <v>0</v>
      </c>
      <c r="I730" s="35">
        <f>SUM(I731:I731)</f>
        <v>0</v>
      </c>
      <c r="J730" s="35">
        <f>SUM(J731:J731)+4050</f>
        <v>4050</v>
      </c>
      <c r="K730" s="35">
        <f>SUM(K731:K731)</f>
        <v>0</v>
      </c>
      <c r="L730" s="35">
        <f>SUM(L731:L731)</f>
        <v>0</v>
      </c>
      <c r="M730" s="35">
        <f>SUM(M731:M731)</f>
        <v>0</v>
      </c>
      <c r="N730" s="35">
        <f>SUM(N731:N731)</f>
        <v>0</v>
      </c>
      <c r="O730" s="35">
        <f>SUM(O731:O731)</f>
        <v>0</v>
      </c>
      <c r="P730" s="34" t="s">
        <v>1867</v>
      </c>
      <c r="Q730" s="36" t="s">
        <v>36</v>
      </c>
      <c r="R730" s="37" t="s">
        <v>37</v>
      </c>
    </row>
    <row r="731" spans="1:18" ht="69.75" x14ac:dyDescent="0.25">
      <c r="A731" s="32" t="s">
        <v>1883</v>
      </c>
      <c r="B731" s="33" t="s">
        <v>1871</v>
      </c>
      <c r="C731" s="34"/>
      <c r="D731" s="34"/>
      <c r="E731" s="34"/>
      <c r="F731" s="38">
        <v>0</v>
      </c>
      <c r="G731" s="38">
        <v>0</v>
      </c>
      <c r="H731" s="38">
        <v>0</v>
      </c>
      <c r="I731" s="38">
        <v>0</v>
      </c>
      <c r="J731" s="38">
        <v>0</v>
      </c>
      <c r="K731" s="38">
        <v>0</v>
      </c>
      <c r="L731" s="38">
        <v>0</v>
      </c>
      <c r="M731" s="38">
        <v>0</v>
      </c>
      <c r="N731" s="38">
        <v>0</v>
      </c>
      <c r="O731" s="38">
        <v>0</v>
      </c>
      <c r="P731" s="34"/>
      <c r="Q731" s="36"/>
      <c r="R731" s="37"/>
    </row>
    <row r="732" spans="1:18" ht="69.75" x14ac:dyDescent="0.25">
      <c r="A732" s="32" t="s">
        <v>1884</v>
      </c>
      <c r="B732" s="33" t="s">
        <v>1885</v>
      </c>
      <c r="C732" s="34" t="s">
        <v>1396</v>
      </c>
      <c r="D732" s="34" t="s">
        <v>1488</v>
      </c>
      <c r="E732" s="34" t="s">
        <v>41</v>
      </c>
      <c r="F732" s="35">
        <f>SUM(F733:F733)+8100</f>
        <v>8100</v>
      </c>
      <c r="G732" s="35">
        <f>SUM(G733:G733)+4050</f>
        <v>4050</v>
      </c>
      <c r="H732" s="35">
        <f>SUM(H733:H733)</f>
        <v>0</v>
      </c>
      <c r="I732" s="35">
        <f>SUM(I733:I733)</f>
        <v>0</v>
      </c>
      <c r="J732" s="35">
        <f>SUM(J733:J733)+4050</f>
        <v>4050</v>
      </c>
      <c r="K732" s="35">
        <f>SUM(K733:K733)</f>
        <v>0</v>
      </c>
      <c r="L732" s="35">
        <f>SUM(L733:L733)</f>
        <v>0</v>
      </c>
      <c r="M732" s="35">
        <f>SUM(M733:M733)</f>
        <v>0</v>
      </c>
      <c r="N732" s="35">
        <f>SUM(N733:N733)</f>
        <v>0</v>
      </c>
      <c r="O732" s="35">
        <f>SUM(O733:O733)</f>
        <v>0</v>
      </c>
      <c r="P732" s="34" t="s">
        <v>1867</v>
      </c>
      <c r="Q732" s="36" t="s">
        <v>36</v>
      </c>
      <c r="R732" s="37" t="s">
        <v>37</v>
      </c>
    </row>
    <row r="733" spans="1:18" ht="69.75" x14ac:dyDescent="0.25">
      <c r="A733" s="32" t="s">
        <v>1886</v>
      </c>
      <c r="B733" s="33" t="s">
        <v>1871</v>
      </c>
      <c r="C733" s="34"/>
      <c r="D733" s="34"/>
      <c r="E733" s="34"/>
      <c r="F733" s="38">
        <v>0</v>
      </c>
      <c r="G733" s="38">
        <v>0</v>
      </c>
      <c r="H733" s="38">
        <v>0</v>
      </c>
      <c r="I733" s="38">
        <v>0</v>
      </c>
      <c r="J733" s="38">
        <v>0</v>
      </c>
      <c r="K733" s="38">
        <v>0</v>
      </c>
      <c r="L733" s="38">
        <v>0</v>
      </c>
      <c r="M733" s="38">
        <v>0</v>
      </c>
      <c r="N733" s="38">
        <v>0</v>
      </c>
      <c r="O733" s="38">
        <v>0</v>
      </c>
      <c r="P733" s="34"/>
      <c r="Q733" s="36"/>
      <c r="R733" s="37"/>
    </row>
    <row r="734" spans="1:18" ht="69.75" x14ac:dyDescent="0.25">
      <c r="A734" s="32" t="s">
        <v>1887</v>
      </c>
      <c r="B734" s="33" t="s">
        <v>1888</v>
      </c>
      <c r="C734" s="34" t="s">
        <v>1396</v>
      </c>
      <c r="D734" s="34" t="s">
        <v>1488</v>
      </c>
      <c r="E734" s="34" t="s">
        <v>41</v>
      </c>
      <c r="F734" s="35">
        <f>SUM(F735:F735)+8100</f>
        <v>8100</v>
      </c>
      <c r="G734" s="35">
        <f>SUM(G735:G735)+4050</f>
        <v>4050</v>
      </c>
      <c r="H734" s="35">
        <f>SUM(H735:H735)</f>
        <v>0</v>
      </c>
      <c r="I734" s="35">
        <f>SUM(I735:I735)</f>
        <v>0</v>
      </c>
      <c r="J734" s="35">
        <f>SUM(J735:J735)+4050</f>
        <v>4050</v>
      </c>
      <c r="K734" s="35">
        <f>SUM(K735:K735)</f>
        <v>0</v>
      </c>
      <c r="L734" s="35">
        <f>SUM(L735:L735)</f>
        <v>0</v>
      </c>
      <c r="M734" s="35">
        <f>SUM(M735:M735)</f>
        <v>0</v>
      </c>
      <c r="N734" s="35">
        <f>SUM(N735:N735)</f>
        <v>0</v>
      </c>
      <c r="O734" s="35">
        <f>SUM(O735:O735)</f>
        <v>0</v>
      </c>
      <c r="P734" s="34" t="s">
        <v>1867</v>
      </c>
      <c r="Q734" s="36" t="s">
        <v>36</v>
      </c>
      <c r="R734" s="37" t="s">
        <v>37</v>
      </c>
    </row>
    <row r="735" spans="1:18" ht="69.75" x14ac:dyDescent="0.25">
      <c r="A735" s="32" t="s">
        <v>1889</v>
      </c>
      <c r="B735" s="33" t="s">
        <v>1871</v>
      </c>
      <c r="C735" s="34"/>
      <c r="D735" s="34"/>
      <c r="E735" s="34"/>
      <c r="F735" s="38">
        <v>0</v>
      </c>
      <c r="G735" s="38">
        <v>0</v>
      </c>
      <c r="H735" s="38">
        <v>0</v>
      </c>
      <c r="I735" s="38">
        <v>0</v>
      </c>
      <c r="J735" s="38">
        <v>0</v>
      </c>
      <c r="K735" s="38">
        <v>0</v>
      </c>
      <c r="L735" s="38">
        <v>0</v>
      </c>
      <c r="M735" s="38">
        <v>0</v>
      </c>
      <c r="N735" s="38">
        <v>0</v>
      </c>
      <c r="O735" s="38">
        <v>0</v>
      </c>
      <c r="P735" s="34"/>
      <c r="Q735" s="36"/>
      <c r="R735" s="37"/>
    </row>
    <row r="736" spans="1:18" ht="69.75" x14ac:dyDescent="0.25">
      <c r="A736" s="32" t="s">
        <v>1890</v>
      </c>
      <c r="B736" s="33" t="s">
        <v>1891</v>
      </c>
      <c r="C736" s="34" t="s">
        <v>1396</v>
      </c>
      <c r="D736" s="34" t="s">
        <v>1488</v>
      </c>
      <c r="E736" s="34" t="s">
        <v>41</v>
      </c>
      <c r="F736" s="35">
        <f>SUM(F737:F737)+8100</f>
        <v>8100</v>
      </c>
      <c r="G736" s="35">
        <f>SUM(G737:G737)+4050</f>
        <v>4050</v>
      </c>
      <c r="H736" s="35">
        <f>SUM(H737:H737)</f>
        <v>0</v>
      </c>
      <c r="I736" s="35">
        <f>SUM(I737:I737)</f>
        <v>0</v>
      </c>
      <c r="J736" s="35">
        <f>SUM(J737:J737)+4050</f>
        <v>4050</v>
      </c>
      <c r="K736" s="35">
        <f>SUM(K737:K737)</f>
        <v>0</v>
      </c>
      <c r="L736" s="35">
        <f>SUM(L737:L737)</f>
        <v>0</v>
      </c>
      <c r="M736" s="35">
        <f>SUM(M737:M737)</f>
        <v>0</v>
      </c>
      <c r="N736" s="35">
        <f>SUM(N737:N737)</f>
        <v>0</v>
      </c>
      <c r="O736" s="35">
        <f>SUM(O737:O737)</f>
        <v>0</v>
      </c>
      <c r="P736" s="34" t="s">
        <v>1867</v>
      </c>
      <c r="Q736" s="36" t="s">
        <v>36</v>
      </c>
      <c r="R736" s="37" t="s">
        <v>37</v>
      </c>
    </row>
    <row r="737" spans="1:18" ht="69.75" x14ac:dyDescent="0.25">
      <c r="A737" s="32" t="s">
        <v>1892</v>
      </c>
      <c r="B737" s="33" t="s">
        <v>1871</v>
      </c>
      <c r="C737" s="34"/>
      <c r="D737" s="34"/>
      <c r="E737" s="34"/>
      <c r="F737" s="38">
        <v>0</v>
      </c>
      <c r="G737" s="38">
        <v>0</v>
      </c>
      <c r="H737" s="38">
        <v>0</v>
      </c>
      <c r="I737" s="38">
        <v>0</v>
      </c>
      <c r="J737" s="38">
        <v>0</v>
      </c>
      <c r="K737" s="38">
        <v>0</v>
      </c>
      <c r="L737" s="38">
        <v>0</v>
      </c>
      <c r="M737" s="38">
        <v>0</v>
      </c>
      <c r="N737" s="38">
        <v>0</v>
      </c>
      <c r="O737" s="38">
        <v>0</v>
      </c>
      <c r="P737" s="34"/>
      <c r="Q737" s="36"/>
      <c r="R737" s="37"/>
    </row>
    <row r="738" spans="1:18" ht="69.75" x14ac:dyDescent="0.25">
      <c r="A738" s="32" t="s">
        <v>1893</v>
      </c>
      <c r="B738" s="33" t="s">
        <v>1894</v>
      </c>
      <c r="C738" s="34" t="s">
        <v>1396</v>
      </c>
      <c r="D738" s="34" t="s">
        <v>1488</v>
      </c>
      <c r="E738" s="34" t="s">
        <v>41</v>
      </c>
      <c r="F738" s="35">
        <f>SUM(F739:F739)+4050</f>
        <v>4050</v>
      </c>
      <c r="G738" s="35">
        <f>SUM(G739:G739)+2025</f>
        <v>2025</v>
      </c>
      <c r="H738" s="35">
        <f>SUM(H739:H739)</f>
        <v>0</v>
      </c>
      <c r="I738" s="35">
        <f>SUM(I739:I739)</f>
        <v>0</v>
      </c>
      <c r="J738" s="35">
        <f>SUM(J739:J739)+2025</f>
        <v>2025</v>
      </c>
      <c r="K738" s="35">
        <f>SUM(K739:K739)</f>
        <v>0</v>
      </c>
      <c r="L738" s="35">
        <f>SUM(L739:L739)</f>
        <v>0</v>
      </c>
      <c r="M738" s="35">
        <f>SUM(M739:M739)</f>
        <v>0</v>
      </c>
      <c r="N738" s="35">
        <f>SUM(N739:N739)</f>
        <v>0</v>
      </c>
      <c r="O738" s="35">
        <f>SUM(O739:O739)</f>
        <v>0</v>
      </c>
      <c r="P738" s="34" t="s">
        <v>1867</v>
      </c>
      <c r="Q738" s="36" t="s">
        <v>36</v>
      </c>
      <c r="R738" s="37" t="s">
        <v>48</v>
      </c>
    </row>
    <row r="739" spans="1:18" ht="69.75" x14ac:dyDescent="0.25">
      <c r="A739" s="32" t="s">
        <v>1895</v>
      </c>
      <c r="B739" s="33" t="s">
        <v>1871</v>
      </c>
      <c r="C739" s="34"/>
      <c r="D739" s="34"/>
      <c r="E739" s="34"/>
      <c r="F739" s="38">
        <v>0</v>
      </c>
      <c r="G739" s="38">
        <v>0</v>
      </c>
      <c r="H739" s="38">
        <v>0</v>
      </c>
      <c r="I739" s="38">
        <v>0</v>
      </c>
      <c r="J739" s="38">
        <v>0</v>
      </c>
      <c r="K739" s="38">
        <v>0</v>
      </c>
      <c r="L739" s="38">
        <v>0</v>
      </c>
      <c r="M739" s="38">
        <v>0</v>
      </c>
      <c r="N739" s="38">
        <v>0</v>
      </c>
      <c r="O739" s="38">
        <v>0</v>
      </c>
      <c r="P739" s="34"/>
      <c r="Q739" s="36"/>
      <c r="R739" s="37"/>
    </row>
    <row r="740" spans="1:18" ht="69.75" x14ac:dyDescent="0.25">
      <c r="A740" s="32" t="s">
        <v>1896</v>
      </c>
      <c r="B740" s="33" t="s">
        <v>1897</v>
      </c>
      <c r="C740" s="34" t="s">
        <v>1396</v>
      </c>
      <c r="D740" s="34" t="s">
        <v>1488</v>
      </c>
      <c r="E740" s="34" t="s">
        <v>41</v>
      </c>
      <c r="F740" s="35">
        <f>SUM(F741:F741)+4050</f>
        <v>4050</v>
      </c>
      <c r="G740" s="35">
        <f>SUM(G741:G741)+2025</f>
        <v>2025</v>
      </c>
      <c r="H740" s="35">
        <f>SUM(H741:H741)</f>
        <v>0</v>
      </c>
      <c r="I740" s="35">
        <f>SUM(I741:I741)</f>
        <v>0</v>
      </c>
      <c r="J740" s="35">
        <f>SUM(J741:J741)+2025</f>
        <v>2025</v>
      </c>
      <c r="K740" s="35">
        <f>SUM(K741:K741)</f>
        <v>0</v>
      </c>
      <c r="L740" s="35">
        <f>SUM(L741:L741)</f>
        <v>0</v>
      </c>
      <c r="M740" s="35">
        <f>SUM(M741:M741)</f>
        <v>0</v>
      </c>
      <c r="N740" s="35">
        <f>SUM(N741:N741)</f>
        <v>0</v>
      </c>
      <c r="O740" s="35">
        <f>SUM(O741:O741)</f>
        <v>0</v>
      </c>
      <c r="P740" s="34" t="s">
        <v>1867</v>
      </c>
      <c r="Q740" s="36" t="s">
        <v>36</v>
      </c>
      <c r="R740" s="37" t="s">
        <v>48</v>
      </c>
    </row>
    <row r="741" spans="1:18" ht="69.75" x14ac:dyDescent="0.25">
      <c r="A741" s="32" t="s">
        <v>1898</v>
      </c>
      <c r="B741" s="33" t="s">
        <v>1871</v>
      </c>
      <c r="C741" s="34"/>
      <c r="D741" s="34"/>
      <c r="E741" s="34"/>
      <c r="F741" s="38">
        <v>0</v>
      </c>
      <c r="G741" s="38">
        <v>0</v>
      </c>
      <c r="H741" s="38">
        <v>0</v>
      </c>
      <c r="I741" s="38">
        <v>0</v>
      </c>
      <c r="J741" s="38">
        <v>0</v>
      </c>
      <c r="K741" s="38">
        <v>0</v>
      </c>
      <c r="L741" s="38">
        <v>0</v>
      </c>
      <c r="M741" s="38">
        <v>0</v>
      </c>
      <c r="N741" s="38">
        <v>0</v>
      </c>
      <c r="O741" s="38">
        <v>0</v>
      </c>
      <c r="P741" s="34"/>
      <c r="Q741" s="36"/>
      <c r="R741" s="37"/>
    </row>
    <row r="742" spans="1:18" ht="69.75" x14ac:dyDescent="0.25">
      <c r="A742" s="32" t="s">
        <v>1899</v>
      </c>
      <c r="B742" s="33" t="s">
        <v>1900</v>
      </c>
      <c r="C742" s="34" t="s">
        <v>1396</v>
      </c>
      <c r="D742" s="34" t="s">
        <v>1488</v>
      </c>
      <c r="E742" s="34" t="s">
        <v>41</v>
      </c>
      <c r="F742" s="35">
        <f>SUM(F743:F743)+4050</f>
        <v>4050</v>
      </c>
      <c r="G742" s="35">
        <f>SUM(G743:G743)+2025</f>
        <v>2025</v>
      </c>
      <c r="H742" s="35">
        <f>SUM(H743:H743)</f>
        <v>0</v>
      </c>
      <c r="I742" s="35">
        <f>SUM(I743:I743)</f>
        <v>0</v>
      </c>
      <c r="J742" s="35">
        <f>SUM(J743:J743)+2025</f>
        <v>2025</v>
      </c>
      <c r="K742" s="35">
        <f>SUM(K743:K743)</f>
        <v>0</v>
      </c>
      <c r="L742" s="35">
        <f>SUM(L743:L743)</f>
        <v>0</v>
      </c>
      <c r="M742" s="35">
        <f>SUM(M743:M743)</f>
        <v>0</v>
      </c>
      <c r="N742" s="35">
        <f>SUM(N743:N743)</f>
        <v>0</v>
      </c>
      <c r="O742" s="35">
        <f>SUM(O743:O743)</f>
        <v>0</v>
      </c>
      <c r="P742" s="34" t="s">
        <v>1867</v>
      </c>
      <c r="Q742" s="36" t="s">
        <v>36</v>
      </c>
      <c r="R742" s="37" t="s">
        <v>48</v>
      </c>
    </row>
    <row r="743" spans="1:18" ht="69.75" x14ac:dyDescent="0.25">
      <c r="A743" s="32" t="s">
        <v>1901</v>
      </c>
      <c r="B743" s="33" t="s">
        <v>1871</v>
      </c>
      <c r="C743" s="34"/>
      <c r="D743" s="34"/>
      <c r="E743" s="34"/>
      <c r="F743" s="38">
        <v>0</v>
      </c>
      <c r="G743" s="38">
        <v>0</v>
      </c>
      <c r="H743" s="38">
        <v>0</v>
      </c>
      <c r="I743" s="38">
        <v>0</v>
      </c>
      <c r="J743" s="38">
        <v>0</v>
      </c>
      <c r="K743" s="38">
        <v>0</v>
      </c>
      <c r="L743" s="38">
        <v>0</v>
      </c>
      <c r="M743" s="38">
        <v>0</v>
      </c>
      <c r="N743" s="38">
        <v>0</v>
      </c>
      <c r="O743" s="38">
        <v>0</v>
      </c>
      <c r="P743" s="34"/>
      <c r="Q743" s="36"/>
      <c r="R743" s="37"/>
    </row>
    <row r="744" spans="1:18" ht="69.75" x14ac:dyDescent="0.25">
      <c r="A744" s="32" t="s">
        <v>1902</v>
      </c>
      <c r="B744" s="33" t="s">
        <v>1903</v>
      </c>
      <c r="C744" s="34" t="s">
        <v>1396</v>
      </c>
      <c r="D744" s="34" t="s">
        <v>1488</v>
      </c>
      <c r="E744" s="34" t="s">
        <v>41</v>
      </c>
      <c r="F744" s="35">
        <f>SUM(F745:F745)+8100</f>
        <v>8100</v>
      </c>
      <c r="G744" s="35">
        <f>SUM(G745:G745)+4050</f>
        <v>4050</v>
      </c>
      <c r="H744" s="35">
        <f>SUM(H745:H745)</f>
        <v>0</v>
      </c>
      <c r="I744" s="35">
        <f>SUM(I745:I745)</f>
        <v>0</v>
      </c>
      <c r="J744" s="35">
        <f>SUM(J745:J745)+4050</f>
        <v>4050</v>
      </c>
      <c r="K744" s="35">
        <f>SUM(K745:K745)</f>
        <v>0</v>
      </c>
      <c r="L744" s="35">
        <f>SUM(L745:L745)</f>
        <v>0</v>
      </c>
      <c r="M744" s="35">
        <f>SUM(M745:M745)</f>
        <v>0</v>
      </c>
      <c r="N744" s="35">
        <f>SUM(N745:N745)</f>
        <v>0</v>
      </c>
      <c r="O744" s="35">
        <f>SUM(O745:O745)</f>
        <v>0</v>
      </c>
      <c r="P744" s="34" t="s">
        <v>1867</v>
      </c>
      <c r="Q744" s="36" t="s">
        <v>36</v>
      </c>
      <c r="R744" s="37" t="s">
        <v>37</v>
      </c>
    </row>
    <row r="745" spans="1:18" ht="69.75" x14ac:dyDescent="0.25">
      <c r="A745" s="32" t="s">
        <v>1904</v>
      </c>
      <c r="B745" s="33" t="s">
        <v>1871</v>
      </c>
      <c r="C745" s="34"/>
      <c r="D745" s="34"/>
      <c r="E745" s="34"/>
      <c r="F745" s="38">
        <v>0</v>
      </c>
      <c r="G745" s="38">
        <v>0</v>
      </c>
      <c r="H745" s="38">
        <v>0</v>
      </c>
      <c r="I745" s="38">
        <v>0</v>
      </c>
      <c r="J745" s="38">
        <v>0</v>
      </c>
      <c r="K745" s="38">
        <v>0</v>
      </c>
      <c r="L745" s="38">
        <v>0</v>
      </c>
      <c r="M745" s="38">
        <v>0</v>
      </c>
      <c r="N745" s="38">
        <v>0</v>
      </c>
      <c r="O745" s="38">
        <v>0</v>
      </c>
      <c r="P745" s="34"/>
      <c r="Q745" s="36"/>
      <c r="R745" s="37"/>
    </row>
    <row r="746" spans="1:18" ht="69.75" x14ac:dyDescent="0.25">
      <c r="A746" s="32" t="s">
        <v>1905</v>
      </c>
      <c r="B746" s="33" t="s">
        <v>1906</v>
      </c>
      <c r="C746" s="34" t="s">
        <v>1396</v>
      </c>
      <c r="D746" s="34" t="s">
        <v>1488</v>
      </c>
      <c r="E746" s="34" t="s">
        <v>41</v>
      </c>
      <c r="F746" s="35">
        <f>SUM(F747:F747)+20260</f>
        <v>20260</v>
      </c>
      <c r="G746" s="35">
        <f>SUM(G747:G747)+10130</f>
        <v>10130</v>
      </c>
      <c r="H746" s="35">
        <f>SUM(H747:H747)</f>
        <v>0</v>
      </c>
      <c r="I746" s="35">
        <f>SUM(I747:I747)</f>
        <v>0</v>
      </c>
      <c r="J746" s="35">
        <f>SUM(J747:J747)+10130</f>
        <v>10130</v>
      </c>
      <c r="K746" s="35">
        <f>SUM(K747:K747)</f>
        <v>0</v>
      </c>
      <c r="L746" s="35">
        <f>SUM(L747:L747)</f>
        <v>0</v>
      </c>
      <c r="M746" s="35">
        <f>SUM(M747:M747)</f>
        <v>0</v>
      </c>
      <c r="N746" s="35">
        <f>SUM(N747:N747)</f>
        <v>0</v>
      </c>
      <c r="O746" s="35">
        <f>SUM(O747:O747)</f>
        <v>0</v>
      </c>
      <c r="P746" s="34" t="s">
        <v>1867</v>
      </c>
      <c r="Q746" s="36" t="s">
        <v>36</v>
      </c>
      <c r="R746" s="37" t="s">
        <v>251</v>
      </c>
    </row>
    <row r="747" spans="1:18" ht="69.75" x14ac:dyDescent="0.25">
      <c r="A747" s="32" t="s">
        <v>1907</v>
      </c>
      <c r="B747" s="33" t="s">
        <v>1871</v>
      </c>
      <c r="C747" s="34"/>
      <c r="D747" s="34"/>
      <c r="E747" s="34"/>
      <c r="F747" s="38">
        <v>0</v>
      </c>
      <c r="G747" s="38">
        <v>0</v>
      </c>
      <c r="H747" s="38">
        <v>0</v>
      </c>
      <c r="I747" s="38">
        <v>0</v>
      </c>
      <c r="J747" s="38">
        <v>0</v>
      </c>
      <c r="K747" s="38">
        <v>0</v>
      </c>
      <c r="L747" s="38">
        <v>0</v>
      </c>
      <c r="M747" s="38">
        <v>0</v>
      </c>
      <c r="N747" s="38">
        <v>0</v>
      </c>
      <c r="O747" s="38">
        <v>0</v>
      </c>
      <c r="P747" s="34"/>
      <c r="Q747" s="36"/>
      <c r="R747" s="37"/>
    </row>
    <row r="748" spans="1:18" ht="69.75" x14ac:dyDescent="0.25">
      <c r="A748" s="32" t="s">
        <v>1908</v>
      </c>
      <c r="B748" s="33" t="s">
        <v>1909</v>
      </c>
      <c r="C748" s="34" t="s">
        <v>1396</v>
      </c>
      <c r="D748" s="34" t="s">
        <v>1488</v>
      </c>
      <c r="E748" s="34" t="s">
        <v>41</v>
      </c>
      <c r="F748" s="35">
        <f>SUM(F749:F749)+4050</f>
        <v>4050</v>
      </c>
      <c r="G748" s="35">
        <f>SUM(G749:G749)+2025</f>
        <v>2025</v>
      </c>
      <c r="H748" s="35">
        <f>SUM(H749:H749)</f>
        <v>0</v>
      </c>
      <c r="I748" s="35">
        <f>SUM(I749:I749)</f>
        <v>0</v>
      </c>
      <c r="J748" s="35">
        <f>SUM(J749:J749)+2025</f>
        <v>2025</v>
      </c>
      <c r="K748" s="35">
        <f>SUM(K749:K749)</f>
        <v>0</v>
      </c>
      <c r="L748" s="35">
        <f>SUM(L749:L749)</f>
        <v>0</v>
      </c>
      <c r="M748" s="35">
        <f>SUM(M749:M749)</f>
        <v>0</v>
      </c>
      <c r="N748" s="35">
        <f>SUM(N749:N749)</f>
        <v>0</v>
      </c>
      <c r="O748" s="35">
        <f>SUM(O749:O749)</f>
        <v>0</v>
      </c>
      <c r="P748" s="34" t="s">
        <v>1867</v>
      </c>
      <c r="Q748" s="36" t="s">
        <v>36</v>
      </c>
      <c r="R748" s="37" t="s">
        <v>48</v>
      </c>
    </row>
    <row r="749" spans="1:18" ht="69.75" x14ac:dyDescent="0.25">
      <c r="A749" s="32" t="s">
        <v>1910</v>
      </c>
      <c r="B749" s="33" t="s">
        <v>1871</v>
      </c>
      <c r="C749" s="34"/>
      <c r="D749" s="34"/>
      <c r="E749" s="34"/>
      <c r="F749" s="38">
        <v>0</v>
      </c>
      <c r="G749" s="38">
        <v>0</v>
      </c>
      <c r="H749" s="38">
        <v>0</v>
      </c>
      <c r="I749" s="38">
        <v>0</v>
      </c>
      <c r="J749" s="38">
        <v>0</v>
      </c>
      <c r="K749" s="38">
        <v>0</v>
      </c>
      <c r="L749" s="38">
        <v>0</v>
      </c>
      <c r="M749" s="38">
        <v>0</v>
      </c>
      <c r="N749" s="38">
        <v>0</v>
      </c>
      <c r="O749" s="38">
        <v>0</v>
      </c>
      <c r="P749" s="34"/>
      <c r="Q749" s="36"/>
      <c r="R749" s="37"/>
    </row>
    <row r="750" spans="1:18" ht="90" x14ac:dyDescent="0.25">
      <c r="A750" s="20" t="s">
        <v>1911</v>
      </c>
      <c r="B750" s="21" t="s">
        <v>1912</v>
      </c>
      <c r="C750" s="22" t="s">
        <v>1396</v>
      </c>
      <c r="D750" s="22" t="s">
        <v>1400</v>
      </c>
      <c r="E750" s="22"/>
      <c r="F750" s="23">
        <f t="shared" ref="F750:O750" si="345">SUM(F751:F751)</f>
        <v>278108.29000000004</v>
      </c>
      <c r="G750" s="23">
        <f t="shared" si="345"/>
        <v>97810</v>
      </c>
      <c r="H750" s="23">
        <f t="shared" si="345"/>
        <v>0</v>
      </c>
      <c r="I750" s="23">
        <f t="shared" si="345"/>
        <v>0</v>
      </c>
      <c r="J750" s="23">
        <f t="shared" si="345"/>
        <v>0</v>
      </c>
      <c r="K750" s="23">
        <f t="shared" si="345"/>
        <v>0</v>
      </c>
      <c r="L750" s="23">
        <f t="shared" si="345"/>
        <v>39818.6</v>
      </c>
      <c r="M750" s="23">
        <f t="shared" si="345"/>
        <v>5379.69</v>
      </c>
      <c r="N750" s="23">
        <f t="shared" si="345"/>
        <v>0</v>
      </c>
      <c r="O750" s="23">
        <f t="shared" si="345"/>
        <v>0</v>
      </c>
      <c r="P750" s="22" t="s">
        <v>504</v>
      </c>
      <c r="Q750" s="24" t="s">
        <v>30</v>
      </c>
      <c r="R750" s="25" t="s">
        <v>1913</v>
      </c>
    </row>
    <row r="751" spans="1:18" ht="135" x14ac:dyDescent="0.25">
      <c r="A751" s="26" t="s">
        <v>1914</v>
      </c>
      <c r="B751" s="27" t="s">
        <v>506</v>
      </c>
      <c r="C751" s="28" t="s">
        <v>1396</v>
      </c>
      <c r="D751" s="28" t="s">
        <v>1400</v>
      </c>
      <c r="E751" s="28" t="s">
        <v>232</v>
      </c>
      <c r="F751" s="29">
        <f t="shared" ref="F751:O751" si="346">F752+F754+F758+F760</f>
        <v>278108.29000000004</v>
      </c>
      <c r="G751" s="29">
        <f t="shared" si="346"/>
        <v>97810</v>
      </c>
      <c r="H751" s="29">
        <f t="shared" si="346"/>
        <v>0</v>
      </c>
      <c r="I751" s="29">
        <f t="shared" si="346"/>
        <v>0</v>
      </c>
      <c r="J751" s="29">
        <f t="shared" si="346"/>
        <v>0</v>
      </c>
      <c r="K751" s="29">
        <f t="shared" si="346"/>
        <v>0</v>
      </c>
      <c r="L751" s="29">
        <f t="shared" si="346"/>
        <v>39818.6</v>
      </c>
      <c r="M751" s="29">
        <f t="shared" si="346"/>
        <v>5379.69</v>
      </c>
      <c r="N751" s="29">
        <f t="shared" si="346"/>
        <v>0</v>
      </c>
      <c r="O751" s="29">
        <f t="shared" si="346"/>
        <v>0</v>
      </c>
      <c r="P751" s="28" t="s">
        <v>1915</v>
      </c>
      <c r="Q751" s="30" t="s">
        <v>1162</v>
      </c>
      <c r="R751" s="31" t="s">
        <v>1916</v>
      </c>
    </row>
    <row r="752" spans="1:18" ht="209.25" x14ac:dyDescent="0.25">
      <c r="A752" s="32" t="s">
        <v>1917</v>
      </c>
      <c r="B752" s="33" t="s">
        <v>1918</v>
      </c>
      <c r="C752" s="34" t="s">
        <v>1396</v>
      </c>
      <c r="D752" s="34" t="s">
        <v>1466</v>
      </c>
      <c r="E752" s="34" t="s">
        <v>41</v>
      </c>
      <c r="F752" s="35">
        <f>SUM(F753:F753)+5379.69</f>
        <v>5379.69</v>
      </c>
      <c r="G752" s="35">
        <f t="shared" ref="G752:L752" si="347">SUM(G753:G753)</f>
        <v>0</v>
      </c>
      <c r="H752" s="35">
        <f t="shared" si="347"/>
        <v>0</v>
      </c>
      <c r="I752" s="35">
        <f t="shared" si="347"/>
        <v>0</v>
      </c>
      <c r="J752" s="35">
        <f t="shared" si="347"/>
        <v>0</v>
      </c>
      <c r="K752" s="35">
        <f t="shared" si="347"/>
        <v>0</v>
      </c>
      <c r="L752" s="35">
        <f t="shared" si="347"/>
        <v>0</v>
      </c>
      <c r="M752" s="35">
        <f>SUM(M753:M753)+5379.69</f>
        <v>5379.69</v>
      </c>
      <c r="N752" s="35">
        <f>SUM(N753:N753)</f>
        <v>0</v>
      </c>
      <c r="O752" s="35">
        <f>SUM(O753:O753)</f>
        <v>0</v>
      </c>
      <c r="P752" s="34" t="s">
        <v>1919</v>
      </c>
      <c r="Q752" s="36" t="s">
        <v>36</v>
      </c>
      <c r="R752" s="37" t="s">
        <v>203</v>
      </c>
    </row>
    <row r="753" spans="1:18" ht="46.5" x14ac:dyDescent="0.25">
      <c r="A753" s="32" t="s">
        <v>1920</v>
      </c>
      <c r="B753" s="33" t="s">
        <v>1921</v>
      </c>
      <c r="C753" s="34"/>
      <c r="D753" s="34"/>
      <c r="E753" s="34"/>
      <c r="F753" s="38">
        <v>0</v>
      </c>
      <c r="G753" s="38">
        <v>0</v>
      </c>
      <c r="H753" s="38">
        <v>0</v>
      </c>
      <c r="I753" s="38">
        <v>0</v>
      </c>
      <c r="J753" s="38">
        <v>0</v>
      </c>
      <c r="K753" s="38">
        <v>0</v>
      </c>
      <c r="L753" s="38">
        <v>0</v>
      </c>
      <c r="M753" s="38">
        <v>0</v>
      </c>
      <c r="N753" s="38">
        <v>0</v>
      </c>
      <c r="O753" s="38">
        <v>0</v>
      </c>
      <c r="P753" s="34"/>
      <c r="Q753" s="36"/>
      <c r="R753" s="37"/>
    </row>
    <row r="754" spans="1:18" ht="116.25" x14ac:dyDescent="0.25">
      <c r="A754" s="32" t="s">
        <v>1922</v>
      </c>
      <c r="B754" s="33" t="s">
        <v>1923</v>
      </c>
      <c r="C754" s="34" t="s">
        <v>1924</v>
      </c>
      <c r="D754" s="34" t="s">
        <v>1419</v>
      </c>
      <c r="E754" s="34" t="s">
        <v>41</v>
      </c>
      <c r="F754" s="35">
        <f>SUM(F755:F757)+137628.6</f>
        <v>137628.6</v>
      </c>
      <c r="G754" s="35">
        <f>SUM(G755:G757)+97810</f>
        <v>97810</v>
      </c>
      <c r="H754" s="35">
        <f>SUM(H755:H757)</f>
        <v>0</v>
      </c>
      <c r="I754" s="35">
        <f>SUM(I755:I757)</f>
        <v>0</v>
      </c>
      <c r="J754" s="35">
        <f>SUM(J755:J757)</f>
        <v>0</v>
      </c>
      <c r="K754" s="35">
        <f>SUM(K755:K757)</f>
        <v>0</v>
      </c>
      <c r="L754" s="35">
        <f>SUM(L755:L757)+39818.6</f>
        <v>39818.6</v>
      </c>
      <c r="M754" s="35">
        <f>SUM(M755:M757)</f>
        <v>0</v>
      </c>
      <c r="N754" s="35">
        <f>SUM(N755:N757)</f>
        <v>0</v>
      </c>
      <c r="O754" s="35">
        <f>SUM(O755:O757)</f>
        <v>0</v>
      </c>
      <c r="P754" s="34" t="s">
        <v>1925</v>
      </c>
      <c r="Q754" s="36" t="s">
        <v>36</v>
      </c>
      <c r="R754" s="37" t="s">
        <v>162</v>
      </c>
    </row>
    <row r="755" spans="1:18" ht="93" x14ac:dyDescent="0.25">
      <c r="A755" s="39"/>
      <c r="B755" s="40"/>
      <c r="C755" s="41"/>
      <c r="D755" s="41"/>
      <c r="E755" s="41"/>
      <c r="F755" s="42">
        <v>0</v>
      </c>
      <c r="G755" s="42">
        <v>0</v>
      </c>
      <c r="H755" s="42">
        <v>0</v>
      </c>
      <c r="I755" s="42">
        <v>0</v>
      </c>
      <c r="J755" s="42">
        <v>0</v>
      </c>
      <c r="K755" s="42">
        <v>0</v>
      </c>
      <c r="L755" s="42">
        <v>0</v>
      </c>
      <c r="M755" s="42">
        <v>0</v>
      </c>
      <c r="N755" s="42">
        <v>0</v>
      </c>
      <c r="O755" s="42">
        <v>0</v>
      </c>
      <c r="P755" s="41" t="s">
        <v>1926</v>
      </c>
      <c r="Q755" s="43" t="s">
        <v>36</v>
      </c>
      <c r="R755" s="44" t="s">
        <v>162</v>
      </c>
    </row>
    <row r="756" spans="1:18" ht="46.5" x14ac:dyDescent="0.25">
      <c r="A756" s="39"/>
      <c r="B756" s="40"/>
      <c r="C756" s="41"/>
      <c r="D756" s="41"/>
      <c r="E756" s="41"/>
      <c r="F756" s="42">
        <v>0</v>
      </c>
      <c r="G756" s="42">
        <v>0</v>
      </c>
      <c r="H756" s="42">
        <v>0</v>
      </c>
      <c r="I756" s="42">
        <v>0</v>
      </c>
      <c r="J756" s="42">
        <v>0</v>
      </c>
      <c r="K756" s="42">
        <v>0</v>
      </c>
      <c r="L756" s="42">
        <v>0</v>
      </c>
      <c r="M756" s="42">
        <v>0</v>
      </c>
      <c r="N756" s="42">
        <v>0</v>
      </c>
      <c r="O756" s="42">
        <v>0</v>
      </c>
      <c r="P756" s="41" t="s">
        <v>1927</v>
      </c>
      <c r="Q756" s="43" t="s">
        <v>36</v>
      </c>
      <c r="R756" s="44" t="s">
        <v>48</v>
      </c>
    </row>
    <row r="757" spans="1:18" ht="139.5" x14ac:dyDescent="0.25">
      <c r="A757" s="32" t="s">
        <v>1928</v>
      </c>
      <c r="B757" s="33" t="s">
        <v>1929</v>
      </c>
      <c r="C757" s="34"/>
      <c r="D757" s="34"/>
      <c r="E757" s="34"/>
      <c r="F757" s="38">
        <v>0</v>
      </c>
      <c r="G757" s="38">
        <v>0</v>
      </c>
      <c r="H757" s="38">
        <v>0</v>
      </c>
      <c r="I757" s="38">
        <v>0</v>
      </c>
      <c r="J757" s="38">
        <v>0</v>
      </c>
      <c r="K757" s="38">
        <v>0</v>
      </c>
      <c r="L757" s="38">
        <v>0</v>
      </c>
      <c r="M757" s="38">
        <v>0</v>
      </c>
      <c r="N757" s="38">
        <v>0</v>
      </c>
      <c r="O757" s="38">
        <v>0</v>
      </c>
      <c r="P757" s="34"/>
      <c r="Q757" s="36"/>
      <c r="R757" s="37"/>
    </row>
    <row r="758" spans="1:18" ht="46.5" x14ac:dyDescent="0.25">
      <c r="A758" s="32" t="s">
        <v>1930</v>
      </c>
      <c r="B758" s="33" t="s">
        <v>1931</v>
      </c>
      <c r="C758" s="34" t="s">
        <v>1396</v>
      </c>
      <c r="D758" s="34" t="s">
        <v>1466</v>
      </c>
      <c r="E758" s="34" t="s">
        <v>236</v>
      </c>
      <c r="F758" s="35">
        <f>SUM(F759:F759)+132400</f>
        <v>132400</v>
      </c>
      <c r="G758" s="35">
        <f t="shared" ref="G758:O758" si="348">SUM(G759:G759)</f>
        <v>0</v>
      </c>
      <c r="H758" s="35">
        <f t="shared" si="348"/>
        <v>0</v>
      </c>
      <c r="I758" s="35">
        <f t="shared" si="348"/>
        <v>0</v>
      </c>
      <c r="J758" s="35">
        <f t="shared" si="348"/>
        <v>0</v>
      </c>
      <c r="K758" s="35">
        <f t="shared" si="348"/>
        <v>0</v>
      </c>
      <c r="L758" s="35">
        <f t="shared" si="348"/>
        <v>0</v>
      </c>
      <c r="M758" s="35">
        <f t="shared" si="348"/>
        <v>0</v>
      </c>
      <c r="N758" s="35">
        <f t="shared" si="348"/>
        <v>0</v>
      </c>
      <c r="O758" s="35">
        <f t="shared" si="348"/>
        <v>0</v>
      </c>
      <c r="P758" s="34" t="s">
        <v>1932</v>
      </c>
      <c r="Q758" s="36" t="s">
        <v>36</v>
      </c>
      <c r="R758" s="37" t="s">
        <v>168</v>
      </c>
    </row>
    <row r="759" spans="1:18" ht="46.5" x14ac:dyDescent="0.25">
      <c r="A759" s="32" t="s">
        <v>1933</v>
      </c>
      <c r="B759" s="33" t="s">
        <v>1934</v>
      </c>
      <c r="C759" s="34"/>
      <c r="D759" s="34"/>
      <c r="E759" s="34"/>
      <c r="F759" s="38">
        <v>0</v>
      </c>
      <c r="G759" s="38">
        <v>0</v>
      </c>
      <c r="H759" s="38">
        <v>0</v>
      </c>
      <c r="I759" s="38">
        <v>0</v>
      </c>
      <c r="J759" s="38">
        <v>0</v>
      </c>
      <c r="K759" s="38">
        <v>0</v>
      </c>
      <c r="L759" s="38">
        <v>0</v>
      </c>
      <c r="M759" s="38">
        <v>0</v>
      </c>
      <c r="N759" s="38">
        <v>0</v>
      </c>
      <c r="O759" s="38">
        <v>0</v>
      </c>
      <c r="P759" s="34"/>
      <c r="Q759" s="36"/>
      <c r="R759" s="37"/>
    </row>
    <row r="760" spans="1:18" ht="69.75" x14ac:dyDescent="0.25">
      <c r="A760" s="32" t="s">
        <v>1935</v>
      </c>
      <c r="B760" s="33" t="s">
        <v>1936</v>
      </c>
      <c r="C760" s="34" t="s">
        <v>1396</v>
      </c>
      <c r="D760" s="34" t="s">
        <v>1466</v>
      </c>
      <c r="E760" s="34" t="s">
        <v>236</v>
      </c>
      <c r="F760" s="35">
        <f>SUM(F761:F761)+2700</f>
        <v>2700</v>
      </c>
      <c r="G760" s="35">
        <f t="shared" ref="G760:O760" si="349">SUM(G761:G761)</f>
        <v>0</v>
      </c>
      <c r="H760" s="35">
        <f t="shared" si="349"/>
        <v>0</v>
      </c>
      <c r="I760" s="35">
        <f t="shared" si="349"/>
        <v>0</v>
      </c>
      <c r="J760" s="35">
        <f t="shared" si="349"/>
        <v>0</v>
      </c>
      <c r="K760" s="35">
        <f t="shared" si="349"/>
        <v>0</v>
      </c>
      <c r="L760" s="35">
        <f t="shared" si="349"/>
        <v>0</v>
      </c>
      <c r="M760" s="35">
        <f t="shared" si="349"/>
        <v>0</v>
      </c>
      <c r="N760" s="35">
        <f t="shared" si="349"/>
        <v>0</v>
      </c>
      <c r="O760" s="35">
        <f t="shared" si="349"/>
        <v>0</v>
      </c>
      <c r="P760" s="34" t="s">
        <v>1937</v>
      </c>
      <c r="Q760" s="36" t="s">
        <v>36</v>
      </c>
      <c r="R760" s="37" t="s">
        <v>186</v>
      </c>
    </row>
    <row r="761" spans="1:18" ht="46.5" x14ac:dyDescent="0.25">
      <c r="A761" s="32" t="s">
        <v>1938</v>
      </c>
      <c r="B761" s="33" t="s">
        <v>1939</v>
      </c>
      <c r="C761" s="34"/>
      <c r="D761" s="34"/>
      <c r="E761" s="34"/>
      <c r="F761" s="38">
        <v>0</v>
      </c>
      <c r="G761" s="38">
        <v>0</v>
      </c>
      <c r="H761" s="38">
        <v>0</v>
      </c>
      <c r="I761" s="38">
        <v>0</v>
      </c>
      <c r="J761" s="38">
        <v>0</v>
      </c>
      <c r="K761" s="38">
        <v>0</v>
      </c>
      <c r="L761" s="38">
        <v>0</v>
      </c>
      <c r="M761" s="38">
        <v>0</v>
      </c>
      <c r="N761" s="38">
        <v>0</v>
      </c>
      <c r="O761" s="38">
        <v>0</v>
      </c>
      <c r="P761" s="34"/>
      <c r="Q761" s="36"/>
      <c r="R761" s="37"/>
    </row>
    <row r="762" spans="1:18" ht="112.5" x14ac:dyDescent="0.25">
      <c r="A762" s="20" t="s">
        <v>1940</v>
      </c>
      <c r="B762" s="21" t="s">
        <v>1941</v>
      </c>
      <c r="C762" s="22" t="s">
        <v>1396</v>
      </c>
      <c r="D762" s="22" t="s">
        <v>1400</v>
      </c>
      <c r="E762" s="22"/>
      <c r="F762" s="23">
        <f t="shared" ref="F762:O762" si="350">SUM(F763:F763)</f>
        <v>0</v>
      </c>
      <c r="G762" s="23">
        <f t="shared" si="350"/>
        <v>0</v>
      </c>
      <c r="H762" s="23">
        <f t="shared" si="350"/>
        <v>0</v>
      </c>
      <c r="I762" s="23">
        <f t="shared" si="350"/>
        <v>0</v>
      </c>
      <c r="J762" s="23">
        <f t="shared" si="350"/>
        <v>0</v>
      </c>
      <c r="K762" s="23">
        <f t="shared" si="350"/>
        <v>0</v>
      </c>
      <c r="L762" s="23">
        <f t="shared" si="350"/>
        <v>0</v>
      </c>
      <c r="M762" s="23">
        <f t="shared" si="350"/>
        <v>0</v>
      </c>
      <c r="N762" s="23">
        <f t="shared" si="350"/>
        <v>0</v>
      </c>
      <c r="O762" s="23">
        <f t="shared" si="350"/>
        <v>0</v>
      </c>
      <c r="P762" s="22" t="s">
        <v>243</v>
      </c>
      <c r="Q762" s="24" t="s">
        <v>30</v>
      </c>
      <c r="R762" s="25" t="s">
        <v>100</v>
      </c>
    </row>
    <row r="763" spans="1:18" ht="67.5" x14ac:dyDescent="0.25">
      <c r="A763" s="26" t="s">
        <v>1942</v>
      </c>
      <c r="B763" s="27" t="s">
        <v>245</v>
      </c>
      <c r="C763" s="28" t="s">
        <v>1396</v>
      </c>
      <c r="D763" s="28" t="s">
        <v>1400</v>
      </c>
      <c r="E763" s="28" t="s">
        <v>232</v>
      </c>
      <c r="F763" s="29">
        <f t="shared" ref="F763:O763" si="351">F764+F766</f>
        <v>0</v>
      </c>
      <c r="G763" s="29">
        <f t="shared" si="351"/>
        <v>0</v>
      </c>
      <c r="H763" s="29">
        <f t="shared" si="351"/>
        <v>0</v>
      </c>
      <c r="I763" s="29">
        <f t="shared" si="351"/>
        <v>0</v>
      </c>
      <c r="J763" s="29">
        <f t="shared" si="351"/>
        <v>0</v>
      </c>
      <c r="K763" s="29">
        <f t="shared" si="351"/>
        <v>0</v>
      </c>
      <c r="L763" s="29">
        <f t="shared" si="351"/>
        <v>0</v>
      </c>
      <c r="M763" s="29">
        <f t="shared" si="351"/>
        <v>0</v>
      </c>
      <c r="N763" s="29">
        <f t="shared" si="351"/>
        <v>0</v>
      </c>
      <c r="O763" s="29">
        <f t="shared" si="351"/>
        <v>0</v>
      </c>
      <c r="P763" s="28" t="s">
        <v>246</v>
      </c>
      <c r="Q763" s="30" t="s">
        <v>30</v>
      </c>
      <c r="R763" s="31" t="s">
        <v>247</v>
      </c>
    </row>
    <row r="764" spans="1:18" ht="69.75" x14ac:dyDescent="0.25">
      <c r="A764" s="32" t="s">
        <v>1943</v>
      </c>
      <c r="B764" s="33" t="s">
        <v>1944</v>
      </c>
      <c r="C764" s="34" t="s">
        <v>1396</v>
      </c>
      <c r="D764" s="34" t="s">
        <v>1400</v>
      </c>
      <c r="E764" s="34" t="s">
        <v>236</v>
      </c>
      <c r="F764" s="35">
        <f t="shared" ref="F764:O764" si="352">SUM(F765:F765)</f>
        <v>0</v>
      </c>
      <c r="G764" s="35">
        <f t="shared" si="352"/>
        <v>0</v>
      </c>
      <c r="H764" s="35">
        <f t="shared" si="352"/>
        <v>0</v>
      </c>
      <c r="I764" s="35">
        <f t="shared" si="352"/>
        <v>0</v>
      </c>
      <c r="J764" s="35">
        <f t="shared" si="352"/>
        <v>0</v>
      </c>
      <c r="K764" s="35">
        <f t="shared" si="352"/>
        <v>0</v>
      </c>
      <c r="L764" s="35">
        <f t="shared" si="352"/>
        <v>0</v>
      </c>
      <c r="M764" s="35">
        <f t="shared" si="352"/>
        <v>0</v>
      </c>
      <c r="N764" s="35">
        <f t="shared" si="352"/>
        <v>0</v>
      </c>
      <c r="O764" s="35">
        <f t="shared" si="352"/>
        <v>0</v>
      </c>
      <c r="P764" s="34" t="s">
        <v>1945</v>
      </c>
      <c r="Q764" s="36" t="s">
        <v>36</v>
      </c>
      <c r="R764" s="37" t="s">
        <v>48</v>
      </c>
    </row>
    <row r="765" spans="1:18" ht="69.75" x14ac:dyDescent="0.25">
      <c r="A765" s="32" t="s">
        <v>1946</v>
      </c>
      <c r="B765" s="33" t="s">
        <v>1947</v>
      </c>
      <c r="C765" s="34"/>
      <c r="D765" s="34"/>
      <c r="E765" s="34"/>
      <c r="F765" s="38">
        <v>0</v>
      </c>
      <c r="G765" s="38">
        <v>0</v>
      </c>
      <c r="H765" s="38">
        <v>0</v>
      </c>
      <c r="I765" s="38">
        <v>0</v>
      </c>
      <c r="J765" s="38">
        <v>0</v>
      </c>
      <c r="K765" s="38">
        <v>0</v>
      </c>
      <c r="L765" s="38">
        <v>0</v>
      </c>
      <c r="M765" s="38">
        <v>0</v>
      </c>
      <c r="N765" s="38">
        <v>0</v>
      </c>
      <c r="O765" s="38">
        <v>0</v>
      </c>
      <c r="P765" s="34"/>
      <c r="Q765" s="36"/>
      <c r="R765" s="37"/>
    </row>
    <row r="766" spans="1:18" ht="93" x14ac:dyDescent="0.25">
      <c r="A766" s="32" t="s">
        <v>1948</v>
      </c>
      <c r="B766" s="33" t="s">
        <v>1949</v>
      </c>
      <c r="C766" s="34" t="s">
        <v>1396</v>
      </c>
      <c r="D766" s="34" t="s">
        <v>1400</v>
      </c>
      <c r="E766" s="34" t="s">
        <v>236</v>
      </c>
      <c r="F766" s="35">
        <f t="shared" ref="F766:O766" si="353">SUM(F767:F767)</f>
        <v>0</v>
      </c>
      <c r="G766" s="35">
        <f t="shared" si="353"/>
        <v>0</v>
      </c>
      <c r="H766" s="35">
        <f t="shared" si="353"/>
        <v>0</v>
      </c>
      <c r="I766" s="35">
        <f t="shared" si="353"/>
        <v>0</v>
      </c>
      <c r="J766" s="35">
        <f t="shared" si="353"/>
        <v>0</v>
      </c>
      <c r="K766" s="35">
        <f t="shared" si="353"/>
        <v>0</v>
      </c>
      <c r="L766" s="35">
        <f t="shared" si="353"/>
        <v>0</v>
      </c>
      <c r="M766" s="35">
        <f t="shared" si="353"/>
        <v>0</v>
      </c>
      <c r="N766" s="35">
        <f t="shared" si="353"/>
        <v>0</v>
      </c>
      <c r="O766" s="35">
        <f t="shared" si="353"/>
        <v>0</v>
      </c>
      <c r="P766" s="34" t="s">
        <v>1950</v>
      </c>
      <c r="Q766" s="36" t="s">
        <v>36</v>
      </c>
      <c r="R766" s="37" t="s">
        <v>1951</v>
      </c>
    </row>
    <row r="767" spans="1:18" ht="69.75" x14ac:dyDescent="0.25">
      <c r="A767" s="46" t="s">
        <v>1952</v>
      </c>
      <c r="B767" s="47" t="s">
        <v>1953</v>
      </c>
      <c r="C767" s="48"/>
      <c r="D767" s="48"/>
      <c r="E767" s="48"/>
      <c r="F767" s="49">
        <v>0</v>
      </c>
      <c r="G767" s="49">
        <v>0</v>
      </c>
      <c r="H767" s="49">
        <v>0</v>
      </c>
      <c r="I767" s="49">
        <v>0</v>
      </c>
      <c r="J767" s="49">
        <v>0</v>
      </c>
      <c r="K767" s="49">
        <v>0</v>
      </c>
      <c r="L767" s="49">
        <v>0</v>
      </c>
      <c r="M767" s="49">
        <v>0</v>
      </c>
      <c r="N767" s="49">
        <v>0</v>
      </c>
      <c r="O767" s="49">
        <v>0</v>
      </c>
      <c r="P767" s="48"/>
      <c r="Q767" s="50"/>
      <c r="R767" s="51"/>
    </row>
    <row r="768" spans="1:18" s="57" customFormat="1" x14ac:dyDescent="0.25">
      <c r="A768" s="52"/>
      <c r="B768" s="52"/>
      <c r="C768" s="53"/>
      <c r="D768" s="53"/>
      <c r="E768" s="53"/>
      <c r="F768" s="54"/>
      <c r="G768" s="54"/>
      <c r="H768" s="54"/>
      <c r="I768" s="54"/>
      <c r="J768" s="54"/>
      <c r="K768" s="54"/>
      <c r="L768" s="54"/>
      <c r="M768" s="54"/>
      <c r="N768" s="54"/>
      <c r="O768" s="54"/>
      <c r="P768" s="53"/>
      <c r="Q768" s="55"/>
      <c r="R768" s="56"/>
    </row>
    <row r="769" spans="1:18" s="57" customFormat="1" x14ac:dyDescent="0.25">
      <c r="A769" s="52"/>
      <c r="B769" s="52"/>
      <c r="C769" s="53"/>
      <c r="D769" s="53"/>
      <c r="E769" s="53"/>
      <c r="F769" s="54"/>
      <c r="G769" s="54"/>
      <c r="H769" s="54"/>
      <c r="I769" s="54"/>
      <c r="J769" s="54"/>
      <c r="K769" s="54"/>
      <c r="L769" s="54"/>
      <c r="M769" s="54"/>
      <c r="N769" s="54"/>
      <c r="O769" s="54"/>
      <c r="P769" s="53"/>
      <c r="Q769" s="55"/>
      <c r="R769" s="56"/>
    </row>
    <row r="770" spans="1:18" s="57" customFormat="1" x14ac:dyDescent="0.25">
      <c r="A770" s="52"/>
      <c r="B770" s="52"/>
      <c r="C770" s="53"/>
      <c r="D770" s="53"/>
      <c r="E770" s="53"/>
      <c r="F770" s="54"/>
      <c r="G770" s="54"/>
      <c r="H770" s="54"/>
      <c r="I770" s="54"/>
      <c r="J770" s="54"/>
      <c r="K770" s="54"/>
      <c r="L770" s="54"/>
      <c r="M770" s="54"/>
      <c r="N770" s="54"/>
      <c r="O770" s="54"/>
      <c r="P770" s="53"/>
      <c r="Q770" s="55"/>
      <c r="R770" s="56"/>
    </row>
    <row r="771" spans="1:18" s="57" customFormat="1" x14ac:dyDescent="0.25">
      <c r="A771" s="52"/>
      <c r="B771" s="52"/>
      <c r="C771" s="53"/>
      <c r="D771" s="53"/>
      <c r="E771" s="53"/>
      <c r="F771" s="54"/>
      <c r="G771" s="54"/>
      <c r="H771" s="54"/>
      <c r="I771" s="54"/>
      <c r="J771" s="54"/>
      <c r="K771" s="54"/>
      <c r="L771" s="54"/>
      <c r="M771" s="54"/>
      <c r="N771" s="54"/>
      <c r="O771" s="54"/>
      <c r="P771" s="53"/>
      <c r="Q771" s="55"/>
      <c r="R771" s="56"/>
    </row>
    <row r="772" spans="1:18" s="57" customFormat="1" x14ac:dyDescent="0.25">
      <c r="A772" s="52"/>
      <c r="B772" s="52"/>
      <c r="C772" s="53"/>
      <c r="D772" s="53"/>
      <c r="E772" s="53"/>
      <c r="F772" s="54"/>
      <c r="G772" s="54"/>
      <c r="H772" s="54"/>
      <c r="I772" s="54"/>
      <c r="J772" s="54"/>
      <c r="K772" s="54"/>
      <c r="L772" s="54"/>
      <c r="M772" s="54"/>
      <c r="N772" s="54"/>
      <c r="O772" s="54"/>
      <c r="P772" s="53"/>
      <c r="Q772" s="55"/>
      <c r="R772" s="56"/>
    </row>
    <row r="773" spans="1:18" x14ac:dyDescent="0.25">
      <c r="A773" s="9" t="s">
        <v>1</v>
      </c>
      <c r="B773" s="9" t="s">
        <v>2</v>
      </c>
      <c r="C773" s="9" t="s">
        <v>6</v>
      </c>
      <c r="D773" s="9" t="s">
        <v>7</v>
      </c>
      <c r="E773" s="58"/>
      <c r="F773" s="58"/>
      <c r="G773" s="58"/>
      <c r="H773" s="58"/>
      <c r="I773" s="58"/>
      <c r="J773" s="58"/>
      <c r="K773" s="58"/>
      <c r="L773" s="58"/>
    </row>
    <row r="774" spans="1:18" ht="45" x14ac:dyDescent="0.25">
      <c r="A774" s="9"/>
      <c r="B774" s="9"/>
      <c r="C774" s="9"/>
      <c r="D774" s="59" t="s">
        <v>9</v>
      </c>
      <c r="E774" s="59" t="s">
        <v>10</v>
      </c>
      <c r="F774" s="59" t="s">
        <v>11</v>
      </c>
      <c r="G774" s="59" t="s">
        <v>12</v>
      </c>
      <c r="H774" s="59" t="s">
        <v>13</v>
      </c>
      <c r="I774" s="59" t="s">
        <v>14</v>
      </c>
      <c r="J774" s="59" t="s">
        <v>15</v>
      </c>
      <c r="K774" s="59" t="s">
        <v>16</v>
      </c>
      <c r="L774" s="59" t="s">
        <v>17</v>
      </c>
    </row>
    <row r="775" spans="1:18" ht="46.5" x14ac:dyDescent="0.25">
      <c r="A775" s="40" t="s">
        <v>1954</v>
      </c>
      <c r="B775" s="40" t="s">
        <v>1954</v>
      </c>
      <c r="C775" s="60">
        <f t="shared" ref="C775:L775" si="354">SUM(C776:C784)</f>
        <v>28754537.779999997</v>
      </c>
      <c r="D775" s="60">
        <f t="shared" si="354"/>
        <v>20609186.77</v>
      </c>
      <c r="E775" s="60">
        <f t="shared" si="354"/>
        <v>166512.32000000001</v>
      </c>
      <c r="F775" s="60">
        <f t="shared" si="354"/>
        <v>147134.04999999999</v>
      </c>
      <c r="G775" s="60">
        <f t="shared" si="354"/>
        <v>3134826</v>
      </c>
      <c r="H775" s="60">
        <f t="shared" si="354"/>
        <v>0</v>
      </c>
      <c r="I775" s="60">
        <f t="shared" si="354"/>
        <v>1427167.13</v>
      </c>
      <c r="J775" s="60">
        <f t="shared" si="354"/>
        <v>3025628.51</v>
      </c>
      <c r="K775" s="60">
        <f t="shared" si="354"/>
        <v>0</v>
      </c>
      <c r="L775" s="60">
        <f t="shared" si="354"/>
        <v>0</v>
      </c>
    </row>
    <row r="776" spans="1:18" x14ac:dyDescent="0.25">
      <c r="A776" s="40" t="s">
        <v>1955</v>
      </c>
      <c r="B776" s="40" t="s">
        <v>1956</v>
      </c>
      <c r="C776" s="42">
        <v>20610680.969999999</v>
      </c>
      <c r="D776" s="42">
        <v>20609186.77</v>
      </c>
      <c r="E776" s="42">
        <v>0</v>
      </c>
      <c r="F776" s="42">
        <v>0</v>
      </c>
      <c r="G776" s="42">
        <v>0</v>
      </c>
      <c r="H776" s="42">
        <v>0</v>
      </c>
      <c r="I776" s="42">
        <v>0</v>
      </c>
      <c r="J776" s="42">
        <v>1494.2</v>
      </c>
      <c r="K776" s="42">
        <v>0</v>
      </c>
      <c r="L776" s="42">
        <v>0</v>
      </c>
    </row>
    <row r="777" spans="1:18" ht="139.5" x14ac:dyDescent="0.25">
      <c r="A777" s="40" t="s">
        <v>1957</v>
      </c>
      <c r="B777" s="40" t="s">
        <v>1958</v>
      </c>
      <c r="C777" s="42">
        <v>168415.22</v>
      </c>
      <c r="D777" s="42">
        <v>0</v>
      </c>
      <c r="E777" s="42">
        <v>0</v>
      </c>
      <c r="F777" s="42">
        <v>0</v>
      </c>
      <c r="G777" s="42">
        <v>0</v>
      </c>
      <c r="H777" s="42">
        <v>0</v>
      </c>
      <c r="I777" s="42">
        <v>0</v>
      </c>
      <c r="J777" s="42">
        <v>168415.22</v>
      </c>
      <c r="K777" s="42">
        <v>0</v>
      </c>
      <c r="L777" s="42">
        <v>0</v>
      </c>
    </row>
    <row r="778" spans="1:18" ht="46.5" x14ac:dyDescent="0.25">
      <c r="A778" s="40" t="s">
        <v>1959</v>
      </c>
      <c r="B778" s="40" t="s">
        <v>1960</v>
      </c>
      <c r="C778" s="42">
        <v>166512.32000000001</v>
      </c>
      <c r="D778" s="42">
        <v>0</v>
      </c>
      <c r="E778" s="42">
        <v>166512.32000000001</v>
      </c>
      <c r="F778" s="42">
        <v>0</v>
      </c>
      <c r="G778" s="42">
        <v>0</v>
      </c>
      <c r="H778" s="42">
        <v>0</v>
      </c>
      <c r="I778" s="42">
        <v>0</v>
      </c>
      <c r="J778" s="42">
        <v>0</v>
      </c>
      <c r="K778" s="42">
        <v>0</v>
      </c>
      <c r="L778" s="42">
        <v>0</v>
      </c>
    </row>
    <row r="779" spans="1:18" x14ac:dyDescent="0.25">
      <c r="A779" s="40" t="s">
        <v>1961</v>
      </c>
      <c r="B779" s="40" t="s">
        <v>1962</v>
      </c>
      <c r="C779" s="42">
        <v>3178722</v>
      </c>
      <c r="D779" s="42">
        <v>0</v>
      </c>
      <c r="E779" s="42">
        <v>0</v>
      </c>
      <c r="F779" s="42">
        <v>0</v>
      </c>
      <c r="G779" s="42">
        <v>3134826</v>
      </c>
      <c r="H779" s="42">
        <v>0</v>
      </c>
      <c r="I779" s="42">
        <v>0</v>
      </c>
      <c r="J779" s="42">
        <v>0</v>
      </c>
      <c r="K779" s="42">
        <v>0</v>
      </c>
      <c r="L779" s="42">
        <v>0</v>
      </c>
    </row>
    <row r="780" spans="1:18" x14ac:dyDescent="0.25">
      <c r="A780" s="40" t="s">
        <v>1963</v>
      </c>
      <c r="B780" s="40" t="s">
        <v>1964</v>
      </c>
      <c r="C780" s="42">
        <v>1836100</v>
      </c>
      <c r="D780" s="42">
        <v>0</v>
      </c>
      <c r="E780" s="42">
        <v>0</v>
      </c>
      <c r="F780" s="42">
        <v>0</v>
      </c>
      <c r="G780" s="42">
        <v>0</v>
      </c>
      <c r="H780" s="42">
        <v>0</v>
      </c>
      <c r="I780" s="42">
        <v>0</v>
      </c>
      <c r="J780" s="42">
        <v>1836100</v>
      </c>
      <c r="K780" s="42">
        <v>0</v>
      </c>
      <c r="L780" s="42">
        <v>0</v>
      </c>
    </row>
    <row r="781" spans="1:18" ht="46.5" x14ac:dyDescent="0.25">
      <c r="A781" s="40" t="s">
        <v>1965</v>
      </c>
      <c r="B781" s="40" t="s">
        <v>1966</v>
      </c>
      <c r="C781" s="42">
        <v>147134.04999999999</v>
      </c>
      <c r="D781" s="42">
        <v>0</v>
      </c>
      <c r="E781" s="42">
        <v>0</v>
      </c>
      <c r="F781" s="42">
        <v>147134.04999999999</v>
      </c>
      <c r="G781" s="42">
        <v>0</v>
      </c>
      <c r="H781" s="42">
        <v>0</v>
      </c>
      <c r="I781" s="42">
        <v>0</v>
      </c>
      <c r="J781" s="42">
        <v>0</v>
      </c>
      <c r="K781" s="42">
        <v>0</v>
      </c>
      <c r="L781" s="42">
        <v>0</v>
      </c>
    </row>
    <row r="782" spans="1:18" ht="46.5" x14ac:dyDescent="0.25">
      <c r="A782" s="40" t="s">
        <v>1967</v>
      </c>
      <c r="B782" s="40" t="s">
        <v>1968</v>
      </c>
      <c r="C782" s="42">
        <v>48.66</v>
      </c>
      <c r="D782" s="42">
        <v>0</v>
      </c>
      <c r="E782" s="42">
        <v>0</v>
      </c>
      <c r="F782" s="42">
        <v>0</v>
      </c>
      <c r="G782" s="42">
        <v>0</v>
      </c>
      <c r="H782" s="42">
        <v>0</v>
      </c>
      <c r="I782" s="42">
        <v>48.66</v>
      </c>
      <c r="J782" s="42">
        <v>0</v>
      </c>
      <c r="K782" s="42">
        <v>0</v>
      </c>
      <c r="L782" s="42">
        <v>0</v>
      </c>
    </row>
    <row r="783" spans="1:18" ht="116.25" x14ac:dyDescent="0.25">
      <c r="A783" s="40" t="s">
        <v>1969</v>
      </c>
      <c r="B783" s="40" t="s">
        <v>1970</v>
      </c>
      <c r="C783" s="42">
        <v>1219806.0900000001</v>
      </c>
      <c r="D783" s="42">
        <v>0</v>
      </c>
      <c r="E783" s="42">
        <v>0</v>
      </c>
      <c r="F783" s="42">
        <v>0</v>
      </c>
      <c r="G783" s="42">
        <v>0</v>
      </c>
      <c r="H783" s="42">
        <v>0</v>
      </c>
      <c r="I783" s="42">
        <v>0</v>
      </c>
      <c r="J783" s="42">
        <v>1019619.09</v>
      </c>
      <c r="K783" s="42">
        <v>0</v>
      </c>
      <c r="L783" s="42">
        <v>0</v>
      </c>
    </row>
    <row r="784" spans="1:18" ht="139.5" x14ac:dyDescent="0.25">
      <c r="A784" s="40" t="s">
        <v>1971</v>
      </c>
      <c r="B784" s="40" t="s">
        <v>1972</v>
      </c>
      <c r="C784" s="42">
        <v>1427118.47</v>
      </c>
      <c r="D784" s="42">
        <v>0</v>
      </c>
      <c r="E784" s="42">
        <v>0</v>
      </c>
      <c r="F784" s="42">
        <v>0</v>
      </c>
      <c r="G784" s="42">
        <v>0</v>
      </c>
      <c r="H784" s="42">
        <v>0</v>
      </c>
      <c r="I784" s="42">
        <v>1427118.47</v>
      </c>
      <c r="J784" s="42">
        <v>0</v>
      </c>
      <c r="K784" s="42">
        <v>0</v>
      </c>
      <c r="L784" s="42">
        <v>0</v>
      </c>
    </row>
    <row r="785" spans="1:12" ht="46.5" x14ac:dyDescent="0.25">
      <c r="A785" s="40" t="s">
        <v>14</v>
      </c>
      <c r="B785" s="40" t="s">
        <v>1973</v>
      </c>
      <c r="C785" s="42">
        <v>619419.18000000005</v>
      </c>
      <c r="D785" s="42">
        <v>0</v>
      </c>
      <c r="E785" s="42">
        <v>0</v>
      </c>
      <c r="F785" s="42">
        <v>0</v>
      </c>
      <c r="G785" s="42">
        <v>0</v>
      </c>
      <c r="H785" s="42">
        <v>0</v>
      </c>
      <c r="I785" s="42">
        <v>619419.18000000005</v>
      </c>
      <c r="J785" s="42">
        <v>0</v>
      </c>
      <c r="K785" s="42">
        <v>0</v>
      </c>
      <c r="L785" s="42">
        <v>0</v>
      </c>
    </row>
    <row r="786" spans="1:12" ht="93" x14ac:dyDescent="0.25">
      <c r="A786" s="40" t="s">
        <v>15</v>
      </c>
      <c r="B786" s="40" t="s">
        <v>1974</v>
      </c>
      <c r="C786" s="42">
        <v>11836008.48</v>
      </c>
      <c r="D786" s="42">
        <v>0</v>
      </c>
      <c r="E786" s="42">
        <v>0</v>
      </c>
      <c r="F786" s="42">
        <v>0</v>
      </c>
      <c r="G786" s="42">
        <v>0</v>
      </c>
      <c r="H786" s="42">
        <v>0</v>
      </c>
      <c r="I786" s="42">
        <v>0</v>
      </c>
      <c r="J786" s="42">
        <v>11836008.48</v>
      </c>
      <c r="K786" s="42">
        <v>0</v>
      </c>
      <c r="L786" s="42">
        <v>0</v>
      </c>
    </row>
    <row r="787" spans="1:12" ht="45" x14ac:dyDescent="0.25">
      <c r="A787" s="61"/>
      <c r="B787" s="62" t="s">
        <v>1975</v>
      </c>
      <c r="C787" s="63">
        <f t="shared" ref="C787:L787" si="355">C775+C785+C786</f>
        <v>41209965.439999998</v>
      </c>
      <c r="D787" s="63">
        <f t="shared" si="355"/>
        <v>20609186.77</v>
      </c>
      <c r="E787" s="63">
        <f t="shared" si="355"/>
        <v>166512.32000000001</v>
      </c>
      <c r="F787" s="63">
        <f t="shared" si="355"/>
        <v>147134.04999999999</v>
      </c>
      <c r="G787" s="63">
        <f t="shared" si="355"/>
        <v>3134826</v>
      </c>
      <c r="H787" s="63">
        <f t="shared" si="355"/>
        <v>0</v>
      </c>
      <c r="I787" s="63">
        <f t="shared" si="355"/>
        <v>2046586.31</v>
      </c>
      <c r="J787" s="63">
        <f t="shared" si="355"/>
        <v>14861636.99</v>
      </c>
      <c r="K787" s="63">
        <f t="shared" si="355"/>
        <v>0</v>
      </c>
      <c r="L787" s="63">
        <f t="shared" si="355"/>
        <v>0</v>
      </c>
    </row>
    <row r="788" spans="1:12" x14ac:dyDescent="0.25">
      <c r="A788" s="64"/>
      <c r="B788" s="65"/>
      <c r="C788" s="66"/>
      <c r="D788" s="66"/>
      <c r="E788" s="66"/>
      <c r="F788" s="66"/>
      <c r="G788" s="66"/>
      <c r="H788" s="66"/>
      <c r="I788" s="66"/>
      <c r="J788" s="66"/>
      <c r="K788" s="66"/>
      <c r="L788" s="66"/>
    </row>
  </sheetData>
  <mergeCells count="25">
    <mergeCell ref="P1:R5"/>
    <mergeCell ref="D3:L3"/>
    <mergeCell ref="P7:P8"/>
    <mergeCell ref="Q7:Q8"/>
    <mergeCell ref="G6:O6"/>
    <mergeCell ref="P6:R6"/>
    <mergeCell ref="A773:A774"/>
    <mergeCell ref="B773:B774"/>
    <mergeCell ref="C773:C774"/>
    <mergeCell ref="D773:L773"/>
    <mergeCell ref="A6:A8"/>
    <mergeCell ref="B6:B8"/>
    <mergeCell ref="C6:C8"/>
    <mergeCell ref="D6:D8"/>
    <mergeCell ref="E6:E8"/>
    <mergeCell ref="F6:F8"/>
    <mergeCell ref="G7:G8"/>
    <mergeCell ref="H7:H8"/>
    <mergeCell ref="I7:I8"/>
    <mergeCell ref="J7:J8"/>
    <mergeCell ref="K7:K8"/>
    <mergeCell ref="L7:L8"/>
    <mergeCell ref="M7:M8"/>
    <mergeCell ref="N7:N8"/>
    <mergeCell ref="O7:O8"/>
  </mergeCells>
  <pageMargins left="0.39370078740157483" right="0.39370078740157483" top="0.39370078740157483" bottom="0.39370078740157483" header="0.39370078740157483" footer="0.39370078740157483"/>
  <pageSetup paperSize="8" scale="39"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1</vt:i4>
      </vt:variant>
      <vt:variant>
        <vt:lpstr>Įvardytieji diapazonai</vt:lpstr>
      </vt:variant>
      <vt:variant>
        <vt:i4>1</vt:i4>
      </vt:variant>
    </vt:vector>
  </HeadingPairs>
  <TitlesOfParts>
    <vt:vector size="2" baseType="lpstr">
      <vt:lpstr>Planas</vt:lpstr>
      <vt:lpstr>Planas!Print_Titles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Ingrida Maksvytienė</dc:creator>
  <cp:lastModifiedBy>Ingrida Maksvytienė</cp:lastModifiedBy>
  <cp:lastPrinted>2024-09-23T13:03:51Z</cp:lastPrinted>
  <dcterms:created xsi:type="dcterms:W3CDTF">2024-09-23T12:53:18Z</dcterms:created>
  <dcterms:modified xsi:type="dcterms:W3CDTF">2024-09-23T13:03:53Z</dcterms:modified>
</cp:coreProperties>
</file>