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maksvytiene\Desktop\MVP\Administracijos_MVP_2020_m_Rengimui\"/>
    </mc:Choice>
  </mc:AlternateContent>
  <bookViews>
    <workbookView xWindow="0" yWindow="0" windowWidth="20415" windowHeight="6105"/>
  </bookViews>
  <sheets>
    <sheet name="Planas" sheetId="2" r:id="rId1"/>
  </sheets>
  <definedNames>
    <definedName name="_xlnm.Print_Titles" localSheetId="0">Planas!$6:$8</definedName>
  </definedNames>
  <calcPr calcId="152511"/>
</workbook>
</file>

<file path=xl/calcChain.xml><?xml version="1.0" encoding="utf-8"?>
<calcChain xmlns="http://schemas.openxmlformats.org/spreadsheetml/2006/main">
  <c r="E12" i="2" l="1"/>
  <c r="F12" i="2"/>
  <c r="G12" i="2"/>
  <c r="H12" i="2"/>
  <c r="I12" i="2"/>
  <c r="J12" i="2"/>
  <c r="K12" i="2"/>
  <c r="L12" i="2"/>
  <c r="M12" i="2"/>
  <c r="N12" i="2"/>
  <c r="E14" i="2"/>
  <c r="F14" i="2"/>
  <c r="G14" i="2"/>
  <c r="H14" i="2"/>
  <c r="I14" i="2"/>
  <c r="J14" i="2"/>
  <c r="K14" i="2"/>
  <c r="L14" i="2"/>
  <c r="M14" i="2"/>
  <c r="N14" i="2"/>
  <c r="E16" i="2"/>
  <c r="F16" i="2"/>
  <c r="G16" i="2"/>
  <c r="H16" i="2"/>
  <c r="I16" i="2"/>
  <c r="J16" i="2"/>
  <c r="K16" i="2"/>
  <c r="L16" i="2"/>
  <c r="M16" i="2"/>
  <c r="N16" i="2"/>
  <c r="E18" i="2"/>
  <c r="F18" i="2"/>
  <c r="G18" i="2"/>
  <c r="H18" i="2"/>
  <c r="I18" i="2"/>
  <c r="J18" i="2"/>
  <c r="K18" i="2"/>
  <c r="L18" i="2"/>
  <c r="M18" i="2"/>
  <c r="N18" i="2"/>
  <c r="E20" i="2"/>
  <c r="F20" i="2"/>
  <c r="G20" i="2"/>
  <c r="H20" i="2"/>
  <c r="I20" i="2"/>
  <c r="J20" i="2"/>
  <c r="K20" i="2"/>
  <c r="L20" i="2"/>
  <c r="M20" i="2"/>
  <c r="N20" i="2"/>
  <c r="E22" i="2"/>
  <c r="F22" i="2"/>
  <c r="G22" i="2"/>
  <c r="H22" i="2"/>
  <c r="I22" i="2"/>
  <c r="J22" i="2"/>
  <c r="K22" i="2"/>
  <c r="L22" i="2"/>
  <c r="M22" i="2"/>
  <c r="N22" i="2"/>
  <c r="E24" i="2"/>
  <c r="F24" i="2"/>
  <c r="G24" i="2"/>
  <c r="H24" i="2"/>
  <c r="I24" i="2"/>
  <c r="J24" i="2"/>
  <c r="K24" i="2"/>
  <c r="L24" i="2"/>
  <c r="M24" i="2"/>
  <c r="N24" i="2"/>
  <c r="E29" i="2"/>
  <c r="F29" i="2"/>
  <c r="G29" i="2"/>
  <c r="H29" i="2"/>
  <c r="I29" i="2"/>
  <c r="J29" i="2"/>
  <c r="K29" i="2"/>
  <c r="L29" i="2"/>
  <c r="M29" i="2"/>
  <c r="N29" i="2"/>
  <c r="E34" i="2"/>
  <c r="E33" i="2" s="1"/>
  <c r="F34" i="2"/>
  <c r="F33" i="2" s="1"/>
  <c r="G34" i="2"/>
  <c r="H34" i="2"/>
  <c r="I34" i="2"/>
  <c r="I33" i="2" s="1"/>
  <c r="J34" i="2"/>
  <c r="J33" i="2" s="1"/>
  <c r="K34" i="2"/>
  <c r="L34" i="2"/>
  <c r="M34" i="2"/>
  <c r="M33" i="2" s="1"/>
  <c r="N34" i="2"/>
  <c r="E36" i="2"/>
  <c r="F36" i="2"/>
  <c r="G36" i="2"/>
  <c r="H36" i="2"/>
  <c r="I36" i="2"/>
  <c r="J36" i="2"/>
  <c r="K36" i="2"/>
  <c r="L36" i="2"/>
  <c r="M36" i="2"/>
  <c r="N36" i="2"/>
  <c r="L38" i="2"/>
  <c r="E40" i="2"/>
  <c r="E39" i="2" s="1"/>
  <c r="E38" i="2" s="1"/>
  <c r="F40" i="2"/>
  <c r="F39" i="2" s="1"/>
  <c r="F38" i="2" s="1"/>
  <c r="G40" i="2"/>
  <c r="G39" i="2" s="1"/>
  <c r="G38" i="2" s="1"/>
  <c r="H40" i="2"/>
  <c r="H39" i="2" s="1"/>
  <c r="H38" i="2" s="1"/>
  <c r="I40" i="2"/>
  <c r="I39" i="2" s="1"/>
  <c r="I38" i="2" s="1"/>
  <c r="J40" i="2"/>
  <c r="J39" i="2" s="1"/>
  <c r="J38" i="2" s="1"/>
  <c r="K40" i="2"/>
  <c r="K39" i="2" s="1"/>
  <c r="K38" i="2" s="1"/>
  <c r="L40" i="2"/>
  <c r="L39" i="2" s="1"/>
  <c r="M40" i="2"/>
  <c r="M39" i="2" s="1"/>
  <c r="M38" i="2" s="1"/>
  <c r="N40" i="2"/>
  <c r="N39" i="2" s="1"/>
  <c r="N38" i="2" s="1"/>
  <c r="E44" i="2"/>
  <c r="F44" i="2"/>
  <c r="G44" i="2"/>
  <c r="G43" i="2" s="1"/>
  <c r="G42" i="2" s="1"/>
  <c r="H44" i="2"/>
  <c r="I44" i="2"/>
  <c r="J44" i="2"/>
  <c r="K44" i="2"/>
  <c r="K43" i="2" s="1"/>
  <c r="K42" i="2" s="1"/>
  <c r="L44" i="2"/>
  <c r="M44" i="2"/>
  <c r="N44" i="2"/>
  <c r="E46" i="2"/>
  <c r="F46" i="2"/>
  <c r="G46" i="2"/>
  <c r="H46" i="2"/>
  <c r="I46" i="2"/>
  <c r="J46" i="2"/>
  <c r="K46" i="2"/>
  <c r="L46" i="2"/>
  <c r="M46" i="2"/>
  <c r="N46" i="2"/>
  <c r="E50" i="2"/>
  <c r="F50" i="2"/>
  <c r="F49" i="2" s="1"/>
  <c r="F48" i="2" s="1"/>
  <c r="G50" i="2"/>
  <c r="G49" i="2" s="1"/>
  <c r="G48" i="2" s="1"/>
  <c r="H50" i="2"/>
  <c r="I50" i="2"/>
  <c r="J50" i="2"/>
  <c r="J49" i="2" s="1"/>
  <c r="J48" i="2" s="1"/>
  <c r="K50" i="2"/>
  <c r="K49" i="2" s="1"/>
  <c r="K48" i="2" s="1"/>
  <c r="L50" i="2"/>
  <c r="M50" i="2"/>
  <c r="N50" i="2"/>
  <c r="N49" i="2" s="1"/>
  <c r="N48" i="2" s="1"/>
  <c r="E52" i="2"/>
  <c r="F52" i="2"/>
  <c r="G52" i="2"/>
  <c r="H52" i="2"/>
  <c r="H49" i="2" s="1"/>
  <c r="H48" i="2" s="1"/>
  <c r="I52" i="2"/>
  <c r="J52" i="2"/>
  <c r="K52" i="2"/>
  <c r="L52" i="2"/>
  <c r="L49" i="2" s="1"/>
  <c r="L48" i="2" s="1"/>
  <c r="M52" i="2"/>
  <c r="N52" i="2"/>
  <c r="H55" i="2"/>
  <c r="H54" i="2" s="1"/>
  <c r="E56" i="2"/>
  <c r="E55" i="2" s="1"/>
  <c r="E54" i="2" s="1"/>
  <c r="F56" i="2"/>
  <c r="F55" i="2" s="1"/>
  <c r="F54" i="2" s="1"/>
  <c r="G56" i="2"/>
  <c r="G55" i="2" s="1"/>
  <c r="G54" i="2" s="1"/>
  <c r="H56" i="2"/>
  <c r="I56" i="2"/>
  <c r="I55" i="2" s="1"/>
  <c r="I54" i="2" s="1"/>
  <c r="J56" i="2"/>
  <c r="J55" i="2" s="1"/>
  <c r="J54" i="2" s="1"/>
  <c r="K56" i="2"/>
  <c r="K55" i="2" s="1"/>
  <c r="K54" i="2" s="1"/>
  <c r="L56" i="2"/>
  <c r="L55" i="2" s="1"/>
  <c r="L54" i="2" s="1"/>
  <c r="M56" i="2"/>
  <c r="M55" i="2" s="1"/>
  <c r="M54" i="2" s="1"/>
  <c r="N56" i="2"/>
  <c r="N55" i="2" s="1"/>
  <c r="N54" i="2" s="1"/>
  <c r="J67" i="2"/>
  <c r="J66" i="2" s="1"/>
  <c r="N67" i="2"/>
  <c r="N66" i="2" s="1"/>
  <c r="E68" i="2"/>
  <c r="E67" i="2" s="1"/>
  <c r="E66" i="2" s="1"/>
  <c r="F68" i="2"/>
  <c r="F67" i="2" s="1"/>
  <c r="F66" i="2" s="1"/>
  <c r="G68" i="2"/>
  <c r="G67" i="2" s="1"/>
  <c r="G66" i="2" s="1"/>
  <c r="H68" i="2"/>
  <c r="H67" i="2" s="1"/>
  <c r="H66" i="2" s="1"/>
  <c r="I68" i="2"/>
  <c r="I67" i="2" s="1"/>
  <c r="I66" i="2" s="1"/>
  <c r="J68" i="2"/>
  <c r="K68" i="2"/>
  <c r="K67" i="2" s="1"/>
  <c r="K66" i="2" s="1"/>
  <c r="L68" i="2"/>
  <c r="L67" i="2" s="1"/>
  <c r="L66" i="2" s="1"/>
  <c r="M68" i="2"/>
  <c r="M67" i="2" s="1"/>
  <c r="M66" i="2" s="1"/>
  <c r="N68" i="2"/>
  <c r="E75" i="2"/>
  <c r="F75" i="2"/>
  <c r="G75" i="2"/>
  <c r="H75" i="2"/>
  <c r="I75" i="2"/>
  <c r="J75" i="2"/>
  <c r="K75" i="2"/>
  <c r="L75" i="2"/>
  <c r="M75" i="2"/>
  <c r="N75" i="2"/>
  <c r="E77" i="2"/>
  <c r="F77" i="2"/>
  <c r="G77" i="2"/>
  <c r="H77" i="2"/>
  <c r="I77" i="2"/>
  <c r="J77" i="2"/>
  <c r="K77" i="2"/>
  <c r="L77" i="2"/>
  <c r="M77" i="2"/>
  <c r="N77" i="2"/>
  <c r="E79" i="2"/>
  <c r="F79" i="2"/>
  <c r="G79" i="2"/>
  <c r="H79" i="2"/>
  <c r="I79" i="2"/>
  <c r="J79" i="2"/>
  <c r="K79" i="2"/>
  <c r="L79" i="2"/>
  <c r="M79" i="2"/>
  <c r="N79" i="2"/>
  <c r="E82" i="2"/>
  <c r="F82" i="2"/>
  <c r="G82" i="2"/>
  <c r="H82" i="2"/>
  <c r="I82" i="2"/>
  <c r="J82" i="2"/>
  <c r="K82" i="2"/>
  <c r="L82" i="2"/>
  <c r="M82" i="2"/>
  <c r="N82" i="2"/>
  <c r="E85" i="2"/>
  <c r="F85" i="2"/>
  <c r="G85" i="2"/>
  <c r="H85" i="2"/>
  <c r="I85" i="2"/>
  <c r="J85" i="2"/>
  <c r="K85" i="2"/>
  <c r="L85" i="2"/>
  <c r="M85" i="2"/>
  <c r="N85" i="2"/>
  <c r="E88" i="2"/>
  <c r="F88" i="2"/>
  <c r="G88" i="2"/>
  <c r="H88" i="2"/>
  <c r="I88" i="2"/>
  <c r="J88" i="2"/>
  <c r="K88" i="2"/>
  <c r="L88" i="2"/>
  <c r="M88" i="2"/>
  <c r="N88" i="2"/>
  <c r="E94" i="2"/>
  <c r="F94" i="2"/>
  <c r="G94" i="2"/>
  <c r="H94" i="2"/>
  <c r="I94" i="2"/>
  <c r="J94" i="2"/>
  <c r="K94" i="2"/>
  <c r="L94" i="2"/>
  <c r="M94" i="2"/>
  <c r="N94" i="2"/>
  <c r="E96" i="2"/>
  <c r="F96" i="2"/>
  <c r="G96" i="2"/>
  <c r="H96" i="2"/>
  <c r="I96" i="2"/>
  <c r="J96" i="2"/>
  <c r="K96" i="2"/>
  <c r="L96" i="2"/>
  <c r="M96" i="2"/>
  <c r="N96" i="2"/>
  <c r="E98" i="2"/>
  <c r="F98" i="2"/>
  <c r="G98" i="2"/>
  <c r="H98" i="2"/>
  <c r="I98" i="2"/>
  <c r="J98" i="2"/>
  <c r="K98" i="2"/>
  <c r="L98" i="2"/>
  <c r="M98" i="2"/>
  <c r="N98" i="2"/>
  <c r="E100" i="2"/>
  <c r="F100" i="2"/>
  <c r="G100" i="2"/>
  <c r="H100" i="2"/>
  <c r="I100" i="2"/>
  <c r="J100" i="2"/>
  <c r="K100" i="2"/>
  <c r="L100" i="2"/>
  <c r="M100" i="2"/>
  <c r="N100" i="2"/>
  <c r="E102" i="2"/>
  <c r="F102" i="2"/>
  <c r="G102" i="2"/>
  <c r="H102" i="2"/>
  <c r="I102" i="2"/>
  <c r="J102" i="2"/>
  <c r="K102" i="2"/>
  <c r="L102" i="2"/>
  <c r="M102" i="2"/>
  <c r="N102" i="2"/>
  <c r="E104" i="2"/>
  <c r="F104" i="2"/>
  <c r="G104" i="2"/>
  <c r="H104" i="2"/>
  <c r="I104" i="2"/>
  <c r="J104" i="2"/>
  <c r="K104" i="2"/>
  <c r="L104" i="2"/>
  <c r="M104" i="2"/>
  <c r="N104" i="2"/>
  <c r="E106" i="2"/>
  <c r="F106" i="2"/>
  <c r="G106" i="2"/>
  <c r="H106" i="2"/>
  <c r="I106" i="2"/>
  <c r="J106" i="2"/>
  <c r="K106" i="2"/>
  <c r="L106" i="2"/>
  <c r="M106" i="2"/>
  <c r="N106" i="2"/>
  <c r="E109" i="2"/>
  <c r="E108" i="2" s="1"/>
  <c r="F109" i="2"/>
  <c r="F108" i="2" s="1"/>
  <c r="G109" i="2"/>
  <c r="H109" i="2"/>
  <c r="I109" i="2"/>
  <c r="I108" i="2" s="1"/>
  <c r="J109" i="2"/>
  <c r="J108" i="2" s="1"/>
  <c r="K109" i="2"/>
  <c r="L109" i="2"/>
  <c r="L108" i="2" s="1"/>
  <c r="M109" i="2"/>
  <c r="M108" i="2" s="1"/>
  <c r="N109" i="2"/>
  <c r="N108" i="2" s="1"/>
  <c r="E111" i="2"/>
  <c r="F111" i="2"/>
  <c r="G111" i="2"/>
  <c r="H111" i="2"/>
  <c r="H108" i="2" s="1"/>
  <c r="I111" i="2"/>
  <c r="J111" i="2"/>
  <c r="K111" i="2"/>
  <c r="L111" i="2"/>
  <c r="M111" i="2"/>
  <c r="N111" i="2"/>
  <c r="E115" i="2"/>
  <c r="E114" i="2" s="1"/>
  <c r="F115" i="2"/>
  <c r="F114" i="2" s="1"/>
  <c r="F113" i="2" s="1"/>
  <c r="G115" i="2"/>
  <c r="G114" i="2" s="1"/>
  <c r="H115" i="2"/>
  <c r="H114" i="2" s="1"/>
  <c r="I115" i="2"/>
  <c r="I114" i="2" s="1"/>
  <c r="J115" i="2"/>
  <c r="J114" i="2" s="1"/>
  <c r="J113" i="2" s="1"/>
  <c r="K115" i="2"/>
  <c r="K114" i="2" s="1"/>
  <c r="L115" i="2"/>
  <c r="L114" i="2" s="1"/>
  <c r="M115" i="2"/>
  <c r="M114" i="2" s="1"/>
  <c r="N115" i="2"/>
  <c r="N114" i="2" s="1"/>
  <c r="N113" i="2" s="1"/>
  <c r="H117" i="2"/>
  <c r="E118" i="2"/>
  <c r="E117" i="2" s="1"/>
  <c r="F118" i="2"/>
  <c r="F117" i="2" s="1"/>
  <c r="G118" i="2"/>
  <c r="G117" i="2" s="1"/>
  <c r="H118" i="2"/>
  <c r="I118" i="2"/>
  <c r="I117" i="2" s="1"/>
  <c r="J118" i="2"/>
  <c r="J117" i="2" s="1"/>
  <c r="K118" i="2"/>
  <c r="K117" i="2" s="1"/>
  <c r="L118" i="2"/>
  <c r="L117" i="2" s="1"/>
  <c r="M118" i="2"/>
  <c r="M117" i="2" s="1"/>
  <c r="N118" i="2"/>
  <c r="N117" i="2" s="1"/>
  <c r="E122" i="2"/>
  <c r="F122" i="2"/>
  <c r="G122" i="2"/>
  <c r="H122" i="2"/>
  <c r="I122" i="2"/>
  <c r="J122" i="2"/>
  <c r="K122" i="2"/>
  <c r="L122" i="2"/>
  <c r="M122" i="2"/>
  <c r="N122" i="2"/>
  <c r="E132" i="2"/>
  <c r="F132" i="2"/>
  <c r="F121" i="2" s="1"/>
  <c r="G132" i="2"/>
  <c r="H132" i="2"/>
  <c r="I132" i="2"/>
  <c r="J132" i="2"/>
  <c r="J121" i="2" s="1"/>
  <c r="K132" i="2"/>
  <c r="L132" i="2"/>
  <c r="M132" i="2"/>
  <c r="N132" i="2"/>
  <c r="N121" i="2" s="1"/>
  <c r="E142" i="2"/>
  <c r="F142" i="2"/>
  <c r="G142" i="2"/>
  <c r="H142" i="2"/>
  <c r="I142" i="2"/>
  <c r="J142" i="2"/>
  <c r="K142" i="2"/>
  <c r="L142" i="2"/>
  <c r="M142" i="2"/>
  <c r="N142" i="2"/>
  <c r="E145" i="2"/>
  <c r="E144" i="2" s="1"/>
  <c r="F145" i="2"/>
  <c r="F144" i="2" s="1"/>
  <c r="G145" i="2"/>
  <c r="G144" i="2" s="1"/>
  <c r="H145" i="2"/>
  <c r="H144" i="2" s="1"/>
  <c r="I145" i="2"/>
  <c r="I144" i="2" s="1"/>
  <c r="J145" i="2"/>
  <c r="J144" i="2" s="1"/>
  <c r="K145" i="2"/>
  <c r="K144" i="2" s="1"/>
  <c r="L145" i="2"/>
  <c r="L144" i="2" s="1"/>
  <c r="M145" i="2"/>
  <c r="M144" i="2" s="1"/>
  <c r="N145" i="2"/>
  <c r="N144" i="2" s="1"/>
  <c r="E149" i="2"/>
  <c r="F149" i="2"/>
  <c r="G149" i="2"/>
  <c r="H149" i="2"/>
  <c r="I149" i="2"/>
  <c r="J149" i="2"/>
  <c r="K149" i="2"/>
  <c r="L149" i="2"/>
  <c r="L148" i="2" s="1"/>
  <c r="L147" i="2" s="1"/>
  <c r="M149" i="2"/>
  <c r="N149" i="2"/>
  <c r="E151" i="2"/>
  <c r="F151" i="2"/>
  <c r="G151" i="2"/>
  <c r="H151" i="2"/>
  <c r="I151" i="2"/>
  <c r="J151" i="2"/>
  <c r="K151" i="2"/>
  <c r="L151" i="2"/>
  <c r="M151" i="2"/>
  <c r="N151" i="2"/>
  <c r="E153" i="2"/>
  <c r="F153" i="2"/>
  <c r="G153" i="2"/>
  <c r="H153" i="2"/>
  <c r="I153" i="2"/>
  <c r="J153" i="2"/>
  <c r="K153" i="2"/>
  <c r="L153" i="2"/>
  <c r="M153" i="2"/>
  <c r="N153" i="2"/>
  <c r="E155" i="2"/>
  <c r="F155" i="2"/>
  <c r="G155" i="2"/>
  <c r="H155" i="2"/>
  <c r="I155" i="2"/>
  <c r="J155" i="2"/>
  <c r="K155" i="2"/>
  <c r="L155" i="2"/>
  <c r="M155" i="2"/>
  <c r="N155" i="2"/>
  <c r="E158" i="2"/>
  <c r="F158" i="2"/>
  <c r="G158" i="2"/>
  <c r="H158" i="2"/>
  <c r="I158" i="2"/>
  <c r="J158" i="2"/>
  <c r="K158" i="2"/>
  <c r="L158" i="2"/>
  <c r="M158" i="2"/>
  <c r="N158" i="2"/>
  <c r="F162" i="2"/>
  <c r="E163" i="2"/>
  <c r="F163" i="2"/>
  <c r="G163" i="2"/>
  <c r="H163" i="2"/>
  <c r="I163" i="2"/>
  <c r="J163" i="2"/>
  <c r="K163" i="2"/>
  <c r="L163" i="2"/>
  <c r="M163" i="2"/>
  <c r="N163" i="2"/>
  <c r="E165" i="2"/>
  <c r="F165" i="2"/>
  <c r="G165" i="2"/>
  <c r="H165" i="2"/>
  <c r="I165" i="2"/>
  <c r="J165" i="2"/>
  <c r="J162" i="2" s="1"/>
  <c r="K165" i="2"/>
  <c r="L165" i="2"/>
  <c r="M165" i="2"/>
  <c r="N165" i="2"/>
  <c r="N162" i="2" s="1"/>
  <c r="E167" i="2"/>
  <c r="F167" i="2"/>
  <c r="G167" i="2"/>
  <c r="H167" i="2"/>
  <c r="I167" i="2"/>
  <c r="J167" i="2"/>
  <c r="K167" i="2"/>
  <c r="L167" i="2"/>
  <c r="M167" i="2"/>
  <c r="N167" i="2"/>
  <c r="E172" i="2"/>
  <c r="F172" i="2"/>
  <c r="G172" i="2"/>
  <c r="H172" i="2"/>
  <c r="I172" i="2"/>
  <c r="J172" i="2"/>
  <c r="K172" i="2"/>
  <c r="L172" i="2"/>
  <c r="M172" i="2"/>
  <c r="N172" i="2"/>
  <c r="E174" i="2"/>
  <c r="F174" i="2"/>
  <c r="G174" i="2"/>
  <c r="H174" i="2"/>
  <c r="I174" i="2"/>
  <c r="J174" i="2"/>
  <c r="K174" i="2"/>
  <c r="L174" i="2"/>
  <c r="M174" i="2"/>
  <c r="N174" i="2"/>
  <c r="E177" i="2"/>
  <c r="F177" i="2"/>
  <c r="G177" i="2"/>
  <c r="H177" i="2"/>
  <c r="I177" i="2"/>
  <c r="J177" i="2"/>
  <c r="K177" i="2"/>
  <c r="L177" i="2"/>
  <c r="M177" i="2"/>
  <c r="N177" i="2"/>
  <c r="E181" i="2"/>
  <c r="F181" i="2"/>
  <c r="G181" i="2"/>
  <c r="H181" i="2"/>
  <c r="I181" i="2"/>
  <c r="J181" i="2"/>
  <c r="K181" i="2"/>
  <c r="L181" i="2"/>
  <c r="M181" i="2"/>
  <c r="N181" i="2"/>
  <c r="E183" i="2"/>
  <c r="F183" i="2"/>
  <c r="G183" i="2"/>
  <c r="H183" i="2"/>
  <c r="I183" i="2"/>
  <c r="J183" i="2"/>
  <c r="K183" i="2"/>
  <c r="L183" i="2"/>
  <c r="M183" i="2"/>
  <c r="N183" i="2"/>
  <c r="E185" i="2"/>
  <c r="F185" i="2"/>
  <c r="G185" i="2"/>
  <c r="H185" i="2"/>
  <c r="I185" i="2"/>
  <c r="J185" i="2"/>
  <c r="K185" i="2"/>
  <c r="L185" i="2"/>
  <c r="M185" i="2"/>
  <c r="N185" i="2"/>
  <c r="E188" i="2"/>
  <c r="F188" i="2"/>
  <c r="G188" i="2"/>
  <c r="H188" i="2"/>
  <c r="I188" i="2"/>
  <c r="J188" i="2"/>
  <c r="K188" i="2"/>
  <c r="L188" i="2"/>
  <c r="M188" i="2"/>
  <c r="N188" i="2"/>
  <c r="E192" i="2"/>
  <c r="E191" i="2" s="1"/>
  <c r="E190" i="2" s="1"/>
  <c r="F192" i="2"/>
  <c r="F191" i="2" s="1"/>
  <c r="F190" i="2" s="1"/>
  <c r="G192" i="2"/>
  <c r="G191" i="2" s="1"/>
  <c r="G190" i="2" s="1"/>
  <c r="H192" i="2"/>
  <c r="H191" i="2" s="1"/>
  <c r="H190" i="2" s="1"/>
  <c r="I192" i="2"/>
  <c r="I191" i="2" s="1"/>
  <c r="I190" i="2" s="1"/>
  <c r="J192" i="2"/>
  <c r="J191" i="2" s="1"/>
  <c r="J190" i="2" s="1"/>
  <c r="K192" i="2"/>
  <c r="K191" i="2" s="1"/>
  <c r="K190" i="2" s="1"/>
  <c r="L192" i="2"/>
  <c r="L191" i="2" s="1"/>
  <c r="L190" i="2" s="1"/>
  <c r="M192" i="2"/>
  <c r="M191" i="2" s="1"/>
  <c r="M190" i="2" s="1"/>
  <c r="N192" i="2"/>
  <c r="N191" i="2" s="1"/>
  <c r="N190" i="2" s="1"/>
  <c r="N195" i="2"/>
  <c r="N194" i="2" s="1"/>
  <c r="E196" i="2"/>
  <c r="E195" i="2" s="1"/>
  <c r="E194" i="2" s="1"/>
  <c r="F196" i="2"/>
  <c r="F195" i="2" s="1"/>
  <c r="F194" i="2" s="1"/>
  <c r="G196" i="2"/>
  <c r="G195" i="2" s="1"/>
  <c r="G194" i="2" s="1"/>
  <c r="H196" i="2"/>
  <c r="H195" i="2" s="1"/>
  <c r="H194" i="2" s="1"/>
  <c r="I196" i="2"/>
  <c r="I195" i="2" s="1"/>
  <c r="I194" i="2" s="1"/>
  <c r="J196" i="2"/>
  <c r="J195" i="2" s="1"/>
  <c r="J194" i="2" s="1"/>
  <c r="K196" i="2"/>
  <c r="K195" i="2" s="1"/>
  <c r="K194" i="2" s="1"/>
  <c r="L196" i="2"/>
  <c r="L195" i="2" s="1"/>
  <c r="L194" i="2" s="1"/>
  <c r="M196" i="2"/>
  <c r="M195" i="2" s="1"/>
  <c r="M194" i="2" s="1"/>
  <c r="N196" i="2"/>
  <c r="E200" i="2"/>
  <c r="F200" i="2"/>
  <c r="G200" i="2"/>
  <c r="H200" i="2"/>
  <c r="I200" i="2"/>
  <c r="J200" i="2"/>
  <c r="K200" i="2"/>
  <c r="L200" i="2"/>
  <c r="L199" i="2" s="1"/>
  <c r="L198" i="2" s="1"/>
  <c r="M200" i="2"/>
  <c r="N200" i="2"/>
  <c r="E203" i="2"/>
  <c r="F203" i="2"/>
  <c r="G203" i="2"/>
  <c r="H203" i="2"/>
  <c r="I203" i="2"/>
  <c r="J203" i="2"/>
  <c r="K203" i="2"/>
  <c r="L203" i="2"/>
  <c r="M203" i="2"/>
  <c r="N203" i="2"/>
  <c r="E205" i="2"/>
  <c r="F205" i="2"/>
  <c r="G205" i="2"/>
  <c r="H205" i="2"/>
  <c r="I205" i="2"/>
  <c r="J205" i="2"/>
  <c r="K205" i="2"/>
  <c r="L205" i="2"/>
  <c r="M205" i="2"/>
  <c r="N205" i="2"/>
  <c r="G208" i="2"/>
  <c r="E209" i="2"/>
  <c r="E208" i="2" s="1"/>
  <c r="F209" i="2"/>
  <c r="F208" i="2" s="1"/>
  <c r="G209" i="2"/>
  <c r="H209" i="2"/>
  <c r="H208" i="2" s="1"/>
  <c r="I209" i="2"/>
  <c r="I208" i="2" s="1"/>
  <c r="J209" i="2"/>
  <c r="J208" i="2" s="1"/>
  <c r="K209" i="2"/>
  <c r="K208" i="2" s="1"/>
  <c r="L209" i="2"/>
  <c r="L208" i="2" s="1"/>
  <c r="M209" i="2"/>
  <c r="M208" i="2" s="1"/>
  <c r="N209" i="2"/>
  <c r="N208" i="2" s="1"/>
  <c r="E212" i="2"/>
  <c r="F212" i="2"/>
  <c r="G212" i="2"/>
  <c r="H212" i="2"/>
  <c r="I212" i="2"/>
  <c r="J212" i="2"/>
  <c r="K212" i="2"/>
  <c r="L212" i="2"/>
  <c r="M212" i="2"/>
  <c r="N212" i="2"/>
  <c r="E214" i="2"/>
  <c r="F214" i="2"/>
  <c r="G214" i="2"/>
  <c r="H214" i="2"/>
  <c r="I214" i="2"/>
  <c r="J214" i="2"/>
  <c r="K214" i="2"/>
  <c r="L214" i="2"/>
  <c r="M214" i="2"/>
  <c r="N214" i="2"/>
  <c r="E216" i="2"/>
  <c r="F216" i="2"/>
  <c r="G216" i="2"/>
  <c r="H216" i="2"/>
  <c r="I216" i="2"/>
  <c r="J216" i="2"/>
  <c r="K216" i="2"/>
  <c r="L216" i="2"/>
  <c r="M216" i="2"/>
  <c r="N216" i="2"/>
  <c r="E219" i="2"/>
  <c r="E218" i="2" s="1"/>
  <c r="M219" i="2"/>
  <c r="M218" i="2" s="1"/>
  <c r="E220" i="2"/>
  <c r="F220" i="2"/>
  <c r="F219" i="2" s="1"/>
  <c r="F218" i="2" s="1"/>
  <c r="G220" i="2"/>
  <c r="G219" i="2" s="1"/>
  <c r="G218" i="2" s="1"/>
  <c r="H220" i="2"/>
  <c r="H219" i="2" s="1"/>
  <c r="H218" i="2" s="1"/>
  <c r="I220" i="2"/>
  <c r="I219" i="2" s="1"/>
  <c r="I218" i="2" s="1"/>
  <c r="J220" i="2"/>
  <c r="J219" i="2" s="1"/>
  <c r="J218" i="2" s="1"/>
  <c r="K220" i="2"/>
  <c r="K219" i="2" s="1"/>
  <c r="K218" i="2" s="1"/>
  <c r="L220" i="2"/>
  <c r="L219" i="2" s="1"/>
  <c r="L218" i="2" s="1"/>
  <c r="M220" i="2"/>
  <c r="N220" i="2"/>
  <c r="N219" i="2" s="1"/>
  <c r="N218" i="2" s="1"/>
  <c r="F223" i="2"/>
  <c r="G223" i="2"/>
  <c r="N223" i="2"/>
  <c r="E224" i="2"/>
  <c r="E223" i="2" s="1"/>
  <c r="F224" i="2"/>
  <c r="G224" i="2"/>
  <c r="H224" i="2"/>
  <c r="H223" i="2" s="1"/>
  <c r="H222" i="2" s="1"/>
  <c r="I224" i="2"/>
  <c r="I223" i="2" s="1"/>
  <c r="J224" i="2"/>
  <c r="J223" i="2" s="1"/>
  <c r="K224" i="2"/>
  <c r="K223" i="2" s="1"/>
  <c r="K222" i="2" s="1"/>
  <c r="L224" i="2"/>
  <c r="L223" i="2" s="1"/>
  <c r="M224" i="2"/>
  <c r="M223" i="2" s="1"/>
  <c r="N224" i="2"/>
  <c r="G226" i="2"/>
  <c r="E227" i="2"/>
  <c r="E226" i="2" s="1"/>
  <c r="F227" i="2"/>
  <c r="F226" i="2" s="1"/>
  <c r="G227" i="2"/>
  <c r="H227" i="2"/>
  <c r="H226" i="2" s="1"/>
  <c r="I227" i="2"/>
  <c r="I226" i="2" s="1"/>
  <c r="J227" i="2"/>
  <c r="J226" i="2" s="1"/>
  <c r="K227" i="2"/>
  <c r="K226" i="2" s="1"/>
  <c r="L227" i="2"/>
  <c r="L226" i="2" s="1"/>
  <c r="M227" i="2"/>
  <c r="M226" i="2" s="1"/>
  <c r="N227" i="2"/>
  <c r="N226" i="2" s="1"/>
  <c r="E230" i="2"/>
  <c r="E229" i="2" s="1"/>
  <c r="H230" i="2"/>
  <c r="H229" i="2" s="1"/>
  <c r="E231" i="2"/>
  <c r="F231" i="2"/>
  <c r="F230" i="2" s="1"/>
  <c r="F229" i="2" s="1"/>
  <c r="G231" i="2"/>
  <c r="G230" i="2" s="1"/>
  <c r="G229" i="2" s="1"/>
  <c r="H231" i="2"/>
  <c r="I231" i="2"/>
  <c r="I230" i="2" s="1"/>
  <c r="I229" i="2" s="1"/>
  <c r="J231" i="2"/>
  <c r="J230" i="2" s="1"/>
  <c r="J229" i="2" s="1"/>
  <c r="K231" i="2"/>
  <c r="K230" i="2" s="1"/>
  <c r="K229" i="2" s="1"/>
  <c r="L231" i="2"/>
  <c r="L230" i="2" s="1"/>
  <c r="L229" i="2" s="1"/>
  <c r="M231" i="2"/>
  <c r="M230" i="2" s="1"/>
  <c r="M229" i="2" s="1"/>
  <c r="N231" i="2"/>
  <c r="N230" i="2" s="1"/>
  <c r="N229" i="2" s="1"/>
  <c r="E235" i="2"/>
  <c r="F235" i="2"/>
  <c r="G235" i="2"/>
  <c r="H235" i="2"/>
  <c r="I235" i="2"/>
  <c r="J235" i="2"/>
  <c r="K235" i="2"/>
  <c r="K234" i="2" s="1"/>
  <c r="K233" i="2" s="1"/>
  <c r="L235" i="2"/>
  <c r="M235" i="2"/>
  <c r="N235" i="2"/>
  <c r="E237" i="2"/>
  <c r="F237" i="2"/>
  <c r="G237" i="2"/>
  <c r="H237" i="2"/>
  <c r="I237" i="2"/>
  <c r="J237" i="2"/>
  <c r="K237" i="2"/>
  <c r="L237" i="2"/>
  <c r="M237" i="2"/>
  <c r="N237" i="2"/>
  <c r="H241" i="2"/>
  <c r="E242" i="2"/>
  <c r="E241" i="2" s="1"/>
  <c r="F242" i="2"/>
  <c r="F241" i="2" s="1"/>
  <c r="G242" i="2"/>
  <c r="G241" i="2" s="1"/>
  <c r="H242" i="2"/>
  <c r="I242" i="2"/>
  <c r="I241" i="2" s="1"/>
  <c r="J242" i="2"/>
  <c r="J241" i="2" s="1"/>
  <c r="J240" i="2" s="1"/>
  <c r="K242" i="2"/>
  <c r="K241" i="2" s="1"/>
  <c r="L242" i="2"/>
  <c r="L241" i="2" s="1"/>
  <c r="M242" i="2"/>
  <c r="M241" i="2" s="1"/>
  <c r="N242" i="2"/>
  <c r="N241" i="2" s="1"/>
  <c r="H244" i="2"/>
  <c r="E245" i="2"/>
  <c r="E244" i="2" s="1"/>
  <c r="F245" i="2"/>
  <c r="F244" i="2" s="1"/>
  <c r="G245" i="2"/>
  <c r="G244" i="2" s="1"/>
  <c r="H245" i="2"/>
  <c r="I245" i="2"/>
  <c r="I244" i="2" s="1"/>
  <c r="J245" i="2"/>
  <c r="J244" i="2" s="1"/>
  <c r="K245" i="2"/>
  <c r="K244" i="2" s="1"/>
  <c r="L245" i="2"/>
  <c r="L244" i="2" s="1"/>
  <c r="M245" i="2"/>
  <c r="M244" i="2" s="1"/>
  <c r="N245" i="2"/>
  <c r="N244" i="2" s="1"/>
  <c r="E250" i="2"/>
  <c r="F250" i="2"/>
  <c r="G250" i="2"/>
  <c r="H250" i="2"/>
  <c r="I250" i="2"/>
  <c r="J250" i="2"/>
  <c r="K250" i="2"/>
  <c r="L250" i="2"/>
  <c r="M250" i="2"/>
  <c r="N250" i="2"/>
  <c r="E252" i="2"/>
  <c r="F252" i="2"/>
  <c r="F249" i="2" s="1"/>
  <c r="F248" i="2" s="1"/>
  <c r="G252" i="2"/>
  <c r="H252" i="2"/>
  <c r="I252" i="2"/>
  <c r="J252" i="2"/>
  <c r="J249" i="2" s="1"/>
  <c r="K252" i="2"/>
  <c r="L252" i="2"/>
  <c r="M252" i="2"/>
  <c r="N252" i="2"/>
  <c r="N249" i="2" s="1"/>
  <c r="E254" i="2"/>
  <c r="F254" i="2"/>
  <c r="G254" i="2"/>
  <c r="H254" i="2"/>
  <c r="I254" i="2"/>
  <c r="J254" i="2"/>
  <c r="K254" i="2"/>
  <c r="L254" i="2"/>
  <c r="M254" i="2"/>
  <c r="N254" i="2"/>
  <c r="J256" i="2"/>
  <c r="N256" i="2"/>
  <c r="E257" i="2"/>
  <c r="E256" i="2" s="1"/>
  <c r="F257" i="2"/>
  <c r="F256" i="2" s="1"/>
  <c r="G257" i="2"/>
  <c r="G256" i="2" s="1"/>
  <c r="H257" i="2"/>
  <c r="H256" i="2" s="1"/>
  <c r="I257" i="2"/>
  <c r="I256" i="2" s="1"/>
  <c r="J257" i="2"/>
  <c r="K257" i="2"/>
  <c r="K256" i="2" s="1"/>
  <c r="L257" i="2"/>
  <c r="L256" i="2" s="1"/>
  <c r="M257" i="2"/>
  <c r="M256" i="2" s="1"/>
  <c r="N257" i="2"/>
  <c r="E265" i="2"/>
  <c r="F265" i="2"/>
  <c r="G265" i="2"/>
  <c r="H265" i="2"/>
  <c r="I265" i="2"/>
  <c r="J265" i="2"/>
  <c r="K265" i="2"/>
  <c r="L265" i="2"/>
  <c r="M265" i="2"/>
  <c r="N265" i="2"/>
  <c r="E268" i="2"/>
  <c r="F268" i="2"/>
  <c r="G268" i="2"/>
  <c r="H268" i="2"/>
  <c r="I268" i="2"/>
  <c r="J268" i="2"/>
  <c r="K268" i="2"/>
  <c r="K264" i="2" s="1"/>
  <c r="L268" i="2"/>
  <c r="L264" i="2" s="1"/>
  <c r="M268" i="2"/>
  <c r="N268" i="2"/>
  <c r="E270" i="2"/>
  <c r="F270" i="2"/>
  <c r="G270" i="2"/>
  <c r="H270" i="2"/>
  <c r="I270" i="2"/>
  <c r="J270" i="2"/>
  <c r="K270" i="2"/>
  <c r="L270" i="2"/>
  <c r="M270" i="2"/>
  <c r="N270" i="2"/>
  <c r="E273" i="2"/>
  <c r="E272" i="2" s="1"/>
  <c r="F273" i="2"/>
  <c r="F272" i="2" s="1"/>
  <c r="G273" i="2"/>
  <c r="G272" i="2" s="1"/>
  <c r="H273" i="2"/>
  <c r="H272" i="2" s="1"/>
  <c r="I273" i="2"/>
  <c r="I272" i="2" s="1"/>
  <c r="J273" i="2"/>
  <c r="J272" i="2" s="1"/>
  <c r="K273" i="2"/>
  <c r="K272" i="2" s="1"/>
  <c r="L273" i="2"/>
  <c r="L272" i="2" s="1"/>
  <c r="M273" i="2"/>
  <c r="M272" i="2" s="1"/>
  <c r="N273" i="2"/>
  <c r="N272" i="2" s="1"/>
  <c r="L275" i="2"/>
  <c r="E276" i="2"/>
  <c r="E275" i="2" s="1"/>
  <c r="J276" i="2"/>
  <c r="J275" i="2" s="1"/>
  <c r="M276" i="2"/>
  <c r="M275" i="2" s="1"/>
  <c r="E277" i="2"/>
  <c r="F277" i="2"/>
  <c r="F276" i="2" s="1"/>
  <c r="F275" i="2" s="1"/>
  <c r="G277" i="2"/>
  <c r="G276" i="2" s="1"/>
  <c r="G275" i="2" s="1"/>
  <c r="H277" i="2"/>
  <c r="H276" i="2" s="1"/>
  <c r="H275" i="2" s="1"/>
  <c r="I277" i="2"/>
  <c r="I276" i="2" s="1"/>
  <c r="I275" i="2" s="1"/>
  <c r="J277" i="2"/>
  <c r="K277" i="2"/>
  <c r="K276" i="2" s="1"/>
  <c r="K275" i="2" s="1"/>
  <c r="L277" i="2"/>
  <c r="L276" i="2" s="1"/>
  <c r="M277" i="2"/>
  <c r="N277" i="2"/>
  <c r="N276" i="2" s="1"/>
  <c r="N275" i="2" s="1"/>
  <c r="H284" i="2"/>
  <c r="H283" i="2" s="1"/>
  <c r="E285" i="2"/>
  <c r="E284" i="2" s="1"/>
  <c r="E283" i="2" s="1"/>
  <c r="F285" i="2"/>
  <c r="F284" i="2" s="1"/>
  <c r="F283" i="2" s="1"/>
  <c r="G285" i="2"/>
  <c r="G284" i="2" s="1"/>
  <c r="G283" i="2" s="1"/>
  <c r="H285" i="2"/>
  <c r="I285" i="2"/>
  <c r="I284" i="2" s="1"/>
  <c r="I283" i="2" s="1"/>
  <c r="J285" i="2"/>
  <c r="J284" i="2" s="1"/>
  <c r="J283" i="2" s="1"/>
  <c r="K285" i="2"/>
  <c r="K284" i="2" s="1"/>
  <c r="K283" i="2" s="1"/>
  <c r="L285" i="2"/>
  <c r="L284" i="2" s="1"/>
  <c r="L283" i="2" s="1"/>
  <c r="M285" i="2"/>
  <c r="M284" i="2" s="1"/>
  <c r="M283" i="2" s="1"/>
  <c r="N285" i="2"/>
  <c r="N284" i="2" s="1"/>
  <c r="N283" i="2" s="1"/>
  <c r="E297" i="2"/>
  <c r="F297" i="2"/>
  <c r="G297" i="2"/>
  <c r="H297" i="2"/>
  <c r="I297" i="2"/>
  <c r="J297" i="2"/>
  <c r="K297" i="2"/>
  <c r="L297" i="2"/>
  <c r="L296" i="2" s="1"/>
  <c r="M297" i="2"/>
  <c r="N297" i="2"/>
  <c r="E299" i="2"/>
  <c r="F299" i="2"/>
  <c r="G299" i="2"/>
  <c r="H299" i="2"/>
  <c r="I299" i="2"/>
  <c r="J299" i="2"/>
  <c r="K299" i="2"/>
  <c r="L299" i="2"/>
  <c r="M299" i="2"/>
  <c r="N299" i="2"/>
  <c r="E301" i="2"/>
  <c r="F301" i="2"/>
  <c r="G301" i="2"/>
  <c r="H301" i="2"/>
  <c r="I301" i="2"/>
  <c r="J301" i="2"/>
  <c r="K301" i="2"/>
  <c r="L301" i="2"/>
  <c r="M301" i="2"/>
  <c r="N301" i="2"/>
  <c r="E303" i="2"/>
  <c r="F303" i="2"/>
  <c r="G303" i="2"/>
  <c r="H303" i="2"/>
  <c r="I303" i="2"/>
  <c r="J303" i="2"/>
  <c r="K303" i="2"/>
  <c r="L303" i="2"/>
  <c r="M303" i="2"/>
  <c r="N303" i="2"/>
  <c r="E307" i="2"/>
  <c r="E306" i="2" s="1"/>
  <c r="F307" i="2"/>
  <c r="F306" i="2" s="1"/>
  <c r="G307" i="2"/>
  <c r="G306" i="2" s="1"/>
  <c r="H307" i="2"/>
  <c r="H306" i="2" s="1"/>
  <c r="I307" i="2"/>
  <c r="I306" i="2" s="1"/>
  <c r="J307" i="2"/>
  <c r="J306" i="2" s="1"/>
  <c r="K307" i="2"/>
  <c r="K306" i="2" s="1"/>
  <c r="L307" i="2"/>
  <c r="L306" i="2" s="1"/>
  <c r="M307" i="2"/>
  <c r="M306" i="2" s="1"/>
  <c r="N307" i="2"/>
  <c r="N306" i="2" s="1"/>
  <c r="E310" i="2"/>
  <c r="F310" i="2"/>
  <c r="G310" i="2"/>
  <c r="G309" i="2" s="1"/>
  <c r="H310" i="2"/>
  <c r="I310" i="2"/>
  <c r="J310" i="2"/>
  <c r="J309" i="2" s="1"/>
  <c r="K310" i="2"/>
  <c r="K309" i="2" s="1"/>
  <c r="L310" i="2"/>
  <c r="M310" i="2"/>
  <c r="N310" i="2"/>
  <c r="E312" i="2"/>
  <c r="E309" i="2" s="1"/>
  <c r="F312" i="2"/>
  <c r="G312" i="2"/>
  <c r="H312" i="2"/>
  <c r="I312" i="2"/>
  <c r="I309" i="2" s="1"/>
  <c r="J312" i="2"/>
  <c r="K312" i="2"/>
  <c r="L312" i="2"/>
  <c r="M312" i="2"/>
  <c r="M309" i="2" s="1"/>
  <c r="N312" i="2"/>
  <c r="E314" i="2"/>
  <c r="F314" i="2"/>
  <c r="G314" i="2"/>
  <c r="H314" i="2"/>
  <c r="I314" i="2"/>
  <c r="J314" i="2"/>
  <c r="K314" i="2"/>
  <c r="L314" i="2"/>
  <c r="M314" i="2"/>
  <c r="N314" i="2"/>
  <c r="E316" i="2"/>
  <c r="J316" i="2"/>
  <c r="M316" i="2"/>
  <c r="E317" i="2"/>
  <c r="F317" i="2"/>
  <c r="F316" i="2" s="1"/>
  <c r="G317" i="2"/>
  <c r="G316" i="2" s="1"/>
  <c r="H317" i="2"/>
  <c r="H316" i="2" s="1"/>
  <c r="I317" i="2"/>
  <c r="I316" i="2" s="1"/>
  <c r="J317" i="2"/>
  <c r="K317" i="2"/>
  <c r="K316" i="2" s="1"/>
  <c r="L317" i="2"/>
  <c r="L316" i="2" s="1"/>
  <c r="M317" i="2"/>
  <c r="N317" i="2"/>
  <c r="N316" i="2" s="1"/>
  <c r="I319" i="2"/>
  <c r="E320" i="2"/>
  <c r="F320" i="2"/>
  <c r="G320" i="2"/>
  <c r="G319" i="2" s="1"/>
  <c r="H320" i="2"/>
  <c r="H319" i="2" s="1"/>
  <c r="I320" i="2"/>
  <c r="J320" i="2"/>
  <c r="K320" i="2"/>
  <c r="K319" i="2" s="1"/>
  <c r="L320" i="2"/>
  <c r="L319" i="2" s="1"/>
  <c r="M320" i="2"/>
  <c r="N320" i="2"/>
  <c r="E322" i="2"/>
  <c r="E319" i="2" s="1"/>
  <c r="F322" i="2"/>
  <c r="F319" i="2" s="1"/>
  <c r="G322" i="2"/>
  <c r="H322" i="2"/>
  <c r="I322" i="2"/>
  <c r="J322" i="2"/>
  <c r="J319" i="2" s="1"/>
  <c r="K322" i="2"/>
  <c r="L322" i="2"/>
  <c r="M322" i="2"/>
  <c r="M319" i="2" s="1"/>
  <c r="N322" i="2"/>
  <c r="N319" i="2" s="1"/>
  <c r="E325" i="2"/>
  <c r="F325" i="2"/>
  <c r="G325" i="2"/>
  <c r="H325" i="2"/>
  <c r="I325" i="2"/>
  <c r="J325" i="2"/>
  <c r="K325" i="2"/>
  <c r="L325" i="2"/>
  <c r="M325" i="2"/>
  <c r="N325" i="2"/>
  <c r="E327" i="2"/>
  <c r="F327" i="2"/>
  <c r="G327" i="2"/>
  <c r="H327" i="2"/>
  <c r="I327" i="2"/>
  <c r="J327" i="2"/>
  <c r="K327" i="2"/>
  <c r="L327" i="2"/>
  <c r="M327" i="2"/>
  <c r="N327" i="2"/>
  <c r="E329" i="2"/>
  <c r="F329" i="2"/>
  <c r="G329" i="2"/>
  <c r="H329" i="2"/>
  <c r="I329" i="2"/>
  <c r="J329" i="2"/>
  <c r="K329" i="2"/>
  <c r="L329" i="2"/>
  <c r="M329" i="2"/>
  <c r="N329" i="2"/>
  <c r="E331" i="2"/>
  <c r="F331" i="2"/>
  <c r="G331" i="2"/>
  <c r="H331" i="2"/>
  <c r="I331" i="2"/>
  <c r="J331" i="2"/>
  <c r="K331" i="2"/>
  <c r="L331" i="2"/>
  <c r="M331" i="2"/>
  <c r="N331" i="2"/>
  <c r="E333" i="2"/>
  <c r="F333" i="2"/>
  <c r="G333" i="2"/>
  <c r="H333" i="2"/>
  <c r="I333" i="2"/>
  <c r="J333" i="2"/>
  <c r="K333" i="2"/>
  <c r="L333" i="2"/>
  <c r="M333" i="2"/>
  <c r="N333" i="2"/>
  <c r="E337" i="2"/>
  <c r="F337" i="2"/>
  <c r="G337" i="2"/>
  <c r="H337" i="2"/>
  <c r="I337" i="2"/>
  <c r="J337" i="2"/>
  <c r="K337" i="2"/>
  <c r="L337" i="2"/>
  <c r="M337" i="2"/>
  <c r="N337" i="2"/>
  <c r="E340" i="2"/>
  <c r="F340" i="2"/>
  <c r="G340" i="2"/>
  <c r="H340" i="2"/>
  <c r="I340" i="2"/>
  <c r="J340" i="2"/>
  <c r="K340" i="2"/>
  <c r="L340" i="2"/>
  <c r="M340" i="2"/>
  <c r="N340" i="2"/>
  <c r="G344" i="2"/>
  <c r="H344" i="2"/>
  <c r="E345" i="2"/>
  <c r="E344" i="2" s="1"/>
  <c r="F345" i="2"/>
  <c r="F344" i="2" s="1"/>
  <c r="G345" i="2"/>
  <c r="H345" i="2"/>
  <c r="I345" i="2"/>
  <c r="I344" i="2" s="1"/>
  <c r="J345" i="2"/>
  <c r="J344" i="2" s="1"/>
  <c r="K345" i="2"/>
  <c r="K344" i="2" s="1"/>
  <c r="L345" i="2"/>
  <c r="L344" i="2" s="1"/>
  <c r="M345" i="2"/>
  <c r="M344" i="2" s="1"/>
  <c r="N345" i="2"/>
  <c r="N344" i="2" s="1"/>
  <c r="E368" i="2"/>
  <c r="E367" i="2" s="1"/>
  <c r="F368" i="2"/>
  <c r="F367" i="2" s="1"/>
  <c r="G368" i="2"/>
  <c r="H368" i="2"/>
  <c r="I368" i="2"/>
  <c r="I367" i="2" s="1"/>
  <c r="J368" i="2"/>
  <c r="J367" i="2" s="1"/>
  <c r="K368" i="2"/>
  <c r="L368" i="2"/>
  <c r="M368" i="2"/>
  <c r="M367" i="2" s="1"/>
  <c r="N368" i="2"/>
  <c r="E370" i="2"/>
  <c r="F370" i="2"/>
  <c r="G370" i="2"/>
  <c r="G367" i="2" s="1"/>
  <c r="H370" i="2"/>
  <c r="H367" i="2" s="1"/>
  <c r="I370" i="2"/>
  <c r="J370" i="2"/>
  <c r="K370" i="2"/>
  <c r="L370" i="2"/>
  <c r="M370" i="2"/>
  <c r="N370" i="2"/>
  <c r="E373" i="2"/>
  <c r="F373" i="2"/>
  <c r="G373" i="2"/>
  <c r="H373" i="2"/>
  <c r="H372" i="2" s="1"/>
  <c r="I373" i="2"/>
  <c r="J373" i="2"/>
  <c r="K373" i="2"/>
  <c r="L373" i="2"/>
  <c r="M373" i="2"/>
  <c r="N373" i="2"/>
  <c r="E375" i="2"/>
  <c r="E372" i="2" s="1"/>
  <c r="F375" i="2"/>
  <c r="G375" i="2"/>
  <c r="H375" i="2"/>
  <c r="I375" i="2"/>
  <c r="I372" i="2" s="1"/>
  <c r="J375" i="2"/>
  <c r="J372" i="2" s="1"/>
  <c r="K375" i="2"/>
  <c r="L375" i="2"/>
  <c r="M375" i="2"/>
  <c r="M372" i="2" s="1"/>
  <c r="N375" i="2"/>
  <c r="E377" i="2"/>
  <c r="F377" i="2"/>
  <c r="G377" i="2"/>
  <c r="H377" i="2"/>
  <c r="I377" i="2"/>
  <c r="J377" i="2"/>
  <c r="K377" i="2"/>
  <c r="L377" i="2"/>
  <c r="M377" i="2"/>
  <c r="N377" i="2"/>
  <c r="H379" i="2"/>
  <c r="E380" i="2"/>
  <c r="F380" i="2"/>
  <c r="F379" i="2" s="1"/>
  <c r="G380" i="2"/>
  <c r="G379" i="2" s="1"/>
  <c r="H380" i="2"/>
  <c r="I380" i="2"/>
  <c r="J380" i="2"/>
  <c r="J379" i="2" s="1"/>
  <c r="K380" i="2"/>
  <c r="K379" i="2" s="1"/>
  <c r="L380" i="2"/>
  <c r="M380" i="2"/>
  <c r="N380" i="2"/>
  <c r="N379" i="2" s="1"/>
  <c r="E382" i="2"/>
  <c r="E379" i="2" s="1"/>
  <c r="F382" i="2"/>
  <c r="G382" i="2"/>
  <c r="H382" i="2"/>
  <c r="I382" i="2"/>
  <c r="I379" i="2" s="1"/>
  <c r="J382" i="2"/>
  <c r="K382" i="2"/>
  <c r="L382" i="2"/>
  <c r="M382" i="2"/>
  <c r="M379" i="2" s="1"/>
  <c r="N382" i="2"/>
  <c r="E385" i="2"/>
  <c r="F385" i="2"/>
  <c r="G385" i="2"/>
  <c r="H385" i="2"/>
  <c r="I385" i="2"/>
  <c r="J385" i="2"/>
  <c r="K385" i="2"/>
  <c r="K384" i="2" s="1"/>
  <c r="L385" i="2"/>
  <c r="M385" i="2"/>
  <c r="N385" i="2"/>
  <c r="E387" i="2"/>
  <c r="F387" i="2"/>
  <c r="G387" i="2"/>
  <c r="G384" i="2" s="1"/>
  <c r="H387" i="2"/>
  <c r="I387" i="2"/>
  <c r="J387" i="2"/>
  <c r="K387" i="2"/>
  <c r="L387" i="2"/>
  <c r="M387" i="2"/>
  <c r="N387" i="2"/>
  <c r="E389" i="2"/>
  <c r="F389" i="2"/>
  <c r="G389" i="2"/>
  <c r="H389" i="2"/>
  <c r="I389" i="2"/>
  <c r="J389" i="2"/>
  <c r="K389" i="2"/>
  <c r="L389" i="2"/>
  <c r="M389" i="2"/>
  <c r="N389" i="2"/>
  <c r="E393" i="2"/>
  <c r="F393" i="2"/>
  <c r="G393" i="2"/>
  <c r="H393" i="2"/>
  <c r="I393" i="2"/>
  <c r="J393" i="2"/>
  <c r="K393" i="2"/>
  <c r="L393" i="2"/>
  <c r="M393" i="2"/>
  <c r="N393" i="2"/>
  <c r="E395" i="2"/>
  <c r="F395" i="2"/>
  <c r="G395" i="2"/>
  <c r="H395" i="2"/>
  <c r="I395" i="2"/>
  <c r="J395" i="2"/>
  <c r="J392" i="2" s="1"/>
  <c r="K395" i="2"/>
  <c r="L395" i="2"/>
  <c r="M395" i="2"/>
  <c r="N395" i="2"/>
  <c r="E397" i="2"/>
  <c r="F397" i="2"/>
  <c r="G397" i="2"/>
  <c r="H397" i="2"/>
  <c r="I397" i="2"/>
  <c r="J397" i="2"/>
  <c r="K397" i="2"/>
  <c r="L397" i="2"/>
  <c r="M397" i="2"/>
  <c r="N397" i="2"/>
  <c r="E399" i="2"/>
  <c r="F399" i="2"/>
  <c r="G399" i="2"/>
  <c r="H399" i="2"/>
  <c r="I399" i="2"/>
  <c r="J399" i="2"/>
  <c r="K399" i="2"/>
  <c r="L399" i="2"/>
  <c r="M399" i="2"/>
  <c r="N399" i="2"/>
  <c r="K401" i="2"/>
  <c r="E402" i="2"/>
  <c r="F402" i="2"/>
  <c r="G402" i="2"/>
  <c r="H402" i="2"/>
  <c r="H401" i="2" s="1"/>
  <c r="I402" i="2"/>
  <c r="J402" i="2"/>
  <c r="K402" i="2"/>
  <c r="L402" i="2"/>
  <c r="L401" i="2" s="1"/>
  <c r="M402" i="2"/>
  <c r="N402" i="2"/>
  <c r="E404" i="2"/>
  <c r="F404" i="2"/>
  <c r="G404" i="2"/>
  <c r="H404" i="2"/>
  <c r="I404" i="2"/>
  <c r="J404" i="2"/>
  <c r="K404" i="2"/>
  <c r="L404" i="2"/>
  <c r="M404" i="2"/>
  <c r="N404" i="2"/>
  <c r="E408" i="2"/>
  <c r="F408" i="2"/>
  <c r="G408" i="2"/>
  <c r="H408" i="2"/>
  <c r="I408" i="2"/>
  <c r="J408" i="2"/>
  <c r="K408" i="2"/>
  <c r="L408" i="2"/>
  <c r="M408" i="2"/>
  <c r="N408" i="2"/>
  <c r="E410" i="2"/>
  <c r="E407" i="2" s="1"/>
  <c r="F410" i="2"/>
  <c r="G410" i="2"/>
  <c r="H410" i="2"/>
  <c r="I410" i="2"/>
  <c r="I407" i="2" s="1"/>
  <c r="J410" i="2"/>
  <c r="K410" i="2"/>
  <c r="L410" i="2"/>
  <c r="M410" i="2"/>
  <c r="M407" i="2" s="1"/>
  <c r="N410" i="2"/>
  <c r="E412" i="2"/>
  <c r="F412" i="2"/>
  <c r="G412" i="2"/>
  <c r="H412" i="2"/>
  <c r="I412" i="2"/>
  <c r="J412" i="2"/>
  <c r="K412" i="2"/>
  <c r="L412" i="2"/>
  <c r="M412" i="2"/>
  <c r="N412" i="2"/>
  <c r="E414" i="2"/>
  <c r="H414" i="2"/>
  <c r="E415" i="2"/>
  <c r="F415" i="2"/>
  <c r="F414" i="2" s="1"/>
  <c r="G415" i="2"/>
  <c r="G414" i="2" s="1"/>
  <c r="H415" i="2"/>
  <c r="I415" i="2"/>
  <c r="I414" i="2" s="1"/>
  <c r="J415" i="2"/>
  <c r="J414" i="2" s="1"/>
  <c r="K415" i="2"/>
  <c r="K414" i="2" s="1"/>
  <c r="L415" i="2"/>
  <c r="L414" i="2" s="1"/>
  <c r="M415" i="2"/>
  <c r="M414" i="2" s="1"/>
  <c r="N415" i="2"/>
  <c r="N414" i="2" s="1"/>
  <c r="H417" i="2"/>
  <c r="E418" i="2"/>
  <c r="E417" i="2" s="1"/>
  <c r="F418" i="2"/>
  <c r="F417" i="2" s="1"/>
  <c r="G418" i="2"/>
  <c r="G417" i="2" s="1"/>
  <c r="H418" i="2"/>
  <c r="I418" i="2"/>
  <c r="I417" i="2" s="1"/>
  <c r="J418" i="2"/>
  <c r="J417" i="2" s="1"/>
  <c r="K418" i="2"/>
  <c r="K417" i="2" s="1"/>
  <c r="L418" i="2"/>
  <c r="L417" i="2" s="1"/>
  <c r="M418" i="2"/>
  <c r="M417" i="2" s="1"/>
  <c r="N418" i="2"/>
  <c r="N417" i="2" s="1"/>
  <c r="M420" i="2"/>
  <c r="E421" i="2"/>
  <c r="E420" i="2" s="1"/>
  <c r="F421" i="2"/>
  <c r="G421" i="2"/>
  <c r="H421" i="2"/>
  <c r="I421" i="2"/>
  <c r="I420" i="2" s="1"/>
  <c r="J421" i="2"/>
  <c r="K421" i="2"/>
  <c r="L421" i="2"/>
  <c r="M421" i="2"/>
  <c r="N421" i="2"/>
  <c r="E423" i="2"/>
  <c r="F423" i="2"/>
  <c r="G423" i="2"/>
  <c r="H423" i="2"/>
  <c r="I423" i="2"/>
  <c r="J423" i="2"/>
  <c r="K423" i="2"/>
  <c r="L423" i="2"/>
  <c r="M423" i="2"/>
  <c r="N423" i="2"/>
  <c r="E427" i="2"/>
  <c r="F427" i="2"/>
  <c r="G427" i="2"/>
  <c r="H427" i="2"/>
  <c r="I427" i="2"/>
  <c r="J427" i="2"/>
  <c r="K427" i="2"/>
  <c r="L427" i="2"/>
  <c r="M427" i="2"/>
  <c r="N427" i="2"/>
  <c r="E429" i="2"/>
  <c r="F429" i="2"/>
  <c r="G429" i="2"/>
  <c r="H429" i="2"/>
  <c r="I429" i="2"/>
  <c r="J429" i="2"/>
  <c r="K429" i="2"/>
  <c r="L429" i="2"/>
  <c r="M429" i="2"/>
  <c r="N429" i="2"/>
  <c r="E433" i="2"/>
  <c r="M433" i="2"/>
  <c r="E434" i="2"/>
  <c r="F434" i="2"/>
  <c r="F433" i="2" s="1"/>
  <c r="G434" i="2"/>
  <c r="G433" i="2" s="1"/>
  <c r="H434" i="2"/>
  <c r="H433" i="2" s="1"/>
  <c r="I434" i="2"/>
  <c r="I433" i="2" s="1"/>
  <c r="I432" i="2" s="1"/>
  <c r="J434" i="2"/>
  <c r="J433" i="2" s="1"/>
  <c r="K434" i="2"/>
  <c r="K433" i="2" s="1"/>
  <c r="L434" i="2"/>
  <c r="L433" i="2" s="1"/>
  <c r="L432" i="2" s="1"/>
  <c r="M434" i="2"/>
  <c r="N434" i="2"/>
  <c r="N433" i="2" s="1"/>
  <c r="M436" i="2"/>
  <c r="E437" i="2"/>
  <c r="E436" i="2" s="1"/>
  <c r="F437" i="2"/>
  <c r="F436" i="2" s="1"/>
  <c r="G437" i="2"/>
  <c r="G436" i="2" s="1"/>
  <c r="H437" i="2"/>
  <c r="H436" i="2" s="1"/>
  <c r="I437" i="2"/>
  <c r="I436" i="2" s="1"/>
  <c r="J437" i="2"/>
  <c r="J436" i="2" s="1"/>
  <c r="K437" i="2"/>
  <c r="K436" i="2" s="1"/>
  <c r="L437" i="2"/>
  <c r="L436" i="2" s="1"/>
  <c r="M437" i="2"/>
  <c r="N437" i="2"/>
  <c r="N436" i="2" s="1"/>
  <c r="E441" i="2"/>
  <c r="F441" i="2"/>
  <c r="G441" i="2"/>
  <c r="H441" i="2"/>
  <c r="I441" i="2"/>
  <c r="J441" i="2"/>
  <c r="K441" i="2"/>
  <c r="L441" i="2"/>
  <c r="M441" i="2"/>
  <c r="N441" i="2"/>
  <c r="E443" i="2"/>
  <c r="F443" i="2"/>
  <c r="G443" i="2"/>
  <c r="H443" i="2"/>
  <c r="I443" i="2"/>
  <c r="J443" i="2"/>
  <c r="K443" i="2"/>
  <c r="L443" i="2"/>
  <c r="M443" i="2"/>
  <c r="N443" i="2"/>
  <c r="H445" i="2"/>
  <c r="I445" i="2"/>
  <c r="E446" i="2"/>
  <c r="E445" i="2" s="1"/>
  <c r="F446" i="2"/>
  <c r="F445" i="2" s="1"/>
  <c r="G446" i="2"/>
  <c r="G445" i="2" s="1"/>
  <c r="H446" i="2"/>
  <c r="I446" i="2"/>
  <c r="J446" i="2"/>
  <c r="J445" i="2" s="1"/>
  <c r="K446" i="2"/>
  <c r="K445" i="2" s="1"/>
  <c r="L446" i="2"/>
  <c r="L445" i="2" s="1"/>
  <c r="M446" i="2"/>
  <c r="M445" i="2" s="1"/>
  <c r="N446" i="2"/>
  <c r="N445" i="2" s="1"/>
  <c r="I448" i="2"/>
  <c r="L448" i="2"/>
  <c r="E449" i="2"/>
  <c r="E448" i="2" s="1"/>
  <c r="F449" i="2"/>
  <c r="F448" i="2" s="1"/>
  <c r="G449" i="2"/>
  <c r="G448" i="2" s="1"/>
  <c r="H449" i="2"/>
  <c r="H448" i="2" s="1"/>
  <c r="I449" i="2"/>
  <c r="J449" i="2"/>
  <c r="J448" i="2" s="1"/>
  <c r="K449" i="2"/>
  <c r="K448" i="2" s="1"/>
  <c r="L449" i="2"/>
  <c r="M449" i="2"/>
  <c r="M448" i="2" s="1"/>
  <c r="N449" i="2"/>
  <c r="N448" i="2" s="1"/>
  <c r="F452" i="2"/>
  <c r="N452" i="2"/>
  <c r="N451" i="2" s="1"/>
  <c r="E453" i="2"/>
  <c r="E452" i="2" s="1"/>
  <c r="F453" i="2"/>
  <c r="G453" i="2"/>
  <c r="G452" i="2" s="1"/>
  <c r="G451" i="2" s="1"/>
  <c r="H453" i="2"/>
  <c r="H452" i="2" s="1"/>
  <c r="H451" i="2" s="1"/>
  <c r="I453" i="2"/>
  <c r="I452" i="2" s="1"/>
  <c r="J453" i="2"/>
  <c r="J452" i="2" s="1"/>
  <c r="K453" i="2"/>
  <c r="K452" i="2" s="1"/>
  <c r="K451" i="2" s="1"/>
  <c r="L453" i="2"/>
  <c r="L452" i="2" s="1"/>
  <c r="L451" i="2" s="1"/>
  <c r="M453" i="2"/>
  <c r="M452" i="2" s="1"/>
  <c r="N453" i="2"/>
  <c r="F457" i="2"/>
  <c r="G457" i="2"/>
  <c r="N457" i="2"/>
  <c r="E458" i="2"/>
  <c r="E457" i="2" s="1"/>
  <c r="F458" i="2"/>
  <c r="G458" i="2"/>
  <c r="H458" i="2"/>
  <c r="H457" i="2" s="1"/>
  <c r="I458" i="2"/>
  <c r="I457" i="2" s="1"/>
  <c r="J458" i="2"/>
  <c r="J457" i="2" s="1"/>
  <c r="K458" i="2"/>
  <c r="K457" i="2" s="1"/>
  <c r="L458" i="2"/>
  <c r="L457" i="2" s="1"/>
  <c r="M458" i="2"/>
  <c r="M457" i="2" s="1"/>
  <c r="N458" i="2"/>
  <c r="E465" i="2"/>
  <c r="F465" i="2"/>
  <c r="F464" i="2" s="1"/>
  <c r="G465" i="2"/>
  <c r="G464" i="2" s="1"/>
  <c r="H465" i="2"/>
  <c r="I465" i="2"/>
  <c r="J465" i="2"/>
  <c r="J464" i="2" s="1"/>
  <c r="K465" i="2"/>
  <c r="K464" i="2" s="1"/>
  <c r="L465" i="2"/>
  <c r="M465" i="2"/>
  <c r="N465" i="2"/>
  <c r="N464" i="2" s="1"/>
  <c r="E468" i="2"/>
  <c r="E464" i="2" s="1"/>
  <c r="F468" i="2"/>
  <c r="G468" i="2"/>
  <c r="H468" i="2"/>
  <c r="H464" i="2" s="1"/>
  <c r="I468" i="2"/>
  <c r="I464" i="2" s="1"/>
  <c r="J468" i="2"/>
  <c r="K468" i="2"/>
  <c r="L468" i="2"/>
  <c r="L464" i="2" s="1"/>
  <c r="M468" i="2"/>
  <c r="M464" i="2" s="1"/>
  <c r="N468" i="2"/>
  <c r="E472" i="2"/>
  <c r="F472" i="2"/>
  <c r="G472" i="2"/>
  <c r="H472" i="2"/>
  <c r="I472" i="2"/>
  <c r="J472" i="2"/>
  <c r="K472" i="2"/>
  <c r="L472" i="2"/>
  <c r="M472" i="2"/>
  <c r="N472" i="2"/>
  <c r="E479" i="2"/>
  <c r="F479" i="2"/>
  <c r="G479" i="2"/>
  <c r="H479" i="2"/>
  <c r="I479" i="2"/>
  <c r="J479" i="2"/>
  <c r="K479" i="2"/>
  <c r="L479" i="2"/>
  <c r="M479" i="2"/>
  <c r="N479" i="2"/>
  <c r="E487" i="2"/>
  <c r="F487" i="2"/>
  <c r="G487" i="2"/>
  <c r="H487" i="2"/>
  <c r="I487" i="2"/>
  <c r="J487" i="2"/>
  <c r="K487" i="2"/>
  <c r="L487" i="2"/>
  <c r="M487" i="2"/>
  <c r="N487" i="2"/>
  <c r="E491" i="2"/>
  <c r="F491" i="2"/>
  <c r="G491" i="2"/>
  <c r="H491" i="2"/>
  <c r="I491" i="2"/>
  <c r="J491" i="2"/>
  <c r="K491" i="2"/>
  <c r="L491" i="2"/>
  <c r="M491" i="2"/>
  <c r="N491" i="2"/>
  <c r="E497" i="2"/>
  <c r="F497" i="2"/>
  <c r="G497" i="2"/>
  <c r="H497" i="2"/>
  <c r="I497" i="2"/>
  <c r="J497" i="2"/>
  <c r="K497" i="2"/>
  <c r="L497" i="2"/>
  <c r="M497" i="2"/>
  <c r="N497" i="2"/>
  <c r="E499" i="2"/>
  <c r="F499" i="2"/>
  <c r="G499" i="2"/>
  <c r="H499" i="2"/>
  <c r="I499" i="2"/>
  <c r="J499" i="2"/>
  <c r="K499" i="2"/>
  <c r="L499" i="2"/>
  <c r="M499" i="2"/>
  <c r="N499" i="2"/>
  <c r="E501" i="2"/>
  <c r="F501" i="2"/>
  <c r="G501" i="2"/>
  <c r="H501" i="2"/>
  <c r="I501" i="2"/>
  <c r="J501" i="2"/>
  <c r="K501" i="2"/>
  <c r="L501" i="2"/>
  <c r="M501" i="2"/>
  <c r="N501" i="2"/>
  <c r="E505" i="2"/>
  <c r="F505" i="2"/>
  <c r="G505" i="2"/>
  <c r="H505" i="2"/>
  <c r="I505" i="2"/>
  <c r="J505" i="2"/>
  <c r="K505" i="2"/>
  <c r="L505" i="2"/>
  <c r="M505" i="2"/>
  <c r="N505" i="2"/>
  <c r="G507" i="2"/>
  <c r="E508" i="2"/>
  <c r="E507" i="2" s="1"/>
  <c r="F508" i="2"/>
  <c r="F507" i="2" s="1"/>
  <c r="G508" i="2"/>
  <c r="H508" i="2"/>
  <c r="H507" i="2" s="1"/>
  <c r="I508" i="2"/>
  <c r="I507" i="2" s="1"/>
  <c r="J508" i="2"/>
  <c r="J507" i="2" s="1"/>
  <c r="K508" i="2"/>
  <c r="K507" i="2" s="1"/>
  <c r="L508" i="2"/>
  <c r="L507" i="2" s="1"/>
  <c r="M508" i="2"/>
  <c r="M507" i="2" s="1"/>
  <c r="N508" i="2"/>
  <c r="N507" i="2" s="1"/>
  <c r="E511" i="2"/>
  <c r="F511" i="2"/>
  <c r="G511" i="2"/>
  <c r="H511" i="2"/>
  <c r="I511" i="2"/>
  <c r="J511" i="2"/>
  <c r="K511" i="2"/>
  <c r="L511" i="2"/>
  <c r="M511" i="2"/>
  <c r="N511" i="2"/>
  <c r="E514" i="2"/>
  <c r="F514" i="2"/>
  <c r="G514" i="2"/>
  <c r="H514" i="2"/>
  <c r="I514" i="2"/>
  <c r="J514" i="2"/>
  <c r="K514" i="2"/>
  <c r="L514" i="2"/>
  <c r="M514" i="2"/>
  <c r="N514" i="2"/>
  <c r="E516" i="2"/>
  <c r="F516" i="2"/>
  <c r="G516" i="2"/>
  <c r="H516" i="2"/>
  <c r="I516" i="2"/>
  <c r="J516" i="2"/>
  <c r="K516" i="2"/>
  <c r="L516" i="2"/>
  <c r="M516" i="2"/>
  <c r="N516" i="2"/>
  <c r="E518" i="2"/>
  <c r="F518" i="2"/>
  <c r="G518" i="2"/>
  <c r="H518" i="2"/>
  <c r="I518" i="2"/>
  <c r="J518" i="2"/>
  <c r="K518" i="2"/>
  <c r="L518" i="2"/>
  <c r="M518" i="2"/>
  <c r="N518" i="2"/>
  <c r="I520" i="2"/>
  <c r="L520" i="2"/>
  <c r="E521" i="2"/>
  <c r="E520" i="2" s="1"/>
  <c r="F521" i="2"/>
  <c r="F520" i="2" s="1"/>
  <c r="G521" i="2"/>
  <c r="G520" i="2" s="1"/>
  <c r="H521" i="2"/>
  <c r="H520" i="2" s="1"/>
  <c r="I521" i="2"/>
  <c r="J521" i="2"/>
  <c r="J520" i="2" s="1"/>
  <c r="K521" i="2"/>
  <c r="K520" i="2" s="1"/>
  <c r="L521" i="2"/>
  <c r="M521" i="2"/>
  <c r="M520" i="2" s="1"/>
  <c r="N521" i="2"/>
  <c r="N520" i="2" s="1"/>
  <c r="F524" i="2"/>
  <c r="N524" i="2"/>
  <c r="E525" i="2"/>
  <c r="E524" i="2" s="1"/>
  <c r="F525" i="2"/>
  <c r="G525" i="2"/>
  <c r="G524" i="2" s="1"/>
  <c r="H525" i="2"/>
  <c r="H524" i="2" s="1"/>
  <c r="I525" i="2"/>
  <c r="I524" i="2" s="1"/>
  <c r="J525" i="2"/>
  <c r="J524" i="2" s="1"/>
  <c r="K525" i="2"/>
  <c r="K524" i="2" s="1"/>
  <c r="L525" i="2"/>
  <c r="L524" i="2" s="1"/>
  <c r="M525" i="2"/>
  <c r="M524" i="2" s="1"/>
  <c r="N525" i="2"/>
  <c r="E528" i="2"/>
  <c r="E527" i="2" s="1"/>
  <c r="F528" i="2"/>
  <c r="G528" i="2"/>
  <c r="H528" i="2"/>
  <c r="I528" i="2"/>
  <c r="I527" i="2" s="1"/>
  <c r="J528" i="2"/>
  <c r="K528" i="2"/>
  <c r="L528" i="2"/>
  <c r="M528" i="2"/>
  <c r="M527" i="2" s="1"/>
  <c r="N528" i="2"/>
  <c r="E530" i="2"/>
  <c r="F530" i="2"/>
  <c r="G530" i="2"/>
  <c r="G527" i="2" s="1"/>
  <c r="H530" i="2"/>
  <c r="I530" i="2"/>
  <c r="J530" i="2"/>
  <c r="K530" i="2"/>
  <c r="K527" i="2" s="1"/>
  <c r="L530" i="2"/>
  <c r="M530" i="2"/>
  <c r="N530" i="2"/>
  <c r="E537" i="2"/>
  <c r="M537" i="2"/>
  <c r="E538" i="2"/>
  <c r="F538" i="2"/>
  <c r="F537" i="2" s="1"/>
  <c r="G538" i="2"/>
  <c r="G537" i="2" s="1"/>
  <c r="H538" i="2"/>
  <c r="H537" i="2" s="1"/>
  <c r="I538" i="2"/>
  <c r="I537" i="2" s="1"/>
  <c r="J538" i="2"/>
  <c r="J537" i="2" s="1"/>
  <c r="K538" i="2"/>
  <c r="K537" i="2" s="1"/>
  <c r="L538" i="2"/>
  <c r="L537" i="2" s="1"/>
  <c r="M538" i="2"/>
  <c r="N538" i="2"/>
  <c r="N537" i="2" s="1"/>
  <c r="H540" i="2"/>
  <c r="I540" i="2"/>
  <c r="E541" i="2"/>
  <c r="E540" i="2" s="1"/>
  <c r="F541" i="2"/>
  <c r="F540" i="2" s="1"/>
  <c r="G541" i="2"/>
  <c r="G540" i="2" s="1"/>
  <c r="H541" i="2"/>
  <c r="I541" i="2"/>
  <c r="J541" i="2"/>
  <c r="J540" i="2" s="1"/>
  <c r="K541" i="2"/>
  <c r="K540" i="2" s="1"/>
  <c r="L541" i="2"/>
  <c r="L540" i="2" s="1"/>
  <c r="M541" i="2"/>
  <c r="M540" i="2" s="1"/>
  <c r="N541" i="2"/>
  <c r="N540" i="2" s="1"/>
  <c r="I543" i="2"/>
  <c r="L543" i="2"/>
  <c r="E544" i="2"/>
  <c r="E543" i="2" s="1"/>
  <c r="F544" i="2"/>
  <c r="F543" i="2" s="1"/>
  <c r="G544" i="2"/>
  <c r="G543" i="2" s="1"/>
  <c r="H544" i="2"/>
  <c r="H543" i="2" s="1"/>
  <c r="I544" i="2"/>
  <c r="J544" i="2"/>
  <c r="J543" i="2" s="1"/>
  <c r="K544" i="2"/>
  <c r="K543" i="2" s="1"/>
  <c r="L544" i="2"/>
  <c r="M544" i="2"/>
  <c r="M543" i="2" s="1"/>
  <c r="N544" i="2"/>
  <c r="N543" i="2" s="1"/>
  <c r="E547" i="2"/>
  <c r="F547" i="2"/>
  <c r="G547" i="2"/>
  <c r="H547" i="2"/>
  <c r="I547" i="2"/>
  <c r="J547" i="2"/>
  <c r="K547" i="2"/>
  <c r="L547" i="2"/>
  <c r="M547" i="2"/>
  <c r="N547" i="2"/>
  <c r="E549" i="2"/>
  <c r="F549" i="2"/>
  <c r="G549" i="2"/>
  <c r="H549" i="2"/>
  <c r="I549" i="2"/>
  <c r="J549" i="2"/>
  <c r="K549" i="2"/>
  <c r="L549" i="2"/>
  <c r="M549" i="2"/>
  <c r="N549" i="2"/>
  <c r="E551" i="2"/>
  <c r="F551" i="2"/>
  <c r="G551" i="2"/>
  <c r="H551" i="2"/>
  <c r="I551" i="2"/>
  <c r="J551" i="2"/>
  <c r="K551" i="2"/>
  <c r="L551" i="2"/>
  <c r="M551" i="2"/>
  <c r="N551" i="2"/>
  <c r="E553" i="2"/>
  <c r="F553" i="2"/>
  <c r="G553" i="2"/>
  <c r="H553" i="2"/>
  <c r="I553" i="2"/>
  <c r="J553" i="2"/>
  <c r="K553" i="2"/>
  <c r="L553" i="2"/>
  <c r="M553" i="2"/>
  <c r="N553" i="2"/>
  <c r="E556" i="2"/>
  <c r="F556" i="2"/>
  <c r="G556" i="2"/>
  <c r="H556" i="2"/>
  <c r="I556" i="2"/>
  <c r="J556" i="2"/>
  <c r="K556" i="2"/>
  <c r="L556" i="2"/>
  <c r="M556" i="2"/>
  <c r="N556" i="2"/>
  <c r="H558" i="2"/>
  <c r="E559" i="2"/>
  <c r="E558" i="2" s="1"/>
  <c r="F559" i="2"/>
  <c r="F558" i="2" s="1"/>
  <c r="G559" i="2"/>
  <c r="G558" i="2" s="1"/>
  <c r="H559" i="2"/>
  <c r="I559" i="2"/>
  <c r="I558" i="2" s="1"/>
  <c r="J559" i="2"/>
  <c r="J558" i="2" s="1"/>
  <c r="K559" i="2"/>
  <c r="K558" i="2" s="1"/>
  <c r="L559" i="2"/>
  <c r="L558" i="2" s="1"/>
  <c r="M559" i="2"/>
  <c r="M558" i="2" s="1"/>
  <c r="N559" i="2"/>
  <c r="N558" i="2" s="1"/>
  <c r="I561" i="2"/>
  <c r="L561" i="2"/>
  <c r="E562" i="2"/>
  <c r="E561" i="2" s="1"/>
  <c r="F562" i="2"/>
  <c r="F561" i="2" s="1"/>
  <c r="G562" i="2"/>
  <c r="G561" i="2" s="1"/>
  <c r="H562" i="2"/>
  <c r="H561" i="2" s="1"/>
  <c r="I562" i="2"/>
  <c r="J562" i="2"/>
  <c r="J561" i="2" s="1"/>
  <c r="K562" i="2"/>
  <c r="K561" i="2" s="1"/>
  <c r="L562" i="2"/>
  <c r="M562" i="2"/>
  <c r="M561" i="2" s="1"/>
  <c r="N562" i="2"/>
  <c r="N561" i="2" s="1"/>
  <c r="E565" i="2"/>
  <c r="F565" i="2"/>
  <c r="F564" i="2" s="1"/>
  <c r="G565" i="2"/>
  <c r="G564" i="2" s="1"/>
  <c r="H565" i="2"/>
  <c r="I565" i="2"/>
  <c r="J565" i="2"/>
  <c r="J564" i="2" s="1"/>
  <c r="K565" i="2"/>
  <c r="K564" i="2" s="1"/>
  <c r="L565" i="2"/>
  <c r="M565" i="2"/>
  <c r="N565" i="2"/>
  <c r="N564" i="2" s="1"/>
  <c r="E567" i="2"/>
  <c r="E564" i="2" s="1"/>
  <c r="F567" i="2"/>
  <c r="G567" i="2"/>
  <c r="H567" i="2"/>
  <c r="H564" i="2" s="1"/>
  <c r="I567" i="2"/>
  <c r="I564" i="2" s="1"/>
  <c r="J567" i="2"/>
  <c r="K567" i="2"/>
  <c r="L567" i="2"/>
  <c r="L564" i="2" s="1"/>
  <c r="M567" i="2"/>
  <c r="N567" i="2"/>
  <c r="H570" i="2"/>
  <c r="E571" i="2"/>
  <c r="E570" i="2" s="1"/>
  <c r="F571" i="2"/>
  <c r="F570" i="2" s="1"/>
  <c r="G571" i="2"/>
  <c r="G570" i="2" s="1"/>
  <c r="H571" i="2"/>
  <c r="I571" i="2"/>
  <c r="I570" i="2" s="1"/>
  <c r="J571" i="2"/>
  <c r="J570" i="2" s="1"/>
  <c r="K571" i="2"/>
  <c r="K570" i="2" s="1"/>
  <c r="L571" i="2"/>
  <c r="L570" i="2" s="1"/>
  <c r="M571" i="2"/>
  <c r="M570" i="2" s="1"/>
  <c r="N571" i="2"/>
  <c r="N570" i="2" s="1"/>
  <c r="E573" i="2"/>
  <c r="I573" i="2"/>
  <c r="L573" i="2"/>
  <c r="E574" i="2"/>
  <c r="F574" i="2"/>
  <c r="F573" i="2" s="1"/>
  <c r="G574" i="2"/>
  <c r="G573" i="2" s="1"/>
  <c r="H574" i="2"/>
  <c r="H573" i="2" s="1"/>
  <c r="I574" i="2"/>
  <c r="J574" i="2"/>
  <c r="J573" i="2" s="1"/>
  <c r="K574" i="2"/>
  <c r="K573" i="2" s="1"/>
  <c r="L574" i="2"/>
  <c r="M574" i="2"/>
  <c r="M573" i="2" s="1"/>
  <c r="N574" i="2"/>
  <c r="N573" i="2" s="1"/>
  <c r="E576" i="2"/>
  <c r="L576" i="2"/>
  <c r="M576" i="2"/>
  <c r="E577" i="2"/>
  <c r="F577" i="2"/>
  <c r="F576" i="2" s="1"/>
  <c r="G577" i="2"/>
  <c r="G576" i="2" s="1"/>
  <c r="H577" i="2"/>
  <c r="H576" i="2" s="1"/>
  <c r="I577" i="2"/>
  <c r="I576" i="2" s="1"/>
  <c r="J577" i="2"/>
  <c r="J576" i="2" s="1"/>
  <c r="K577" i="2"/>
  <c r="K576" i="2" s="1"/>
  <c r="L577" i="2"/>
  <c r="M577" i="2"/>
  <c r="N577" i="2"/>
  <c r="N576" i="2" s="1"/>
  <c r="M579" i="2"/>
  <c r="E580" i="2"/>
  <c r="F580" i="2"/>
  <c r="G580" i="2"/>
  <c r="H580" i="2"/>
  <c r="I580" i="2"/>
  <c r="J580" i="2"/>
  <c r="K580" i="2"/>
  <c r="L580" i="2"/>
  <c r="M580" i="2"/>
  <c r="N580" i="2"/>
  <c r="E582" i="2"/>
  <c r="F582" i="2"/>
  <c r="G582" i="2"/>
  <c r="H582" i="2"/>
  <c r="I582" i="2"/>
  <c r="J582" i="2"/>
  <c r="K582" i="2"/>
  <c r="L582" i="2"/>
  <c r="M582" i="2"/>
  <c r="N582" i="2"/>
  <c r="E585" i="2"/>
  <c r="E584" i="2" s="1"/>
  <c r="M585" i="2"/>
  <c r="M584" i="2" s="1"/>
  <c r="E586" i="2"/>
  <c r="F586" i="2"/>
  <c r="F585" i="2" s="1"/>
  <c r="F584" i="2" s="1"/>
  <c r="G586" i="2"/>
  <c r="G585" i="2" s="1"/>
  <c r="G584" i="2" s="1"/>
  <c r="H586" i="2"/>
  <c r="H585" i="2" s="1"/>
  <c r="H584" i="2" s="1"/>
  <c r="I586" i="2"/>
  <c r="I585" i="2" s="1"/>
  <c r="I584" i="2" s="1"/>
  <c r="J586" i="2"/>
  <c r="J585" i="2" s="1"/>
  <c r="J584" i="2" s="1"/>
  <c r="K586" i="2"/>
  <c r="K585" i="2" s="1"/>
  <c r="K584" i="2" s="1"/>
  <c r="L586" i="2"/>
  <c r="L585" i="2" s="1"/>
  <c r="L584" i="2" s="1"/>
  <c r="M586" i="2"/>
  <c r="N586" i="2"/>
  <c r="N585" i="2" s="1"/>
  <c r="N584" i="2" s="1"/>
  <c r="I588" i="2"/>
  <c r="M588" i="2"/>
  <c r="J589" i="2"/>
  <c r="J588" i="2" s="1"/>
  <c r="E590" i="2"/>
  <c r="E589" i="2" s="1"/>
  <c r="E588" i="2" s="1"/>
  <c r="F590" i="2"/>
  <c r="F589" i="2" s="1"/>
  <c r="F588" i="2" s="1"/>
  <c r="G590" i="2"/>
  <c r="G589" i="2" s="1"/>
  <c r="G588" i="2" s="1"/>
  <c r="H590" i="2"/>
  <c r="H589" i="2" s="1"/>
  <c r="H588" i="2" s="1"/>
  <c r="I590" i="2"/>
  <c r="I589" i="2" s="1"/>
  <c r="J590" i="2"/>
  <c r="K590" i="2"/>
  <c r="K589" i="2" s="1"/>
  <c r="K588" i="2" s="1"/>
  <c r="L590" i="2"/>
  <c r="L589" i="2" s="1"/>
  <c r="L588" i="2" s="1"/>
  <c r="M590" i="2"/>
  <c r="M589" i="2" s="1"/>
  <c r="N590" i="2"/>
  <c r="N589" i="2" s="1"/>
  <c r="N588" i="2" s="1"/>
  <c r="G597" i="2"/>
  <c r="E599" i="2"/>
  <c r="F599" i="2"/>
  <c r="F598" i="2" s="1"/>
  <c r="F597" i="2" s="1"/>
  <c r="G599" i="2"/>
  <c r="G598" i="2" s="1"/>
  <c r="H599" i="2"/>
  <c r="I599" i="2"/>
  <c r="J599" i="2"/>
  <c r="J598" i="2" s="1"/>
  <c r="J597" i="2" s="1"/>
  <c r="K599" i="2"/>
  <c r="K598" i="2" s="1"/>
  <c r="K597" i="2" s="1"/>
  <c r="L599" i="2"/>
  <c r="M599" i="2"/>
  <c r="N599" i="2"/>
  <c r="N598" i="2" s="1"/>
  <c r="N597" i="2" s="1"/>
  <c r="E601" i="2"/>
  <c r="E598" i="2" s="1"/>
  <c r="E597" i="2" s="1"/>
  <c r="F601" i="2"/>
  <c r="G601" i="2"/>
  <c r="H601" i="2"/>
  <c r="H598" i="2" s="1"/>
  <c r="H597" i="2" s="1"/>
  <c r="I601" i="2"/>
  <c r="I598" i="2" s="1"/>
  <c r="I597" i="2" s="1"/>
  <c r="J601" i="2"/>
  <c r="K601" i="2"/>
  <c r="L601" i="2"/>
  <c r="L598" i="2" s="1"/>
  <c r="L597" i="2" s="1"/>
  <c r="M601" i="2"/>
  <c r="N601" i="2"/>
  <c r="C610" i="2"/>
  <c r="D610" i="2"/>
  <c r="D622" i="2" s="1"/>
  <c r="E610" i="2"/>
  <c r="E622" i="2" s="1"/>
  <c r="F610" i="2"/>
  <c r="G610" i="2"/>
  <c r="H610" i="2"/>
  <c r="H622" i="2" s="1"/>
  <c r="I610" i="2"/>
  <c r="I622" i="2" s="1"/>
  <c r="J610" i="2"/>
  <c r="K610" i="2"/>
  <c r="L610" i="2"/>
  <c r="L622" i="2" s="1"/>
  <c r="C619" i="2"/>
  <c r="C622" i="2" s="1"/>
  <c r="D619" i="2"/>
  <c r="E619" i="2"/>
  <c r="F619" i="2"/>
  <c r="F622" i="2" s="1"/>
  <c r="G619" i="2"/>
  <c r="G622" i="2" s="1"/>
  <c r="H619" i="2"/>
  <c r="I619" i="2"/>
  <c r="J619" i="2"/>
  <c r="J622" i="2" s="1"/>
  <c r="K619" i="2"/>
  <c r="K622" i="2" s="1"/>
  <c r="L619" i="2"/>
  <c r="J510" i="2" l="1"/>
  <c r="L510" i="2"/>
  <c r="E392" i="2"/>
  <c r="E391" i="2" s="1"/>
  <c r="L372" i="2"/>
  <c r="L343" i="2" s="1"/>
  <c r="M264" i="2"/>
  <c r="M263" i="2" s="1"/>
  <c r="I171" i="2"/>
  <c r="K162" i="2"/>
  <c r="M486" i="2"/>
  <c r="E486" i="2"/>
  <c r="E485" i="2" s="1"/>
  <c r="G486" i="2"/>
  <c r="J451" i="2"/>
  <c r="H432" i="2"/>
  <c r="I406" i="2"/>
  <c r="K407" i="2"/>
  <c r="N392" i="2"/>
  <c r="H392" i="2"/>
  <c r="K11" i="2"/>
  <c r="L486" i="2"/>
  <c r="L485" i="2" s="1"/>
  <c r="H486" i="2"/>
  <c r="H485" i="2" s="1"/>
  <c r="N486" i="2"/>
  <c r="J486" i="2"/>
  <c r="F486" i="2"/>
  <c r="F485" i="2" s="1"/>
  <c r="F484" i="2" s="1"/>
  <c r="L463" i="2"/>
  <c r="F463" i="2"/>
  <c r="N510" i="2"/>
  <c r="F510" i="2"/>
  <c r="H510" i="2"/>
  <c r="K263" i="2"/>
  <c r="G222" i="2"/>
  <c r="M171" i="2"/>
  <c r="E171" i="2"/>
  <c r="G162" i="2"/>
  <c r="G161" i="2" s="1"/>
  <c r="J74" i="2"/>
  <c r="I486" i="2"/>
  <c r="K486" i="2"/>
  <c r="I463" i="2"/>
  <c r="F451" i="2"/>
  <c r="M432" i="2"/>
  <c r="M406" i="2"/>
  <c r="E406" i="2"/>
  <c r="G407" i="2"/>
  <c r="L392" i="2"/>
  <c r="L391" i="2" s="1"/>
  <c r="G11" i="2"/>
  <c r="G10" i="2" s="1"/>
  <c r="G9" i="2" s="1"/>
  <c r="M564" i="2"/>
  <c r="M598" i="2"/>
  <c r="M597" i="2" s="1"/>
  <c r="E432" i="2"/>
  <c r="L263" i="2"/>
  <c r="N248" i="2"/>
  <c r="J248" i="2"/>
  <c r="G207" i="2"/>
  <c r="K148" i="2"/>
  <c r="K147" i="2" s="1"/>
  <c r="G148" i="2"/>
  <c r="G147" i="2" s="1"/>
  <c r="I579" i="2"/>
  <c r="E579" i="2"/>
  <c r="K579" i="2"/>
  <c r="G579" i="2"/>
  <c r="M546" i="2"/>
  <c r="I546" i="2"/>
  <c r="I523" i="2" s="1"/>
  <c r="E546" i="2"/>
  <c r="E523" i="2" s="1"/>
  <c r="N527" i="2"/>
  <c r="J527" i="2"/>
  <c r="F527" i="2"/>
  <c r="L527" i="2"/>
  <c r="L523" i="2" s="1"/>
  <c r="H527" i="2"/>
  <c r="K471" i="2"/>
  <c r="K463" i="2" s="1"/>
  <c r="G471" i="2"/>
  <c r="G463" i="2" s="1"/>
  <c r="M471" i="2"/>
  <c r="M463" i="2" s="1"/>
  <c r="I471" i="2"/>
  <c r="E471" i="2"/>
  <c r="E463" i="2" s="1"/>
  <c r="K440" i="2"/>
  <c r="G440" i="2"/>
  <c r="M440" i="2"/>
  <c r="M439" i="2" s="1"/>
  <c r="I440" i="2"/>
  <c r="I439" i="2" s="1"/>
  <c r="E440" i="2"/>
  <c r="E439" i="2" s="1"/>
  <c r="N432" i="2"/>
  <c r="J432" i="2"/>
  <c r="F432" i="2"/>
  <c r="M426" i="2"/>
  <c r="M425" i="2" s="1"/>
  <c r="I426" i="2"/>
  <c r="I425" i="2" s="1"/>
  <c r="E426" i="2"/>
  <c r="E425" i="2" s="1"/>
  <c r="K426" i="2"/>
  <c r="K425" i="2" s="1"/>
  <c r="G426" i="2"/>
  <c r="G425" i="2" s="1"/>
  <c r="K420" i="2"/>
  <c r="G420" i="2"/>
  <c r="N384" i="2"/>
  <c r="J384" i="2"/>
  <c r="F384" i="2"/>
  <c r="L367" i="2"/>
  <c r="M222" i="2"/>
  <c r="I222" i="2"/>
  <c r="E222" i="2"/>
  <c r="E207" i="2"/>
  <c r="N120" i="2"/>
  <c r="F120" i="2"/>
  <c r="K87" i="2"/>
  <c r="G87" i="2"/>
  <c r="M74" i="2"/>
  <c r="M73" i="2" s="1"/>
  <c r="I74" i="2"/>
  <c r="E74" i="2"/>
  <c r="L579" i="2"/>
  <c r="L569" i="2" s="1"/>
  <c r="H579" i="2"/>
  <c r="N579" i="2"/>
  <c r="J579" i="2"/>
  <c r="F579" i="2"/>
  <c r="K569" i="2"/>
  <c r="G569" i="2"/>
  <c r="L546" i="2"/>
  <c r="H546" i="2"/>
  <c r="H523" i="2" s="1"/>
  <c r="N546" i="2"/>
  <c r="N523" i="2" s="1"/>
  <c r="J546" i="2"/>
  <c r="F546" i="2"/>
  <c r="N471" i="2"/>
  <c r="N463" i="2" s="1"/>
  <c r="J471" i="2"/>
  <c r="J463" i="2" s="1"/>
  <c r="F471" i="2"/>
  <c r="L471" i="2"/>
  <c r="H471" i="2"/>
  <c r="H463" i="2" s="1"/>
  <c r="N440" i="2"/>
  <c r="N439" i="2" s="1"/>
  <c r="J440" i="2"/>
  <c r="F440" i="2"/>
  <c r="L440" i="2"/>
  <c r="L439" i="2" s="1"/>
  <c r="H440" i="2"/>
  <c r="H439" i="2" s="1"/>
  <c r="L426" i="2"/>
  <c r="L425" i="2" s="1"/>
  <c r="H426" i="2"/>
  <c r="H425" i="2" s="1"/>
  <c r="N426" i="2"/>
  <c r="N425" i="2" s="1"/>
  <c r="J426" i="2"/>
  <c r="J425" i="2" s="1"/>
  <c r="F426" i="2"/>
  <c r="F425" i="2" s="1"/>
  <c r="L420" i="2"/>
  <c r="H420" i="2"/>
  <c r="N420" i="2"/>
  <c r="N406" i="2" s="1"/>
  <c r="J420" i="2"/>
  <c r="F420" i="2"/>
  <c r="K367" i="2"/>
  <c r="M249" i="2"/>
  <c r="M248" i="2" s="1"/>
  <c r="I249" i="2"/>
  <c r="E249" i="2"/>
  <c r="F211" i="2"/>
  <c r="F207" i="2" s="1"/>
  <c r="K121" i="2"/>
  <c r="K120" i="2" s="1"/>
  <c r="G121" i="2"/>
  <c r="F87" i="2"/>
  <c r="L407" i="2"/>
  <c r="L406" i="2" s="1"/>
  <c r="H407" i="2"/>
  <c r="H406" i="2" s="1"/>
  <c r="N407" i="2"/>
  <c r="J407" i="2"/>
  <c r="F407" i="2"/>
  <c r="N401" i="2"/>
  <c r="J401" i="2"/>
  <c r="F401" i="2"/>
  <c r="M392" i="2"/>
  <c r="I392" i="2"/>
  <c r="I391" i="2" s="1"/>
  <c r="L384" i="2"/>
  <c r="H384" i="2"/>
  <c r="N372" i="2"/>
  <c r="F372" i="2"/>
  <c r="F343" i="2" s="1"/>
  <c r="L324" i="2"/>
  <c r="H324" i="2"/>
  <c r="H296" i="2"/>
  <c r="H295" i="2" s="1"/>
  <c r="H294" i="2" s="1"/>
  <c r="K249" i="2"/>
  <c r="G249" i="2"/>
  <c r="N240" i="2"/>
  <c r="F240" i="2"/>
  <c r="G234" i="2"/>
  <c r="G233" i="2" s="1"/>
  <c r="M234" i="2"/>
  <c r="M233" i="2" s="1"/>
  <c r="I234" i="2"/>
  <c r="I233" i="2" s="1"/>
  <c r="E234" i="2"/>
  <c r="E233" i="2" s="1"/>
  <c r="L222" i="2"/>
  <c r="K211" i="2"/>
  <c r="K207" i="2" s="1"/>
  <c r="G211" i="2"/>
  <c r="M211" i="2"/>
  <c r="M207" i="2" s="1"/>
  <c r="I211" i="2"/>
  <c r="I207" i="2" s="1"/>
  <c r="E211" i="2"/>
  <c r="M199" i="2"/>
  <c r="M198" i="2" s="1"/>
  <c r="I199" i="2"/>
  <c r="I198" i="2" s="1"/>
  <c r="E199" i="2"/>
  <c r="E198" i="2" s="1"/>
  <c r="K199" i="2"/>
  <c r="K198" i="2" s="1"/>
  <c r="G199" i="2"/>
  <c r="G198" i="2" s="1"/>
  <c r="N171" i="2"/>
  <c r="H148" i="2"/>
  <c r="H147" i="2" s="1"/>
  <c r="M87" i="2"/>
  <c r="I87" i="2"/>
  <c r="E87" i="2"/>
  <c r="N74" i="2"/>
  <c r="N73" i="2" s="1"/>
  <c r="F74" i="2"/>
  <c r="M49" i="2"/>
  <c r="M48" i="2" s="1"/>
  <c r="I49" i="2"/>
  <c r="I48" i="2" s="1"/>
  <c r="E49" i="2"/>
  <c r="E48" i="2" s="1"/>
  <c r="L43" i="2"/>
  <c r="L42" i="2" s="1"/>
  <c r="H43" i="2"/>
  <c r="H42" i="2" s="1"/>
  <c r="N43" i="2"/>
  <c r="N42" i="2" s="1"/>
  <c r="J43" i="2"/>
  <c r="J42" i="2" s="1"/>
  <c r="F43" i="2"/>
  <c r="F42" i="2" s="1"/>
  <c r="N33" i="2"/>
  <c r="L33" i="2"/>
  <c r="H33" i="2"/>
  <c r="L11" i="2"/>
  <c r="H11" i="2"/>
  <c r="G401" i="2"/>
  <c r="M401" i="2"/>
  <c r="I401" i="2"/>
  <c r="E401" i="2"/>
  <c r="F392" i="2"/>
  <c r="L379" i="2"/>
  <c r="K324" i="2"/>
  <c r="G324" i="2"/>
  <c r="N309" i="2"/>
  <c r="F309" i="2"/>
  <c r="L309" i="2"/>
  <c r="H309" i="2"/>
  <c r="K296" i="2"/>
  <c r="G296" i="2"/>
  <c r="M296" i="2"/>
  <c r="I296" i="2"/>
  <c r="E296" i="2"/>
  <c r="E295" i="2" s="1"/>
  <c r="E294" i="2" s="1"/>
  <c r="N234" i="2"/>
  <c r="N233" i="2" s="1"/>
  <c r="J234" i="2"/>
  <c r="J233" i="2" s="1"/>
  <c r="F234" i="2"/>
  <c r="F233" i="2" s="1"/>
  <c r="L234" i="2"/>
  <c r="L233" i="2" s="1"/>
  <c r="H234" i="2"/>
  <c r="H233" i="2" s="1"/>
  <c r="N211" i="2"/>
  <c r="J211" i="2"/>
  <c r="H199" i="2"/>
  <c r="H198" i="2" s="1"/>
  <c r="K171" i="2"/>
  <c r="G171" i="2"/>
  <c r="M162" i="2"/>
  <c r="M161" i="2" s="1"/>
  <c r="I162" i="2"/>
  <c r="I161" i="2" s="1"/>
  <c r="E162" i="2"/>
  <c r="E161" i="2" s="1"/>
  <c r="M148" i="2"/>
  <c r="M147" i="2" s="1"/>
  <c r="I148" i="2"/>
  <c r="I147" i="2" s="1"/>
  <c r="E148" i="2"/>
  <c r="E147" i="2" s="1"/>
  <c r="M121" i="2"/>
  <c r="M120" i="2" s="1"/>
  <c r="I121" i="2"/>
  <c r="E121" i="2"/>
  <c r="K108" i="2"/>
  <c r="G108" i="2"/>
  <c r="N87" i="2"/>
  <c r="J87" i="2"/>
  <c r="K74" i="2"/>
  <c r="K73" i="2" s="1"/>
  <c r="G74" i="2"/>
  <c r="G73" i="2" s="1"/>
  <c r="M43" i="2"/>
  <c r="M42" i="2" s="1"/>
  <c r="I43" i="2"/>
  <c r="I42" i="2" s="1"/>
  <c r="E43" i="2"/>
  <c r="E42" i="2" s="1"/>
  <c r="K33" i="2"/>
  <c r="G33" i="2"/>
  <c r="M11" i="2"/>
  <c r="M10" i="2" s="1"/>
  <c r="I11" i="2"/>
  <c r="I10" i="2" s="1"/>
  <c r="I9" i="2" s="1"/>
  <c r="E11" i="2"/>
  <c r="E10" i="2" s="1"/>
  <c r="E9" i="2" s="1"/>
  <c r="M523" i="2"/>
  <c r="J343" i="2"/>
  <c r="N569" i="2"/>
  <c r="J569" i="2"/>
  <c r="F569" i="2"/>
  <c r="I569" i="2"/>
  <c r="F523" i="2"/>
  <c r="N485" i="2"/>
  <c r="J485" i="2"/>
  <c r="K432" i="2"/>
  <c r="G432" i="2"/>
  <c r="K406" i="2"/>
  <c r="G406" i="2"/>
  <c r="J391" i="2"/>
  <c r="K485" i="2"/>
  <c r="G546" i="2"/>
  <c r="G523" i="2" s="1"/>
  <c r="K439" i="2"/>
  <c r="G439" i="2"/>
  <c r="J406" i="2"/>
  <c r="F406" i="2"/>
  <c r="H391" i="2"/>
  <c r="H569" i="2"/>
  <c r="K546" i="2"/>
  <c r="K523" i="2" s="1"/>
  <c r="M569" i="2"/>
  <c r="E569" i="2"/>
  <c r="J523" i="2"/>
  <c r="K510" i="2"/>
  <c r="G510" i="2"/>
  <c r="M510" i="2"/>
  <c r="M485" i="2" s="1"/>
  <c r="M484" i="2" s="1"/>
  <c r="I510" i="2"/>
  <c r="I485" i="2" s="1"/>
  <c r="E510" i="2"/>
  <c r="M451" i="2"/>
  <c r="I451" i="2"/>
  <c r="E451" i="2"/>
  <c r="J439" i="2"/>
  <c r="F439" i="2"/>
  <c r="F391" i="2"/>
  <c r="K372" i="2"/>
  <c r="G372" i="2"/>
  <c r="G343" i="2"/>
  <c r="M324" i="2"/>
  <c r="M295" i="2" s="1"/>
  <c r="M294" i="2" s="1"/>
  <c r="I324" i="2"/>
  <c r="E324" i="2"/>
  <c r="L295" i="2"/>
  <c r="L294" i="2" s="1"/>
  <c r="N264" i="2"/>
  <c r="N263" i="2" s="1"/>
  <c r="N239" i="2" s="1"/>
  <c r="J264" i="2"/>
  <c r="J263" i="2" s="1"/>
  <c r="F264" i="2"/>
  <c r="F263" i="2" s="1"/>
  <c r="F239" i="2"/>
  <c r="J239" i="2"/>
  <c r="M384" i="2"/>
  <c r="M343" i="2" s="1"/>
  <c r="I384" i="2"/>
  <c r="I343" i="2" s="1"/>
  <c r="E384" i="2"/>
  <c r="E343" i="2" s="1"/>
  <c r="N367" i="2"/>
  <c r="N343" i="2" s="1"/>
  <c r="M240" i="2"/>
  <c r="I240" i="2"/>
  <c r="E240" i="2"/>
  <c r="K392" i="2"/>
  <c r="K391" i="2" s="1"/>
  <c r="G392" i="2"/>
  <c r="K343" i="2"/>
  <c r="N296" i="2"/>
  <c r="J296" i="2"/>
  <c r="F296" i="2"/>
  <c r="H264" i="2"/>
  <c r="H263" i="2" s="1"/>
  <c r="K113" i="2"/>
  <c r="G113" i="2"/>
  <c r="H113" i="2"/>
  <c r="H343" i="2"/>
  <c r="N324" i="2"/>
  <c r="J324" i="2"/>
  <c r="F324" i="2"/>
  <c r="K295" i="2"/>
  <c r="K294" i="2" s="1"/>
  <c r="G295" i="2"/>
  <c r="G294" i="2" s="1"/>
  <c r="I295" i="2"/>
  <c r="I294" i="2" s="1"/>
  <c r="I264" i="2"/>
  <c r="I263" i="2" s="1"/>
  <c r="E264" i="2"/>
  <c r="E263" i="2" s="1"/>
  <c r="I248" i="2"/>
  <c r="E248" i="2"/>
  <c r="L240" i="2"/>
  <c r="J222" i="2"/>
  <c r="J207" i="2"/>
  <c r="N161" i="2"/>
  <c r="L249" i="2"/>
  <c r="L248" i="2" s="1"/>
  <c r="H249" i="2"/>
  <c r="H248" i="2" s="1"/>
  <c r="K240" i="2"/>
  <c r="G240" i="2"/>
  <c r="H240" i="2"/>
  <c r="L211" i="2"/>
  <c r="L207" i="2" s="1"/>
  <c r="H211" i="2"/>
  <c r="H207" i="2" s="1"/>
  <c r="N199" i="2"/>
  <c r="N198" i="2" s="1"/>
  <c r="J199" i="2"/>
  <c r="J198" i="2" s="1"/>
  <c r="F199" i="2"/>
  <c r="F198" i="2" s="1"/>
  <c r="J171" i="2"/>
  <c r="F171" i="2"/>
  <c r="L171" i="2"/>
  <c r="H171" i="2"/>
  <c r="M9" i="2"/>
  <c r="G264" i="2"/>
  <c r="G263" i="2" s="1"/>
  <c r="K248" i="2"/>
  <c r="G248" i="2"/>
  <c r="N222" i="2"/>
  <c r="F222" i="2"/>
  <c r="N207" i="2"/>
  <c r="J120" i="2"/>
  <c r="L121" i="2"/>
  <c r="L120" i="2" s="1"/>
  <c r="H121" i="2"/>
  <c r="H120" i="2" s="1"/>
  <c r="F73" i="2"/>
  <c r="J73" i="2"/>
  <c r="L162" i="2"/>
  <c r="H162" i="2"/>
  <c r="G120" i="2"/>
  <c r="J161" i="2"/>
  <c r="N148" i="2"/>
  <c r="N147" i="2" s="1"/>
  <c r="J148" i="2"/>
  <c r="J147" i="2" s="1"/>
  <c r="F148" i="2"/>
  <c r="F147" i="2" s="1"/>
  <c r="M113" i="2"/>
  <c r="I113" i="2"/>
  <c r="E113" i="2"/>
  <c r="L87" i="2"/>
  <c r="H87" i="2"/>
  <c r="I73" i="2"/>
  <c r="E73" i="2"/>
  <c r="K10" i="2"/>
  <c r="K9" i="2" s="1"/>
  <c r="F161" i="2"/>
  <c r="I120" i="2"/>
  <c r="E120" i="2"/>
  <c r="L113" i="2"/>
  <c r="L74" i="2"/>
  <c r="L73" i="2" s="1"/>
  <c r="H74" i="2"/>
  <c r="H73" i="2" s="1"/>
  <c r="N11" i="2"/>
  <c r="N10" i="2" s="1"/>
  <c r="J11" i="2"/>
  <c r="J10" i="2" s="1"/>
  <c r="F11" i="2"/>
  <c r="F10" i="2" s="1"/>
  <c r="F9" i="2" s="1"/>
  <c r="L484" i="2" l="1"/>
  <c r="I484" i="2"/>
  <c r="E72" i="2"/>
  <c r="H342" i="2"/>
  <c r="E342" i="2"/>
  <c r="J9" i="2"/>
  <c r="I72" i="2"/>
  <c r="G391" i="2"/>
  <c r="I342" i="2"/>
  <c r="G485" i="2"/>
  <c r="G484" i="2" s="1"/>
  <c r="H10" i="2"/>
  <c r="H9" i="2" s="1"/>
  <c r="K72" i="2"/>
  <c r="N391" i="2"/>
  <c r="K161" i="2"/>
  <c r="J72" i="2"/>
  <c r="K342" i="2"/>
  <c r="M391" i="2"/>
  <c r="N9" i="2"/>
  <c r="G72" i="2"/>
  <c r="J295" i="2"/>
  <c r="J294" i="2" s="1"/>
  <c r="M342" i="2"/>
  <c r="L10" i="2"/>
  <c r="L9" i="2" s="1"/>
  <c r="I239" i="2"/>
  <c r="F72" i="2"/>
  <c r="H239" i="2"/>
  <c r="F295" i="2"/>
  <c r="F294" i="2" s="1"/>
  <c r="M239" i="2"/>
  <c r="G342" i="2"/>
  <c r="F342" i="2"/>
  <c r="N342" i="2"/>
  <c r="H484" i="2"/>
  <c r="M72" i="2"/>
  <c r="N72" i="2"/>
  <c r="G239" i="2"/>
  <c r="L342" i="2"/>
  <c r="E484" i="2"/>
  <c r="K484" i="2"/>
  <c r="J484" i="2"/>
  <c r="J342" i="2"/>
  <c r="H161" i="2"/>
  <c r="H72" i="2" s="1"/>
  <c r="L161" i="2"/>
  <c r="L72" i="2" s="1"/>
  <c r="K239" i="2"/>
  <c r="L239" i="2"/>
  <c r="N295" i="2"/>
  <c r="N294" i="2" s="1"/>
  <c r="E239" i="2"/>
  <c r="N484" i="2"/>
</calcChain>
</file>

<file path=xl/sharedStrings.xml><?xml version="1.0" encoding="utf-8"?>
<sst xmlns="http://schemas.openxmlformats.org/spreadsheetml/2006/main" count="2181" uniqueCount="1413">
  <si>
    <t>Kodas</t>
  </si>
  <si>
    <t>2020 m. metinis veiklos planas</t>
  </si>
  <si>
    <t>Vykdytojas</t>
  </si>
  <si>
    <t>Atsakingas (-i) asmuo (-ys)</t>
  </si>
  <si>
    <t>Lėšos biudžetiniams metams</t>
  </si>
  <si>
    <t>Finansavimo lėšos</t>
  </si>
  <si>
    <t>Efekto /Rezultato /Produkto /Indėlio vertinimo kriterijaus</t>
  </si>
  <si>
    <t>SB</t>
  </si>
  <si>
    <t>SB(IP)</t>
  </si>
  <si>
    <t>SB(AA)</t>
  </si>
  <si>
    <t>SB(D)</t>
  </si>
  <si>
    <t>SP</t>
  </si>
  <si>
    <t>ES</t>
  </si>
  <si>
    <t>VB</t>
  </si>
  <si>
    <t>VIP</t>
  </si>
  <si>
    <t>KT</t>
  </si>
  <si>
    <t>Rodiklis</t>
  </si>
  <si>
    <t>Mato vnt.</t>
  </si>
  <si>
    <t>Planas</t>
  </si>
  <si>
    <t>2020</t>
  </si>
  <si>
    <t>01</t>
  </si>
  <si>
    <t>Mokymosi visą gyvenimą, jaunimo ir sporto programa</t>
  </si>
  <si>
    <t>Elvydas Pauliukėnas</t>
  </si>
  <si>
    <t>01.01.</t>
  </si>
  <si>
    <t>Tikslas. Švietimo kokybės gerinimas</t>
  </si>
  <si>
    <t>01.01.01</t>
  </si>
  <si>
    <t>Uždavinys. Kompleksiškai modernizuoti, renovuoti švietimo įstaigų mokymo (si) ir ugdymo (si) aplinką ir materialinę bazę (vaikų ir jaunimo ugdymo organizavimas)</t>
  </si>
  <si>
    <t>01.01.01.01.</t>
  </si>
  <si>
    <t>Priemonė. Atnaujinti švietimo įstaigų mokymo priemonių bazę</t>
  </si>
  <si>
    <t>Švietimo,kultūros ir sporto skyrius</t>
  </si>
  <si>
    <t>Gaunamų iš Švietimo ir mokslo ministerijos priemonių skaičius</t>
  </si>
  <si>
    <t>vnt</t>
  </si>
  <si>
    <t>200,00</t>
  </si>
  <si>
    <t>01.01.01.01.01</t>
  </si>
  <si>
    <t>Veikla:  Mokymo priemonės mokyklų kabinetams gaunamos iš Švietimo ir mokslo ministerijos</t>
  </si>
  <si>
    <t>01.01.01.02.</t>
  </si>
  <si>
    <t>Priemonė.Dalyvauti „Geltonojo autobusiuko“ programose.</t>
  </si>
  <si>
    <t>Planuojamų gauti transporto priemonių skaičius</t>
  </si>
  <si>
    <t>1,00</t>
  </si>
  <si>
    <t>01.01.01.02.01</t>
  </si>
  <si>
    <t>Veikla:  Įsigyti transporto priemones švietimo įstaigoms</t>
  </si>
  <si>
    <t>01.01.01.03</t>
  </si>
  <si>
    <t>Priemonė. Mokymo reikmėms skirtų lėšų naudojimo programa valdoma administracijoje</t>
  </si>
  <si>
    <t>Administracines lėšas naudojančių įstaigų skaičius</t>
  </si>
  <si>
    <t>15,00</t>
  </si>
  <si>
    <t>01.01.01.03.01</t>
  </si>
  <si>
    <t>Veikla: Egzaminų vykdymas, tarifinių atlygių koeficientų skirtumui išlyginimas, mažiau pasirenktų užsienio kalbų mokymosi finansavimas</t>
  </si>
  <si>
    <t>01.01.01.04</t>
  </si>
  <si>
    <t>Priemonė. Ūkinių išlaidų naudojimo programa valdoma administracijoje</t>
  </si>
  <si>
    <t>Neformaliojo ugdymo programų skaičius</t>
  </si>
  <si>
    <t>21,00</t>
  </si>
  <si>
    <t>01.01.01.04.01</t>
  </si>
  <si>
    <t>Veikla: Neformaliojo ugdymo programų finansavimas</t>
  </si>
  <si>
    <t>01.01.01.05.</t>
  </si>
  <si>
    <t>Priemonė. Mokinių pavėžėjimo programa</t>
  </si>
  <si>
    <t>Mokinių, pavežamų maršrutiniu transportu, skaičius</t>
  </si>
  <si>
    <t>620,00</t>
  </si>
  <si>
    <t>01.01.01.05.01</t>
  </si>
  <si>
    <t>Veikla:  Lėšos, atsiskaitymui su vežėjais už mokinių pavežėjimą</t>
  </si>
  <si>
    <t>01.01.01.07.</t>
  </si>
  <si>
    <t>Priemonė. Rajono reprezentacija mokomųjų dalykų ir neformaliojo ugdymo renginiuose programa</t>
  </si>
  <si>
    <t>Reprezentuojančių rajoną mokinių ir mokytojų skaičius</t>
  </si>
  <si>
    <t>45,00</t>
  </si>
  <si>
    <t>01.01.01.07.01.</t>
  </si>
  <si>
    <t>Veikla:  Lėšos, skirtos švietimo įstaigų išlaidoms padengti, kurių mokiniai reprezentuoja rajoną įvairiuose renginiuose</t>
  </si>
  <si>
    <t>01.01.01.08.</t>
  </si>
  <si>
    <t>Priemonė. Renginių (olimpiadų, konkursų, viktorinų, peržiūrų, švenčių, festivalių, vasaros poilsio) organizavimo, mokinių ir darbuotojų skatinimo programos</t>
  </si>
  <si>
    <t>Vasaros poilsiui mokiniams išpirktų kelialapių skaičius</t>
  </si>
  <si>
    <t>30,00</t>
  </si>
  <si>
    <t>Skirtų premijų šimtukininkams skaičius</t>
  </si>
  <si>
    <t>12,00</t>
  </si>
  <si>
    <t>Organizuojamų renginių skaičius</t>
  </si>
  <si>
    <t>50,00</t>
  </si>
  <si>
    <t>Dainų šventės pasirengimui įsigytų aprangos komplektų skaičius</t>
  </si>
  <si>
    <t>2,00</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</si>
  <si>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</si>
  <si>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</si>
  <si>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</si>
  <si>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</si>
  <si>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Švietimo, mokslo ir sporto ministerijos skirtų leidinių skaičius</t>
  </si>
  <si>
    <t>1 500,00</t>
  </si>
  <si>
    <t>Nupirktų mokyklinės dokumentacijos leidinių skaičius</t>
  </si>
  <si>
    <t>650,00</t>
  </si>
  <si>
    <t>01.01.01.09.01.</t>
  </si>
  <si>
    <t>Veikla:  Nupirkti mokyklinės dokumentacijos leidinių</t>
  </si>
  <si>
    <t>01.01.01.09.02.</t>
  </si>
  <si>
    <t>Veikla:  Skirtų mokslo ir sporto ministerijos leidinių</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</si>
  <si>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</si>
  <si>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</si>
  <si>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</si>
  <si>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</si>
  <si>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švietimo įstaigų vadovams, pavaduotojams skaičius</t>
  </si>
  <si>
    <t>3,00</t>
  </si>
  <si>
    <t>01.01.02.01.01</t>
  </si>
  <si>
    <t>Veikla:  Suorganizuoti kvalifikacijos kėlimo kursus, švietimo įstaigų vadovams, pavaduotojams</t>
  </si>
  <si>
    <t>01.01.02.02</t>
  </si>
  <si>
    <t>Priemonė. Neformaliojo suaugusiųjų švietimo, mokytojų persikvalifikavimo programa</t>
  </si>
  <si>
    <t>Perkvalifikuojamų specialistų skaičius</t>
  </si>
  <si>
    <t>5,00</t>
  </si>
  <si>
    <t>01.01.02.02.01</t>
  </si>
  <si>
    <t>Veikla: Perkvalifikavimo galimybės mokytojams.</t>
  </si>
  <si>
    <t>01.02</t>
  </si>
  <si>
    <t>Tikslas. Švietimo prieinamumas ir paslaugų įvairovė</t>
  </si>
  <si>
    <t>01.02.01.</t>
  </si>
  <si>
    <t>Uždavinys. Plėtoti vaikų ir jaunimo karjeros paslaugas ir neformaliojo ugdymosi galimybes</t>
  </si>
  <si>
    <t>01.02.01.01.</t>
  </si>
  <si>
    <t>Priemonė. Vykdyti ugdymo karjerai ir neformaliojo ugdymo programas mokyklose</t>
  </si>
  <si>
    <t>Mokyklose vykdomų programų skaičius</t>
  </si>
  <si>
    <t>01.02.01.01.01</t>
  </si>
  <si>
    <t>Veikla: Vykdyti neformalio ugdymo ir ugdymo karjeros programas mokyklose</t>
  </si>
  <si>
    <t>01.03.</t>
  </si>
  <si>
    <t>Tikslas. Suaugusiųjų mokymo (si) sistemos, sąlygų ir paskatų plėtojimas</t>
  </si>
  <si>
    <t>01.03.02.</t>
  </si>
  <si>
    <t>Uždavinys. Didinti neformaliojo švietimo prieinamumą ir galimybes</t>
  </si>
  <si>
    <t>01.03.02.01.</t>
  </si>
  <si>
    <t xml:space="preserve">Priemonė. Vykdyti trečiojo amžiaus universitetų veiklą    </t>
  </si>
  <si>
    <t>Veikiančių fakultetų skaičius</t>
  </si>
  <si>
    <t>6,00</t>
  </si>
  <si>
    <t>01.03.02.01.01.</t>
  </si>
  <si>
    <t>Veikla: Vykdyti Trečiojo amžiaus universiteto 6 fakultetų veiklą</t>
  </si>
  <si>
    <t>01.03.02.02.</t>
  </si>
  <si>
    <t>Priemonė. Vykdyti neformaliojo suaugusiųjų švietimo ir tęstinio mokymosi 2018-2020 m. veiksmų planą</t>
  </si>
  <si>
    <t>Projektų skaičius</t>
  </si>
  <si>
    <t>0,00</t>
  </si>
  <si>
    <t>01.03.02.02.02</t>
  </si>
  <si>
    <t>Veikla: Vykdyti projektus pagal neformaliojo suaugusiųjų švietimo veiksmų planą</t>
  </si>
  <si>
    <t>01.04.</t>
  </si>
  <si>
    <t>Tikslas. Sveiko gyvenimo būdo ir sporto propogavimas</t>
  </si>
  <si>
    <t>01.04.01.</t>
  </si>
  <si>
    <t>Uždavinys. Skatinti sporto klubų ir masinių sportinių renginių veiklas</t>
  </si>
  <si>
    <t>01.04.01.01.</t>
  </si>
  <si>
    <t>Priemonė. VŠĮ Šakių krepšinio klubo finansavimo programa.</t>
  </si>
  <si>
    <t>NKL varžybų skaičius</t>
  </si>
  <si>
    <t>52,00</t>
  </si>
  <si>
    <t>01.04.01.01.01</t>
  </si>
  <si>
    <t>Veikla:  Vykdyti VŠĮ Šakių krepšinio klubo finansavimo programą</t>
  </si>
  <si>
    <t>01.04.01.04.</t>
  </si>
  <si>
    <t>Priemonė: įgyvendinti projektą „Neįgaliųjų socialinė integracija per kūno kultūrą ir sportą“</t>
  </si>
  <si>
    <t>Įgyvendinamų neįgaliųjų socialinės integracijos projektų skaičius</t>
  </si>
  <si>
    <t>01.04.01.04.01</t>
  </si>
  <si>
    <t>Veikla:  Neįgaliųjų socialinės integracijos projekto įgynendinimas</t>
  </si>
  <si>
    <t>01.05.</t>
  </si>
  <si>
    <t>Tikslas. Jaunimo politikos įgyvendinimas</t>
  </si>
  <si>
    <t>Jaunimo reikalų koordinatorė</t>
  </si>
  <si>
    <t>Danutė Jurgutienė</t>
  </si>
  <si>
    <t>01.05.01.</t>
  </si>
  <si>
    <t>Uždavinys. Skatinti ir palaikyti jaunimo iniciatyvas.</t>
  </si>
  <si>
    <t>01.05.01.01.</t>
  </si>
  <si>
    <t>Priemonė. Įgyvendinti jaunimo politikos programą</t>
  </si>
  <si>
    <t>Skirtų socialinių stipendijų jaunimui skaičius</t>
  </si>
  <si>
    <t>Projektų skirtų jaunimo iniciatyvų skatinimui skaičius</t>
  </si>
  <si>
    <t>Jaunimui skirtų premijų skaičius</t>
  </si>
  <si>
    <t>Projektų skirtų atvirų jaunimo centrų ir atvirų jaunimo erdvių veiklos finansavimui skaičius</t>
  </si>
  <si>
    <t>Suorganizuotų jaunimo konferencijų, susitikimų, diskusijų  skaičius</t>
  </si>
  <si>
    <t>Bendrafinansuotų nacionalinių ir tarptautinių jaunimo projektų skaičius</t>
  </si>
  <si>
    <t>Projektų skirtų jaunimo mokymams, gerosios patirties sklaidai skaičius</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</si>
  <si>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</si>
  <si>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</si>
  <si>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</si>
  <si>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</si>
  <si>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01.05.01.01.03</t>
  </si>
  <si>
    <t>Veikla:  Remti gabius jaunuolius, neturinčius galimybių studijuoti dėl materialinių sunkumų, skiriant jiems socialines stipendijas.</t>
  </si>
  <si>
    <t>01.06.</t>
  </si>
  <si>
    <t>Tikslas. Socialinių paslaugų aprėpties didinimas.</t>
  </si>
  <si>
    <t>Tarpinstitucinio bendradarbiavimo koordinatorius</t>
  </si>
  <si>
    <t>Aušra Pavydienė</t>
  </si>
  <si>
    <t>01.06.01.</t>
  </si>
  <si>
    <t>Uždavinys. Vykdyti tarpinstitucinį bendradarbiavimą teikiant koordinuotą pagalbą vaikui ir šeimai</t>
  </si>
  <si>
    <t>01.06.01.01.</t>
  </si>
  <si>
    <t>Priemonė. Teikti koordinuotą pagalbą vaikui ir šeimai</t>
  </si>
  <si>
    <t>Vaikų gavusių paskirtas minimalios ar vidutinės priežiūros priemones skaičius</t>
  </si>
  <si>
    <t>10,00</t>
  </si>
  <si>
    <t>Vaikų gavusių paskirtą privalomą ikimokyklinį ugdymą skaičius</t>
  </si>
  <si>
    <t>Šeimų gavusių koordinuotai teikiamas paslaugas skaičius</t>
  </si>
  <si>
    <t>4,00</t>
  </si>
  <si>
    <t>01.06.01.01.01</t>
  </si>
  <si>
    <t>Veikla: Vykdyti tarpinstitucinį bendradarbiavimą teikiant pagalbą, paslaugas vaikui ir šeimai</t>
  </si>
  <si>
    <t>04.</t>
  </si>
  <si>
    <t>Regioninės plėtros ir bendruomeninių iniciatyvų programa</t>
  </si>
  <si>
    <t>Ūkio,architektūros ir investicijų skyrius</t>
  </si>
  <si>
    <t>Arvydas Šlėderis, Kristina Juodvalkienė</t>
  </si>
  <si>
    <t>04.01.</t>
  </si>
  <si>
    <t xml:space="preserve">Tikslas: Darnaus išteklių naudojimo skatinimas.  </t>
  </si>
  <si>
    <t>04.01.01.</t>
  </si>
  <si>
    <t>Uždavinys: Kompleksiškai plėtoti ir puoselėti  rekreacines teritorijas, želdynus, tvenkinius bei kitas viešąsias erdves, pritaikant jas gyventojų bei verslo poreikiams</t>
  </si>
  <si>
    <t>04.01.01.01.</t>
  </si>
  <si>
    <t>Priemonė: įgyvendinti projektą  “Draugystės parkai -3“</t>
  </si>
  <si>
    <t>Mantas Paketuris</t>
  </si>
  <si>
    <t>Sutvarkytų rekreacinių teritorijų skaičius</t>
  </si>
  <si>
    <t>04.01.01.01.01.</t>
  </si>
  <si>
    <t>Veikla: Projekto darbų vykdymas (želdinių tvarkymo, mažosios architektūros įrengimo, kietosios dangos ir nesurištos dangos takų įrengimo darbai)</t>
  </si>
  <si>
    <t>04.01.01.02.</t>
  </si>
  <si>
    <t>Priemonė: įgyvendinti projektą  “Draugystės parkai - 1“</t>
  </si>
  <si>
    <t>Kristina Juodvalkienė</t>
  </si>
  <si>
    <t>Apdraustų investicijų skaičius</t>
  </si>
  <si>
    <t>04.01.01.02.01</t>
  </si>
  <si>
    <t>Veikla: Apdraustos projekto "Draugystės parkai 1" investicijos, atliekamas priežiūros darbų vykdymas po projekto užbaigimo</t>
  </si>
  <si>
    <t>04.01.01.03.</t>
  </si>
  <si>
    <t>Priemonė: įgyvendinti projektą  „Gelgaudiškio dvaro parko sutvarkymas.“ (V-016)</t>
  </si>
  <si>
    <t>Janina Povilaitytė</t>
  </si>
  <si>
    <t>Vykdomų rangos sutarčių skaičius</t>
  </si>
  <si>
    <t>Parengtų techninių projektų skaičius</t>
  </si>
  <si>
    <t>04.01.01.03.01</t>
  </si>
  <si>
    <t>Veikla: Projekto „Gelgaudiškio dvaro parko sutvarkymas“ istorinių, archeologinių, dendrologinių tyrimų, projektavimo  pirkimas ir  techninio projekto parengimas</t>
  </si>
  <si>
    <t>04.01.01.05.</t>
  </si>
  <si>
    <t>Priemonė: "Šakių miesto riboženklių įrengimas"</t>
  </si>
  <si>
    <t>Įrengtų Šakių miesto riboženklių pylimų skaičius</t>
  </si>
  <si>
    <t>Įrengtų Šakių miesto riboženklių skaičius</t>
  </si>
  <si>
    <t>04.01.01.05.01.</t>
  </si>
  <si>
    <t>Veikla: Šakių miesto riboženklio įrengimo darbai</t>
  </si>
  <si>
    <t>04.01.01.06.</t>
  </si>
  <si>
    <t>Priemonė: "E.Steponaičio ir Kęstučio gatvėse esamų gyvenamųjų namų fasadų atnaujinimas"</t>
  </si>
  <si>
    <t>Sutvarkytų objektų skaičius</t>
  </si>
  <si>
    <t>04.01.01.06.01.</t>
  </si>
  <si>
    <t>Veikla: E.Steponaičio ir Kęstučio gatvėse esamų gyvenamųjų namų fasadų atnaujinimas</t>
  </si>
  <si>
    <t>04.01.03.</t>
  </si>
  <si>
    <t>Uždavinys: Modernizuoti ir renovuoti viešuosius pastatus</t>
  </si>
  <si>
    <t>04.01.03.01.</t>
  </si>
  <si>
    <t>Priemonė: įgyvendinti projektą ,,Šakių rajono savivaldybės viešųjų pastatų atnaujinimas“ (R-724)</t>
  </si>
  <si>
    <t>Vytautas Mauza</t>
  </si>
  <si>
    <t>Atlikta rangos darbų, procentais</t>
  </si>
  <si>
    <t>Proc.</t>
  </si>
  <si>
    <t>100,00</t>
  </si>
  <si>
    <t>Atlikta autorinių projekto priežiūrų, procentais</t>
  </si>
  <si>
    <t>Atlikta rangos darbų techninės priežiūros, procentais</t>
  </si>
  <si>
    <t>04.01.03.01.01</t>
  </si>
  <si>
    <t>Veikla: Vykdyti Šakių miesto seniūnijos pastato techninę priežiūrą</t>
  </si>
  <si>
    <t>04.01.03.01.04</t>
  </si>
  <si>
    <t>Veikla: Įsigyti rangos darbus Šakių m. seniūnijos pastato rekonstrukcijai</t>
  </si>
  <si>
    <t>04.01.03.01.05</t>
  </si>
  <si>
    <t>Veikla: Vykdyti autorinę techninio projekto priežiūrą</t>
  </si>
  <si>
    <t>04.01.03.02.</t>
  </si>
  <si>
    <t>Priemonė: Įgyvendinti priemonę „Atsinaujinančių energijos išteklių (saulės, vėjo, geoterminės energijos, biokuro ar kitų) panaudojimas visuomeninės ir gyvenamosios (įvairių socialinių grupių asmenims) paskirties pastatuose“</t>
  </si>
  <si>
    <t>Aušra Slidziauskienė</t>
  </si>
  <si>
    <t>Patikslintų paraiškų skaičius</t>
  </si>
  <si>
    <t>04.01.03.02.02</t>
  </si>
  <si>
    <t>Veikla: Patikslinti paraišką dėl atsinaujinančių energijos šaltinių prinemonių</t>
  </si>
  <si>
    <t>04.01.03.03.</t>
  </si>
  <si>
    <t>Priemonė. Įgyvendinti projektą ,,Saulės fotovoltinės jėgainės diegimas Šakių rajono savivaldybės administracijos pastate, esančiame Bažnyčios g. 4, Šakiuose"</t>
  </si>
  <si>
    <t>Įdiegtų atsinaujinančių energijos šaltinių priemonių skaičius</t>
  </si>
  <si>
    <t>04.01.03.03.02</t>
  </si>
  <si>
    <t>Veikla: Įdiegti atsinaujinančių energijos šaltinių priemonę</t>
  </si>
  <si>
    <t>04.01.03.04.</t>
  </si>
  <si>
    <t>Priemonė. Įgyvendinti projektą ,,Saulės fotovoltinės jėgainės diegimas Šakių ,,Žiburio" gimnazijoje, esančioje V. Kudirkos g. 33, Šakiuose"</t>
  </si>
  <si>
    <t>04.01.03.04.01</t>
  </si>
  <si>
    <t>04.01.03.05.</t>
  </si>
  <si>
    <t>Priemonė. Įgyvendinti projektą ,,Saulės fotovoltinės jėgainės diegimas Šakių lopšelyje darželyje ,,Berželis", esančiame Gimnazijos g. 7, Šakiuose"</t>
  </si>
  <si>
    <t>04.01.03.05.01</t>
  </si>
  <si>
    <t>Veikla: Įdiegti atsinaujinančių energijos šaltinių priemonię</t>
  </si>
  <si>
    <t>04.01.03.06.</t>
  </si>
  <si>
    <t>Priemonė. Įgyvendinti projektą ,,Saulės fotovoltinės jėgainės diegimas Šakių darželyje ,,Klevelis", esančiame Šaulių g. 20, Šakiuose"</t>
  </si>
  <si>
    <t>04.01.03.06.01</t>
  </si>
  <si>
    <t>04.01.03.07.</t>
  </si>
  <si>
    <t>Priemonė. Įgyvendinti projektą ,,Saulės fotovoltinės jėgainės diegimas Kukarskės globos namuose, esančiuose Nemuno g. 136, Kukarskės k. Kidulių sen.,Šakių r."</t>
  </si>
  <si>
    <t>04.01.03.07.01</t>
  </si>
  <si>
    <t>04.01.03.08.</t>
  </si>
  <si>
    <t>Priemonė. Įgyvendinti projektą ,,Atsinaujinančių energijos šaltinių diegimas Šakių rajono savivaldybės jaunimo kūrybos ir sporto centre"</t>
  </si>
  <si>
    <t>04.01.03.08.01</t>
  </si>
  <si>
    <t>04.01.04.</t>
  </si>
  <si>
    <t>Uždavinys: Rengti teritorijų planavimo dokumentus</t>
  </si>
  <si>
    <t>04.01.04.01.</t>
  </si>
  <si>
    <t>Priemonė: Teritorijų planavimo dokumentų rengimas</t>
  </si>
  <si>
    <t>Laima Savukaitienė</t>
  </si>
  <si>
    <t>Parengtų projektų teritorijų planavimo dokumentų skaičius</t>
  </si>
  <si>
    <t>04.01.04.01.02.</t>
  </si>
  <si>
    <t>Veikla: Parengti teritorijų planavimo dokumentų projektus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</si>
  <si>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</si>
  <si>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</si>
  <si>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</si>
  <si>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</si>
  <si>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</si>
  <si>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licenziją</t>
  </si>
  <si>
    <t>04.02.</t>
  </si>
  <si>
    <t>Tikslas: Inžinerinės infrastruktūros modernizavimas.</t>
  </si>
  <si>
    <t>04.02.02.</t>
  </si>
  <si>
    <t xml:space="preserve">Uždavinys: Kurti ir plėtoti pramonės zonas ir subzonas </t>
  </si>
  <si>
    <t>04.02.02.01.</t>
  </si>
  <si>
    <t xml:space="preserve">Priemonė: "Šakių pramonės zonos įrengimas“ / infrastruktūros įrengimo darbai. </t>
  </si>
  <si>
    <t>Parengtų PEZ teritorjų skaičius</t>
  </si>
  <si>
    <t>04.02.02.01.02.</t>
  </si>
  <si>
    <t>Veikla: Parengtų PEZ teritorjų skaičius</t>
  </si>
  <si>
    <t>04.02.03.</t>
  </si>
  <si>
    <t xml:space="preserve">Uždavinys: Plėtoti viešą privačią partnerystę  verslo ir turizmo srityse </t>
  </si>
  <si>
    <t>04.02.03.01.</t>
  </si>
  <si>
    <t>Priemonė: bendrafinansuoti vietinių užimtumo iniciatyvų projektus</t>
  </si>
  <si>
    <t>Skatinančių investicijų priemonių skaičius</t>
  </si>
  <si>
    <t>04.02.03.01.01.</t>
  </si>
  <si>
    <t>Veikla: Vykdyti investicijų skatinimo priemones</t>
  </si>
  <si>
    <t>04.03.</t>
  </si>
  <si>
    <t>Tikslas: Šiuolaikiškos susisiekimo sistemos plėtra.</t>
  </si>
  <si>
    <t>04.03.01.</t>
  </si>
  <si>
    <t>Uždavinys: Modernizuoti ir plėtoti savivaldybės vietinės reikšmės kelius, gatves ir kitas susisiekimo komunikacijas</t>
  </si>
  <si>
    <t>04.03.01.01.</t>
  </si>
  <si>
    <t xml:space="preserve">Priemonė: įgyvendinti projektą „Šakių miesto susisiekimo infrastruktūros modernizavimas" (TID-511) </t>
  </si>
  <si>
    <t>20,00</t>
  </si>
  <si>
    <t>Atliktų projekto ekspertizių skaičius</t>
  </si>
  <si>
    <t>04.03.01.01.02</t>
  </si>
  <si>
    <t>Veikla: Rangos darbų pirkimas</t>
  </si>
  <si>
    <t>04.03.01.01.04</t>
  </si>
  <si>
    <t>Veikla: Rangos darbų techninės priežiūros vykdymas</t>
  </si>
  <si>
    <t>04.03.01.01.06</t>
  </si>
  <si>
    <t>Veikla: Autorinė projektų vykdymo priežiūra</t>
  </si>
  <si>
    <t>04.03.01.01.07</t>
  </si>
  <si>
    <t>Veikla: Techninių projektų parengimas</t>
  </si>
  <si>
    <t>04.03.01.01.09</t>
  </si>
  <si>
    <t>04.03.01.02.</t>
  </si>
  <si>
    <t>Priemonė: Gatvių apšvietimas projekto „Šakių miesto susisiekimo infrastruktūros modernizavimas" (TID-511)</t>
  </si>
  <si>
    <t>04.03.01.02.01</t>
  </si>
  <si>
    <t>Veikla: Įsigyti techninių projektų parengimo bei projekto vykdymo priežiūros paslaugas projekte numatytiems apšvietimo įrengimo darbams</t>
  </si>
  <si>
    <t>04.03.01.02.03</t>
  </si>
  <si>
    <t>Veikla: Techninio projekto espertizės paslaugų pirkimas</t>
  </si>
  <si>
    <t>04.03.01.02.05</t>
  </si>
  <si>
    <t>Veikla: Statybos darbų techninė priežiūra</t>
  </si>
  <si>
    <t>04.03.01.02.06</t>
  </si>
  <si>
    <t>Veikla: Vykdyti rangos darbus</t>
  </si>
  <si>
    <t>04.03.01.02.07</t>
  </si>
  <si>
    <t>Veikla: Autorinė techninių projektų priežiūra</t>
  </si>
  <si>
    <t>04.03.01.03.</t>
  </si>
  <si>
    <t>Priemonė. Įgyvendinti projektą ,,Šakių rajono kaimo vietovės ribose esančios vietinės reikšmės Ilguvos kaimo Dvaro gatvės Nr. ILG-1 su žvyro danga tvarkymase"</t>
  </si>
  <si>
    <t>Sutvarkytų gatvių skaičius</t>
  </si>
  <si>
    <t>04.03.01.03.01</t>
  </si>
  <si>
    <t>Veikla: Įrengti Ilguvos kaimo Dvaro gatvės Nr. ILG-1 dalį</t>
  </si>
  <si>
    <t>04.03.02.</t>
  </si>
  <si>
    <t>Uždavinys: Modernizuoti esamus, įrengti naujus pėsčiųjų ir dviračių takus</t>
  </si>
  <si>
    <t>04.03.02.01</t>
  </si>
  <si>
    <t>Priemonė: įgyvendinti projektą ,,Pėsčiųjų ir dviračių takų įrengimas teritorijoje tarp V. Kudirkos ir Kęstučio gatvių Šakiuose” (R-516)</t>
  </si>
  <si>
    <t>Rekonstruotų pėsčiųjų ir dviračių takų ilgis kilometrais</t>
  </si>
  <si>
    <t>km</t>
  </si>
  <si>
    <t>0,69</t>
  </si>
  <si>
    <t>04.03.02.01.02.</t>
  </si>
  <si>
    <t>Veikla: Kietosios dangos takų įrengimo darbai</t>
  </si>
  <si>
    <t>04.04.</t>
  </si>
  <si>
    <t>Tikslas: Efektyvus melioracijos statinių funkcionavimas</t>
  </si>
  <si>
    <t>04.04.01.</t>
  </si>
  <si>
    <t xml:space="preserve">Uždavinys: Skatinti efektyvesnį melioracijos statinių naudojimą ir priežiūrą
</t>
  </si>
  <si>
    <t>04.04.01.01.</t>
  </si>
  <si>
    <t>Priemonė: įgyvendinti projektą ,,Šakių rajono savivaldybės Būblelių ir Žvirgždaičių kadastro vietovėse esančių melioracijos statinių rekonstravimas“</t>
  </si>
  <si>
    <t>Žemės ūkio ir kaimo reikalų skyrius</t>
  </si>
  <si>
    <t>Irena  Žemaitienė, Rimantas  Vaičiūnas</t>
  </si>
  <si>
    <t>Prižiūrimų griovių ilgis kilometrais (projekto priežiūrą vykdoma iš 12 programos 12.05.01.01. priemonės)</t>
  </si>
  <si>
    <t>12,04</t>
  </si>
  <si>
    <t>04.04.01.01.11.</t>
  </si>
  <si>
    <t>Veikla: vykdyti Projekto „Šakių rajono savivaldybės Baltrušių, Barzdų, Patašinės ir Paluobių kadastro vietovėse esančių melioracijos statinių rekonstrukcija“ griovių priežiūros darbus (šienavimas)</t>
  </si>
  <si>
    <t>04.04.01.03.</t>
  </si>
  <si>
    <t>Priemonė: įgyvendinti projektą "Šakių rajono savivaldybės Giedručių, Šakių, Girėnų ir Lukšių kadastro vietovėse esančių melioracijos statinių remontas ir rekonstrukcija"</t>
  </si>
  <si>
    <t>Prižiūrimų griovių ilgis kilometrais (Projekto priežiūrą vykdoma iš 12 programos 12.05.01.01. priemonės)</t>
  </si>
  <si>
    <t>11,54</t>
  </si>
  <si>
    <t>04.04.01.03.06</t>
  </si>
  <si>
    <t>Veikla: vykdyti Projekto „Šakių rajono savivaldybės Giedručių, Šakių, Girėnų ir Lukšių kadastro vietovėse esančių melioracijos statinių rekonstrukcija“ griovių priežiūros darbus (šienavimas)</t>
  </si>
  <si>
    <t>04.04.01.04.</t>
  </si>
  <si>
    <t>Priemonė: įgyvendinti projektą ,,Šakių rajono savivaldybės Baltrušių, Barzdų, Patašinės ir Paluobių kadastro vietovėse esančių melioracijos statinių remontas ir rekonstrukcija“</t>
  </si>
  <si>
    <t>12,31</t>
  </si>
  <si>
    <t>04.04.01.04.01</t>
  </si>
  <si>
    <t>Veikla: vykdyti Projekto,,Šakių rajono savivaldybės Būblelių ir Žvirgždaičių kadastro vietovėse esančių melioracijos statinių rekonstravimas“ griovių priežiūros darbus (šienaivmas)</t>
  </si>
  <si>
    <t>04.04.01.05.</t>
  </si>
  <si>
    <t>Priemonė: įgyvendinti projektą ,,Šakių rajono savivaldybės Briedžių, Liepalotų ir Lukšių kadastro vietovėse esančių melioracijos statinių rekonstravimas“</t>
  </si>
  <si>
    <t>Prižiūrimų griovių ilgis kilometrais</t>
  </si>
  <si>
    <t>16,80</t>
  </si>
  <si>
    <t>04.04.01.05.02</t>
  </si>
  <si>
    <t>Veikla: Rekonstruoti melioracijois griovius ir juose esančius hidrotechninius statinius.</t>
  </si>
  <si>
    <t>04.04.01.05.03</t>
  </si>
  <si>
    <t>Veikla: Atlikti tvenkinio ant Jurgupio upelio vandens numetėjo rekonstrukciją</t>
  </si>
  <si>
    <t>04.04.01.06</t>
  </si>
  <si>
    <t>Priemonė: įgyvendinti projektą ,,Šakių rajono savivaldybės Kidulių ir Voverių kadastro vietovėse esančių melioracijos statinių rekonstravimas“</t>
  </si>
  <si>
    <t>15,99</t>
  </si>
  <si>
    <t>04.04.01.06.02</t>
  </si>
  <si>
    <t>Veikla: Rekonstruoti melioracijois griovius ir juose esančius hidrotechninius statinius</t>
  </si>
  <si>
    <t>04.04.01.06.03</t>
  </si>
  <si>
    <t>Veikla: atlikti Voverių tvenkinio vandens numetėjo rekonstrukciją</t>
  </si>
  <si>
    <t>04.05.</t>
  </si>
  <si>
    <t>Tikslas: Kompleksinis miestelių ir kaimų bendruomeninės ir viešosios infrastruktūros atnaujinimas.</t>
  </si>
  <si>
    <t>04.05.01.</t>
  </si>
  <si>
    <t>Uždavinys:  Atnaujinti gyvenviečių, turinčių nuo 1000 iki 6000 gyventojų viešąją infrastruktūrą</t>
  </si>
  <si>
    <t>04.05.01.01</t>
  </si>
  <si>
    <t>Priemonė: įgyvendinti projektą "Kudirkos Naumiesčio gyvenamosios vietovės atnaujinimas" (R-908)</t>
  </si>
  <si>
    <t>Rasa Liubamirskaitė</t>
  </si>
  <si>
    <t>Vykdomų rangos darbų skaičius</t>
  </si>
  <si>
    <t>04.05.01.01.01</t>
  </si>
  <si>
    <t>Veikla: Rangos darbų pirkimas ir atlikimas: pėsčiųjų takų ir apšvietimo įrengimo darbai, sporto ir laisvalaikio erdvės įrengimo darbai, viešojo tualeto statybos bei verslo patalpų remontas ir pritaikymas bendruomenės poreikiams.</t>
  </si>
  <si>
    <t>04.05.01.02.</t>
  </si>
  <si>
    <t>Priemonė: Įgyvendinti projektą ,,Lukšių gyvenamosios vietovės atnaujinimas" (R-908)</t>
  </si>
  <si>
    <t>Vykdomų rangos darbų sutarčių skaičius</t>
  </si>
  <si>
    <t>04.05.01.02.02</t>
  </si>
  <si>
    <t>Veikla: Rangos darbų pirkimas ir vykdymas</t>
  </si>
  <si>
    <t>04.05.01.03.</t>
  </si>
  <si>
    <t xml:space="preserve">Priemonė: įgyvendinti projektą "Gelgaudiškio gyvenamosios vietovės atnaujinimas" (R-908)    </t>
  </si>
  <si>
    <t>04.05.01.03.01</t>
  </si>
  <si>
    <t>Veikla: Techninio projekto "Vakarų g. atkarpos pėsčiųjų tako statybos, lauko apšvietimo tinklų statybos bei rekreacinių zonų įrengimo" parengimas</t>
  </si>
  <si>
    <t>04.05.01.03.02</t>
  </si>
  <si>
    <t>04.05.02.</t>
  </si>
  <si>
    <t>Uždavinys:  Atnaujinti gyvenviečių, turinčių iki  1000 gyventojų viešąją infrastruktūrą</t>
  </si>
  <si>
    <t>04.05.02.01.</t>
  </si>
  <si>
    <t>Priemonė: įgyvendinti priemonės "Kaimo atnaujinimas ir plėtra" projektą "Barzdų atnaujinimas ir plėtra"</t>
  </si>
  <si>
    <t>Rekonstruojamų objektų skaičius</t>
  </si>
  <si>
    <t>04.05.02.01.03.</t>
  </si>
  <si>
    <t>Veikla: Rekonstruoti Barzdų kultūros namus</t>
  </si>
  <si>
    <t>04.05.02.02.</t>
  </si>
  <si>
    <t>Priemonė: įgyvendinti priemonės "Kaimo atnaujinimas ir plėtra" projektą "Griškabūdžio atnaujinimas ir plėtra"</t>
  </si>
  <si>
    <t>04.05.02.02.01</t>
  </si>
  <si>
    <t>Veikla: Techninio projekto "Griškabūdžio mstl. Alyvų, Ryto, J. Jablonskio gatvių dalių apšvietimo inžinerinių tinklų plėtros, pėsčiųjų takų plėtros,  J. Jablonskio g. esančio parko sutvarkymo bei turgaus aikštės rekonstrukcijos" parengimas</t>
  </si>
  <si>
    <t>04.05.02.02.02</t>
  </si>
  <si>
    <t>Veikla: Rangos darbų vykdymas</t>
  </si>
  <si>
    <t>04.05.02.03.</t>
  </si>
  <si>
    <t>Priemonė: įgyvendinti priemonės "Kaimo atnaujinimas ir plėtra" projektą "Lekėčių atnaujinimas ir plėtra"</t>
  </si>
  <si>
    <t>04.05.02.03.01.</t>
  </si>
  <si>
    <t>04.05.02.03.02</t>
  </si>
  <si>
    <t>04.05.02.04.</t>
  </si>
  <si>
    <t>Priemonė: įgyvendinti priemonės "Kaimo atnaujinimas ir plėtra" projektą "Kriūkų atnaujinimas ir plėtra"</t>
  </si>
  <si>
    <t>Sviatošino dvaro suremontuotų objektų skaičius</t>
  </si>
  <si>
    <t>04.05.02.04.03</t>
  </si>
  <si>
    <t>Veikla: Mokyklos pastato 1-o aukšto dalies (buv. Sviatošino dvaro), Mokyklos g. 2, Joginiškių k. Kriūkų sen. Šakių r. sav. kapitalinis remontas</t>
  </si>
  <si>
    <t>04.05.02.05.</t>
  </si>
  <si>
    <t>Priemonė: įgyvendinti priemonės "Kaimo atnaujinimas ir plėtra" projektą "Plokščių atnaujinimas ir plėtra"</t>
  </si>
  <si>
    <t>04.05.02.05.03</t>
  </si>
  <si>
    <t>04.05.02.06.</t>
  </si>
  <si>
    <t>Priemonė: įgyvendinti priemonės "Kaimo atnaujinimas ir plėtra" projektą "Sudargo atnaujinimas ir plėtra"</t>
  </si>
  <si>
    <t>Atliktų rangos darbų skaičius</t>
  </si>
  <si>
    <t>04.05.02.06.03</t>
  </si>
  <si>
    <t>04.05.02.08.</t>
  </si>
  <si>
    <t>Priemonė: įgyvendinti priemonės "Kaimo atnaujinimas ir plėtra" projektą "Žvirgždaičių atnaujinimas ir plėtra"</t>
  </si>
  <si>
    <t>04.05.02.08.02</t>
  </si>
  <si>
    <t>04.08.</t>
  </si>
  <si>
    <t>Tikslas: Švietimo kokybės gerinimas.</t>
  </si>
  <si>
    <t>04.08.01.</t>
  </si>
  <si>
    <t>Uždavinys: Kompleksiškai modernizuoti, renovuoti švietimo įstaigų mokymo (si) ir ugdymo (si) aplinką ir materialinę bazę</t>
  </si>
  <si>
    <t>04.08.01.01.</t>
  </si>
  <si>
    <t>Priemonė: Įgyvendinti projektą „Šakių rajono savivaldybės mokyklų tinklo efektyvumo didinimas“  (R-724)</t>
  </si>
  <si>
    <t>Aurimas Staugaitis</t>
  </si>
  <si>
    <t>Įsigytos įrangos ir įrenginių komplektų skaičius</t>
  </si>
  <si>
    <t>kompl.</t>
  </si>
  <si>
    <t>04.08.01.01.01</t>
  </si>
  <si>
    <t>Veikla: Įsigyti lauko žaidimų aikštelių inventorių, salės baldus, garso aparatūrą.</t>
  </si>
  <si>
    <t>04.09.</t>
  </si>
  <si>
    <t>Tikslas: Sporto ir aktyvaus laisvalaikio infrastruktūros plėtojimas.</t>
  </si>
  <si>
    <t>04.09.01.</t>
  </si>
  <si>
    <t>Uždavinys: Atnaujinti esamas ir kurti naujas sporto ir aktyvaus laisvalaikio zonas bei viešąsias erdves</t>
  </si>
  <si>
    <t>04.09.01.01.</t>
  </si>
  <si>
    <t xml:space="preserve">Priemonė: įgyvendinti projektą „Neformaliojo švietimo infrastruktūros tobulinimas Šakių mieste"  (R-725)      </t>
  </si>
  <si>
    <t>04.09.01.01.03</t>
  </si>
  <si>
    <t>Veikla: Įsigyti meno mokyklai reikalingą fortepijoną</t>
  </si>
  <si>
    <t>04.10.</t>
  </si>
  <si>
    <t>Tikslas: Sveiko gyvenimo  būdo ir sporto propagavimas, ligų prevencija, profilaktika.</t>
  </si>
  <si>
    <t>04.10.01.</t>
  </si>
  <si>
    <t>Uždavinys: Skatinti sveiką gyvenseną ir vykdyti ligų prevenciją</t>
  </si>
  <si>
    <t>04.10.01.01.</t>
  </si>
  <si>
    <t>Priemonė: įgyvendinti projektą „Šakių rajono  pirminės asmens  sveikatos priežiūros  veiklos efektyvumo didinimas“ (R-609)</t>
  </si>
  <si>
    <t>Įrengtų DOTS kabinetų skaičius</t>
  </si>
  <si>
    <t>Įsigytų medicininės, kompiuterinės įrangų bei baldų komplektų skaičius</t>
  </si>
  <si>
    <t>04.10.01.01.04</t>
  </si>
  <si>
    <t>Veikla: Įvykdyti medicininės, kompiuterinės įrangų bei baldų pirkimus</t>
  </si>
  <si>
    <t>04.10.01.02.</t>
  </si>
  <si>
    <t>Priemonė: įgyvendinti projektą ,,Sveikos gyvensenos skatinimas Šakių rajone“ (R-630)</t>
  </si>
  <si>
    <t>Dalyvavusių informavimo, švietimo ir mokymo renginiuose bei sveikatos raštingumą didinančiose veiklose dalyvių skaičius</t>
  </si>
  <si>
    <t>04.10.01.02.01</t>
  </si>
  <si>
    <t>Veikla: Suorganizuoti visuomenės informavimo, švietimo ir mokymo renginių  bei sveikatos raštingumą didinančias veiklas</t>
  </si>
  <si>
    <t>04.10.01.03.</t>
  </si>
  <si>
    <t>Priemonė: įgyvendinti projektą „Priemonių, gerinančių ambulatorinių sveikatos priežiūros paslaugų prieinamumą tuberkulioze sergantiems pacientams įgyvendinimas Šakių rajone“ (R-615)</t>
  </si>
  <si>
    <t>Asmenų, gavusių maisto talonus, skaičius</t>
  </si>
  <si>
    <t>13,00</t>
  </si>
  <si>
    <t>04.10.01.03.01</t>
  </si>
  <si>
    <t>Veikla: Maisto talonų dalinimas tuberkulioze sergantiems pacientams, kurie vartoja vaistus ambulatorinio gydymo metu</t>
  </si>
  <si>
    <t>04.12.</t>
  </si>
  <si>
    <t>Tikslas: Regioninio ir tarptautinio bendradarbiavimo plėtojimas.</t>
  </si>
  <si>
    <t>04.12.01.</t>
  </si>
  <si>
    <t>Uždavinys: ES lėšomis finansuojamų bendradarbiavimo projektų įgyvendinimas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</si>
  <si>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</si>
  <si>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</si>
  <si>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</si>
  <si>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</si>
  <si>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</si>
  <si>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</si>
  <si>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</si>
  <si>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04.12.02.01.</t>
  </si>
  <si>
    <t>Priemonė: įgyvendinti projektą  “Draugystės parkai - 2“</t>
  </si>
  <si>
    <t>04.12.02.01.02.</t>
  </si>
  <si>
    <t>Veikla: Rengti ir teikti ataskaitas susijusias su rekonstrukcijos darbais Šakių miesto skvere</t>
  </si>
  <si>
    <t>04.12.02.02.</t>
  </si>
  <si>
    <t>Priemonė: "Įgyvendinti projektą „WiFi4EU Šakių rajono savivaldybėje“</t>
  </si>
  <si>
    <t>Įrengtų bevielio interneto ryšio prieigos taškų skaičius</t>
  </si>
  <si>
    <t>04.12.02.02.01.</t>
  </si>
  <si>
    <t>Veikla: Bevielio interneto prieigos taškų įrengimo pirkimas</t>
  </si>
  <si>
    <t>04.12.02.03.</t>
  </si>
  <si>
    <t>Priemonė: Įgyvendinti projektą „Zanavykų ir Goldap „Mazurski zdrój“ regionai – neatrastos turizmo galimybės“</t>
  </si>
  <si>
    <t>Įgyvendintų projektų skaičius</t>
  </si>
  <si>
    <t>04.12.02.03.01.</t>
  </si>
  <si>
    <t>Veikla: Parengti projektų paraiškas</t>
  </si>
  <si>
    <t>04.14.</t>
  </si>
  <si>
    <t>Tikslas: Socialinių paslaugų prieinamumo  ir pasirinkimo užtikrinimas.</t>
  </si>
  <si>
    <t>04.14.01.</t>
  </si>
  <si>
    <t>Uždavinys:Teikti socialinės globos paslaugas</t>
  </si>
  <si>
    <t>04.14.01.01.</t>
  </si>
  <si>
    <t>Priemonė: įgyvendinti projektą „Kompleksinių paslaugų šeimai plėtra Šakių savivaldybėje“ (V-416)</t>
  </si>
  <si>
    <t>Socialinių paslaugų suteikimo skaičius</t>
  </si>
  <si>
    <t>04.14.01.01.01</t>
  </si>
  <si>
    <t>Veikla: Teikti projekto veiklose numatytas paslaugas. Organizuojamos grupinės ir individualios konsultacijos (mediacijos paslaugų, emocinio intelekto, įvairių terapijų, psichologo paslaugos ir kt. ).</t>
  </si>
  <si>
    <t>04.15.</t>
  </si>
  <si>
    <t xml:space="preserve">Tikslas: Socialinių paslaugų aprėpties didinimas.       </t>
  </si>
  <si>
    <t>04.15.01.</t>
  </si>
  <si>
    <t>Uždavinys: Socialinių paslaugų rizikos asmenims plėtra</t>
  </si>
  <si>
    <t>04.15.01.01.</t>
  </si>
  <si>
    <t>Priemonė: įgyvendinti projektą „Socialinių paslaugų infrastruktūros plėtra Šakių rajone“ (R-407)</t>
  </si>
  <si>
    <t>Atliktų rangos darbų infrastruktūrai pagerinti skaičius</t>
  </si>
  <si>
    <t>04.15.01.01.01</t>
  </si>
  <si>
    <t>Veikla: Sutvarkyti infrastruktūrą pritaikant patalpas neįgaliųjų asmenų dienos centrui</t>
  </si>
  <si>
    <t>04.15.02.</t>
  </si>
  <si>
    <t>Uždavinys: Šakių rajono socialinio būsto fondo plėtra</t>
  </si>
  <si>
    <t>04.15.02.01.</t>
  </si>
  <si>
    <t>Priemonė: įgyvendinti projektą „Šakių rajono savivaldybės socialinio būsto plėtra“ (R-408)</t>
  </si>
  <si>
    <t>Įsigytų būstų skaičius</t>
  </si>
  <si>
    <t>11,00</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</si>
  <si>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</si>
  <si>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</si>
  <si>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</si>
  <si>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</si>
  <si>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04.16.01.</t>
  </si>
  <si>
    <t>Uždavinys: Gerinti saugumą viešosiose erdvėse</t>
  </si>
  <si>
    <t>04.16.01.01.</t>
  </si>
  <si>
    <t>Priemonė: "Miesto stebėjimo sistemos įrengimas"</t>
  </si>
  <si>
    <t>Antanas Grigaitis</t>
  </si>
  <si>
    <t>Atnaujintų stebėjimo sistemų įrangos skaičius</t>
  </si>
  <si>
    <t>04.16.01.01.01</t>
  </si>
  <si>
    <t>Veikla: Atnaujinti stebėjimo sistemos įrangą</t>
  </si>
  <si>
    <t>04.17.</t>
  </si>
  <si>
    <t>Tikslas: Kultūros paveldo saugojimas, aktualizavimas ir pritaikymas viešiesiems poreikiams.</t>
  </si>
  <si>
    <t>04.17.01</t>
  </si>
  <si>
    <t>Uždavinys. Restauruoti, pritaikyti viešiesiems poreikiams kultūros paveldo objektus.</t>
  </si>
  <si>
    <t>04.17.01.07</t>
  </si>
  <si>
    <t>Priemonė: įgyvendinti projektą "Kultūros paveldas abipus sienos - turizmui ir bendradarbiavimui".</t>
  </si>
  <si>
    <t>Kultūros ir turizmo skyrius</t>
  </si>
  <si>
    <t>Aurelija  Papievienė</t>
  </si>
  <si>
    <t>Rekonstruotų ir pritaikytų pastatų skaičius</t>
  </si>
  <si>
    <t>04.17.01.07.01</t>
  </si>
  <si>
    <t>Veikla: Dalinai rekonstruoti Kidulių dvaro svirno pastatą</t>
  </si>
  <si>
    <t>04.17.01.09.</t>
  </si>
  <si>
    <t>Priemonė. Įgyvendinti projektą "Gelgaudiškio dvaro sodybos rūmų, Parko g. 5, Gelgaudiškis, Šakių r. 113 ir 114 patalpų interjero tyrimai, tvarkybos darbai."</t>
  </si>
  <si>
    <t>Restauruotų patalpų skaičius</t>
  </si>
  <si>
    <t>04.17.01.09.01.</t>
  </si>
  <si>
    <t>Veikla: Rekonstruoti Gelgaudiškio dvaro rūmų patalpas</t>
  </si>
  <si>
    <t>06.</t>
  </si>
  <si>
    <t>Kultūros ir turizmo plėtros programa</t>
  </si>
  <si>
    <t>Asta  Kėvelaitytė, Aurelija  Papievienė</t>
  </si>
  <si>
    <t>06.01.</t>
  </si>
  <si>
    <t>Tikslas: Sąlygų sudarymas visiems gyventojams dalyvauti etninės kultūros sklaidos procese</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</si>
  <si>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</si>
  <si>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</si>
  <si>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</si>
  <si>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</si>
  <si>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</si>
  <si>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7,00</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</si>
  <si>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</si>
  <si>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</si>
  <si>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</si>
  <si>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</si>
  <si>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</si>
  <si>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</si>
  <si>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tautinių kostiumų skaičius</t>
  </si>
  <si>
    <t>Įsigytų liaudies instrumentų skaičius</t>
  </si>
  <si>
    <t>06.01.03.01.01</t>
  </si>
  <si>
    <t>Veikla: Įsigyti tautinių kostiumų</t>
  </si>
  <si>
    <t>06.02.</t>
  </si>
  <si>
    <t>Tikslas:  Kultūros paveldo saugojimas, aktualizavimas ir pritaikymas viešiesiems poreikiams</t>
  </si>
  <si>
    <t>06.02.01.</t>
  </si>
  <si>
    <t>Uždavinys: Restauruoti, pritaikyti viešiesiems poreikiams kultūros paveldo objektus</t>
  </si>
  <si>
    <t>06.02.01.04</t>
  </si>
  <si>
    <t>Priemonė: Paminklo Vytautui Didžiąjam Kudirkos Naumiestyje restauravimas</t>
  </si>
  <si>
    <t>Inga Navlickienė</t>
  </si>
  <si>
    <t>Restauruotų paminklų skaičius</t>
  </si>
  <si>
    <t>06.02.01.04.02</t>
  </si>
  <si>
    <t>Veikla: Paminklo paprastojo remonto darbai</t>
  </si>
  <si>
    <t>06.02.01.05.</t>
  </si>
  <si>
    <t>Priemonė. Zyplių dvaro sodybos svirno stogų ir fasadų restauravimas</t>
  </si>
  <si>
    <t>Restauruotų pastatų skaičius</t>
  </si>
  <si>
    <t>06.02.01.05.01</t>
  </si>
  <si>
    <t>Veikla: Dokumentacijos rengimas</t>
  </si>
  <si>
    <t>06.02.01.06.</t>
  </si>
  <si>
    <t>Priemonė. Įgyvendinti projektą "Kultūros ir amatų keliu Šakiai-Budry"</t>
  </si>
  <si>
    <t>Pritaikytų ir įveiklintų pastatų skaičius</t>
  </si>
  <si>
    <t>06.02.01.06.02</t>
  </si>
  <si>
    <t>Veikla: Amatininkų namo pritaikymo darbai</t>
  </si>
  <si>
    <t>06.02.02.</t>
  </si>
  <si>
    <t>Uždavinys: Rūpintis krašto įžymių žmonių atminimo, įvykių, vietų išsaugojimu</t>
  </si>
  <si>
    <t>06.02.02.01.</t>
  </si>
  <si>
    <t>Priemonė: Krašto įžymių žmonių atminimo, įvykių, vietų išsaugojimas ir įamžinimas</t>
  </si>
  <si>
    <t>Išsaugotų įžymių vietų skaičius</t>
  </si>
  <si>
    <t>Suorganizuotų renginių skaičius</t>
  </si>
  <si>
    <t>Įgyvendinamų programų skaičius</t>
  </si>
  <si>
    <t>06.02.02.01.02</t>
  </si>
  <si>
    <t>Veikla: Valkų mūšiui atminti renginio koordinavimas</t>
  </si>
  <si>
    <t>06.02.02.01.03</t>
  </si>
  <si>
    <t>Veikla: Kriūkų krašto partizaninio judėjimui skirto renginio koordinavimas</t>
  </si>
  <si>
    <t>06.02.02.01.04</t>
  </si>
  <si>
    <t>Veikla: Statinių naudojimo priežiūros dokumentacijos rengimas</t>
  </si>
  <si>
    <t>06.03.</t>
  </si>
  <si>
    <t>Tikslas: Palankių sąlygų sudarymas kultūros ir turizmo paslaugų plėtrai ir paslaugų kokybės gerinimui</t>
  </si>
  <si>
    <t>06.03.01</t>
  </si>
  <si>
    <t>Uždavinys: Skleisti profesionaliąją kūrybą,  skatinti mėgėjų meno veiklą, dainų švenčių tradiciją</t>
  </si>
  <si>
    <t>06.03.01.01.</t>
  </si>
  <si>
    <t xml:space="preserve"> Priemonė: Organizuoti žanrinius  tradicinius renginius ir šventes </t>
  </si>
  <si>
    <t>Asta  Kėvelaitytė</t>
  </si>
  <si>
    <t>Koncertinių rūbų įsigijimas</t>
  </si>
  <si>
    <t>06.03.01.01.01</t>
  </si>
  <si>
    <t>Veikla: Renginių organizavimas</t>
  </si>
  <si>
    <t>06.03.01.02.</t>
  </si>
  <si>
    <t>Priemonė: Kasmetinė kultūros darbuotojo premija</t>
  </si>
  <si>
    <t>Skirtų kasmetinių kultūros darbuotojų premijų skaičius</t>
  </si>
  <si>
    <t>06.03.01.02.01</t>
  </si>
  <si>
    <t>Veikla: Kasmetinė darbuotojo premija</t>
  </si>
  <si>
    <t>06.03.01.03.</t>
  </si>
  <si>
    <t>Priemonė: Koofinansavimo lėšos kultūros įstaigų projektams</t>
  </si>
  <si>
    <t>Koofinansuotų  projektų skaičius</t>
  </si>
  <si>
    <t>06.03.01.03.01</t>
  </si>
  <si>
    <t>Veikla: Projektų koofinansavimas</t>
  </si>
  <si>
    <t>06.03.02.</t>
  </si>
  <si>
    <t>Uždavinys: Remti krašto autorių kūrybą ir kraštą reprezentuojančius leidinius</t>
  </si>
  <si>
    <t>06.03.02.01.</t>
  </si>
  <si>
    <t>Priemonė: Dalinai paremti leidiniai</t>
  </si>
  <si>
    <t>Dalinai paremtų leidinių skaičius</t>
  </si>
  <si>
    <t>06.03.02.01.01</t>
  </si>
  <si>
    <t>Veikla: Dalinai finansuoti leidiniai</t>
  </si>
  <si>
    <t>06.04.</t>
  </si>
  <si>
    <t>Tikslas.Turizmo infrastruktūros plėtra.</t>
  </si>
  <si>
    <t>Šešupės euroregiono turizmo ir informacijos centras</t>
  </si>
  <si>
    <t>Ieva Bernotaitė</t>
  </si>
  <si>
    <t>06.04.01.</t>
  </si>
  <si>
    <t>Uždavinys: Vykdyti aktyvią rinkodarą ir komunikaciją.</t>
  </si>
  <si>
    <t>06.04.01.01.</t>
  </si>
  <si>
    <t>Priemonė: Formuoti Šakių rajono turizmo reprezentacinį įvaizdį.</t>
  </si>
  <si>
    <t>Parengtų rinkodaros priemonių skaičius</t>
  </si>
  <si>
    <t>Oganizuotų turizmo renginių skaičius</t>
  </si>
  <si>
    <t>Išplatintų informacijos rinkinių skaičius</t>
  </si>
  <si>
    <t>Parengtų strategijos krypčių skaičius</t>
  </si>
  <si>
    <t>06.04.01.01.01</t>
  </si>
  <si>
    <t>Veikla: Parengti rinkodaros priemones</t>
  </si>
  <si>
    <t>06.04.01.01.03</t>
  </si>
  <si>
    <t>Veikla: Parengti strategijos kryptis</t>
  </si>
  <si>
    <t>06.05.</t>
  </si>
  <si>
    <t>Tikslas: Palankių sąlygų sudarymas kultūros ir turizmo paslaugų plėtrai ir paslaugų kokybės gerinimui.</t>
  </si>
  <si>
    <t>06.05.01.</t>
  </si>
  <si>
    <t>Uždavinys: Plėtoti turizmo informacinę sistemą</t>
  </si>
  <si>
    <t>06.05.01.01.</t>
  </si>
  <si>
    <t>Priemonė: Plėtoti Šešupės euroregiono TIC veiklą ir turizmo informacinę sistemą</t>
  </si>
  <si>
    <t>Dalyvautų, organizuotų konferencijų, renginių skaičius</t>
  </si>
  <si>
    <t>Sukurtų produktų skaičius</t>
  </si>
  <si>
    <t>Sudarytų ataskaitų skaičius</t>
  </si>
  <si>
    <t>Aptarnautų vartotojų skaičius</t>
  </si>
  <si>
    <t>7 000,00</t>
  </si>
  <si>
    <t>Inicijuotų veiklų skaičius</t>
  </si>
  <si>
    <t>06.05.01.01.01</t>
  </si>
  <si>
    <t>Veikla: Dalyvauti, organizuoti konferencijas, mokymus ir renginius, susitikimus su turizmo tiekėjais ir organizatoriais.</t>
  </si>
  <si>
    <t>06.05.01.01.02</t>
  </si>
  <si>
    <t>Veikla: Aptarnauti TIC lankytojus ir interesantus</t>
  </si>
  <si>
    <t>06.05.01.01.04</t>
  </si>
  <si>
    <t>Veikla: Sudaryti ataskaitas ir pateikti statistikos duomenis</t>
  </si>
  <si>
    <t>06.05.01.01.05</t>
  </si>
  <si>
    <t>Veikla: Inicijuoti turizmą skatinančias veiklas</t>
  </si>
  <si>
    <t>07</t>
  </si>
  <si>
    <t>Valdymo programa</t>
  </si>
  <si>
    <t>Vitalija Tumienė</t>
  </si>
  <si>
    <t>07.01.</t>
  </si>
  <si>
    <t>Tikslas: Efektyvaus viešojo valdymo sistemos sukūrimas</t>
  </si>
  <si>
    <t>07.01.01.</t>
  </si>
  <si>
    <t>Uždavinys: užtikrinti efektyvų savivaldybės funkcijų vykdymą</t>
  </si>
  <si>
    <t>07.01.01.01.</t>
  </si>
  <si>
    <t>Priemonė: užtikrinti savivaldybės tarybos darbo funkcionalumą</t>
  </si>
  <si>
    <t>Centralizuotos buhalterijos skyrius</t>
  </si>
  <si>
    <t>Tarybos narių, kėlusių kvalifikaciją skaičius</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</si>
  <si>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</si>
  <si>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</si>
  <si>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</si>
  <si>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</si>
  <si>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</si>
  <si>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</si>
  <si>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</si>
  <si>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</si>
  <si>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</si>
  <si>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</si>
  <si>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</si>
  <si>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124,00</t>
  </si>
  <si>
    <t>07.01.01.03.01</t>
  </si>
  <si>
    <t>Veikla: Savivaldybės administracijos darbuotojų darbo funkcijų vykdymo užtikrinimas</t>
  </si>
  <si>
    <t>07.01.01.04.</t>
  </si>
  <si>
    <t>Priemonė: užtikrinti savivaldybės administracijos struktūrinių teritorinių padalinių darbo funkcionalumą</t>
  </si>
  <si>
    <t>Seniūnijų darbuotojų, kėlusių kvalifikaciją skaičius</t>
  </si>
  <si>
    <t>28,00</t>
  </si>
  <si>
    <t>07.01.01.04.01</t>
  </si>
  <si>
    <t>Veikla: Savivaldybės administracijos padalinių - seniūnijų darbuotojų darbo funkcijų vykdymo užtikrinimas</t>
  </si>
  <si>
    <t>07.01.01.04.02</t>
  </si>
  <si>
    <t>Veikla: Savivaldybės administracijos padalinių - seniūnijų pajamų uždirbimui vykdomų priemonių užtikrinimas (patalpų nuoma, turto pardavimas ir kt.)</t>
  </si>
  <si>
    <t>07.01.02.</t>
  </si>
  <si>
    <t>Uždavinys: Užtikrinti efektyvų priskirtųjų (ribotai savarankiškų) savivaldybių funkcijų vykdymą)</t>
  </si>
  <si>
    <t>07.01.02.01.</t>
  </si>
  <si>
    <t>Priemonė: Organizuoti keleivių vežimą vietiniais maršrutais</t>
  </si>
  <si>
    <t>Nuostolių dėl keleivių vežimo vietinio (priemiestinio) reguliaraus susisiekimo autobusų maršrutais procentas nuo išlaidų, patirtų vežant keleivius (priemiestinio) reguliaraus susisiekimo autobusais</t>
  </si>
  <si>
    <t>0,79</t>
  </si>
  <si>
    <t>07.01.02.01.01</t>
  </si>
  <si>
    <t>Veikla: Keleivių vežimo vietiniais marštutais organizavimas</t>
  </si>
  <si>
    <t>07.01.03.</t>
  </si>
  <si>
    <t>Uždavinys: Formuoti savivaldybės veiklos įvaizdį</t>
  </si>
  <si>
    <t>07.01.03.01.</t>
  </si>
  <si>
    <t>Priemonė: Organizuoti reprezentacijas ir dalyvauti švenčių ir renginių organizavime</t>
  </si>
  <si>
    <t>Reprezentacinių renginių skaičius</t>
  </si>
  <si>
    <t>150,00</t>
  </si>
  <si>
    <t>07.01.03.01.01</t>
  </si>
  <si>
    <t>Veikla: Reprezentacijų, švenčių ir renginių organizavimo bei atsovavimo užtikrinimas</t>
  </si>
  <si>
    <t>07.01.03.02.</t>
  </si>
  <si>
    <t>Priemonė: Reprezentacinis pavėžėjimas</t>
  </si>
  <si>
    <t>Reprezentacinių pavėžėjimų skaičius</t>
  </si>
  <si>
    <t>07.01.03.02.01</t>
  </si>
  <si>
    <t>Veikla: Organizuoti reprezentacinį pavėžėjimą</t>
  </si>
  <si>
    <t>07.01.04.</t>
  </si>
  <si>
    <t>Uždavinys: Nenumatytų reikmių finansavimas</t>
  </si>
  <si>
    <t>07.01.04.01.</t>
  </si>
  <si>
    <t>Priemonė: Ekstremalių situacijų padarinių likvidavimas</t>
  </si>
  <si>
    <t>Prašymų skaičius</t>
  </si>
  <si>
    <t>07.01.05.</t>
  </si>
  <si>
    <t>Uždavinys: Dengti su savivaldybės turto disponavimu ir įteisinimu susijusias išlaidas</t>
  </si>
  <si>
    <t>07.01.05.01.</t>
  </si>
  <si>
    <t>Priemonė: Organizuoti savivaldybės nekilnojamojo turto įteisinimą, kadastrinių matavimų ir detaliųjų planų rengimą, nekilnojamojo turto vertinimą, užtikrinti žemėtvarkos projektų rengimo ir įgyvendinimo darbų apmokėjimą</t>
  </si>
  <si>
    <t>Irmunda Čepulionienė, Sonata  Gruzdaitienė</t>
  </si>
  <si>
    <t>Užsakymų skaičius</t>
  </si>
  <si>
    <t>07.01.05.01.01</t>
  </si>
  <si>
    <t>Veikla: Savivaldybės nekilnojamojo turto įteisinimo, kadastrinių matavimų ir detaliųjų planų rengimo, nekilnojamojo turto vertinimo, užtikrinant žemėtvarkos projektų rengimo ir įgyvendinimo darbų apmokėjimo organizavimas</t>
  </si>
  <si>
    <t>07.01.06.</t>
  </si>
  <si>
    <t>Uždavinys: Užtikrinti finansinių įsipareigojimų vykdymą</t>
  </si>
  <si>
    <t>07.01.06.01.</t>
  </si>
  <si>
    <t>Priemonė: Grąžinti paskolas</t>
  </si>
  <si>
    <t>Stasė Savickienė</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</si>
  <si>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</si>
  <si>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</si>
  <si>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</si>
  <si>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</si>
  <si>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</si>
  <si>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</si>
  <si>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</si>
  <si>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</si>
  <si>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</si>
  <si>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</si>
  <si>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Rita Vaičiūnienė</t>
  </si>
  <si>
    <t>07.01.07.01.</t>
  </si>
  <si>
    <t>Priemonė: Mažinant administracinę naštą, atnaujinti administracinių paslaugų aprašymus ir paskelbti interneto svetainėje</t>
  </si>
  <si>
    <t>Bendrųjų reikalų skyrius</t>
  </si>
  <si>
    <t>Atnaujintų administracinių paslaugų ir paskelbtų interneto svetainėje komplektų skaičius</t>
  </si>
  <si>
    <t>07.01.07.01.01</t>
  </si>
  <si>
    <t>Veikla: Atnaujinti ir paskelbti interneto svetainėje administracinių paslaugų aprašymų komplektą</t>
  </si>
  <si>
    <t>07.01.07.02.</t>
  </si>
  <si>
    <t>Priemonė: Mažinant administracinę naštą,  ieškoti galimybių dėl integracijos su įvairiais registrais sudarymo</t>
  </si>
  <si>
    <t>Sudarytų paslaugų teikimo sutarčių, ieškant galimybių dėl integracijos su įvairiais registrais, skaičius</t>
  </si>
  <si>
    <t>07.01.07.02.01</t>
  </si>
  <si>
    <t>Veikla: Ieškoti galimybių sudaryti paslaugų teikimo sutartis dėl integracijos su įvairiais registrais</t>
  </si>
  <si>
    <t>07.01.07.03.</t>
  </si>
  <si>
    <t>Priemonė: Mažinant administracinę naštą, skatinti naudojimąsi e-pristatymo paslauga</t>
  </si>
  <si>
    <t>Išsiųstų per e-pristatymą dokumentų skaičius</t>
  </si>
  <si>
    <t>1 000,00</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</si>
  <si>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</si>
  <si>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</si>
  <si>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</si>
  <si>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</si>
  <si>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t>
  </si>
  <si>
    <t>07.01.07.04.01</t>
  </si>
  <si>
    <t>Veikla: Įdiegti ir išplėtoti Dokumentų valdymo sistemą su Raštinės paslaugų moduliu, keičiantis informacija tarp struktūrinių, struktūrinių teritorinių padalinių, savivaldybei pavaldžių įstaigų</t>
  </si>
  <si>
    <t>07.01.07.05.</t>
  </si>
  <si>
    <t>Priemonė. Mažinant administracinę naštą, diegti informacines sistemas, plėsti ir tobulinti esamas informacines sistemas</t>
  </si>
  <si>
    <t>Įdiegtų informacinių sistemų skaičius</t>
  </si>
  <si>
    <t>Išplėtotų informacinių sistemų skaičius</t>
  </si>
  <si>
    <t>07.01.07.05.01</t>
  </si>
  <si>
    <t>Veikla: Įdiegti „Savitarnos portalo diegimas“ informacinę sistemą</t>
  </si>
  <si>
    <t>07.01.07.05.02</t>
  </si>
  <si>
    <t>Veikla: Išplėtoti funkcionalumą Strateginio planavimo informacinės sistemos (STRAPIS) ir dokumentų valdymo sistemos „Kontora“ programos integruojant programą su Microsoft Office Word programa</t>
  </si>
  <si>
    <t>07.01.07.06.</t>
  </si>
  <si>
    <t>Priemonė. Mažinant administracinę naštą, skatinti elektroninių paslaugų naudojimą, įdiegiant kompiuterizuotas darbo vietas viešam naudojimui administracijos Socialinės paramos skyriuje, seniūnijose, konsultuojant apsilankiusius asmenis apie galimybę naudotis elektroninėmis paslaugomis</t>
  </si>
  <si>
    <t>Įdiegtų kompiuterizuotų vietų skaičius</t>
  </si>
  <si>
    <t>07.01.07.06.01</t>
  </si>
  <si>
    <t>Veikla: Įrengti 14 kompiuterizuotų darbo vietų rajono savivaldybės administracijos seniūnijose</t>
  </si>
  <si>
    <t>07.01.07.06.02</t>
  </si>
  <si>
    <t>Veikla: Įrengti 1 kompiuterizuotą darbo vietą rajono savivaldybės administracijos Socialinės paramos skyriuje</t>
  </si>
  <si>
    <t>07.01.07.07.</t>
  </si>
  <si>
    <t>Priemonė. Mažinant administracinę naštą, informuoti gyventojus apie elektroninių paslaugų privalumus, naudojant spaudos leidinius, skaitmenines reklamos formas</t>
  </si>
  <si>
    <t>Parengtų leidinių skaičius</t>
  </si>
  <si>
    <t>07.01.07.07.01</t>
  </si>
  <si>
    <t>Veikla: Parengti leidinius, skirtus rajono gyventojams, supažindinančiais su elektroninių paslaugų naudą ir privalumais</t>
  </si>
  <si>
    <t>12</t>
  </si>
  <si>
    <t>Ūkio plėtros programa</t>
  </si>
  <si>
    <t>Arvydas Šlėderis, Asta  Cikanienė</t>
  </si>
  <si>
    <t>12.01</t>
  </si>
  <si>
    <t>Tikslas.  Darnaus išteklių naudojimo skatinimas.</t>
  </si>
  <si>
    <t>12.01.01</t>
  </si>
  <si>
    <t>Uždavinys. Vykdyti visuomenės aplinkosauginį švietimą bei aplinkos stebėseną</t>
  </si>
  <si>
    <t>12.01.01.01</t>
  </si>
  <si>
    <t>Priemonė: įgyvendinti Aplinkos apsaugos rėmimo specialiąją programą</t>
  </si>
  <si>
    <t>Asta  Cikanienė</t>
  </si>
  <si>
    <t>Kompensuotų gyvūnų daromos žalos prevencinių priemonių skaičius</t>
  </si>
  <si>
    <t>Parengtų savivaldybės aplinkos monitoringo programų skaičius</t>
  </si>
  <si>
    <t>Parengtų projektų,upių ir jų pakrančių valymui,skaičius</t>
  </si>
  <si>
    <t>Apželdintų teritorijų skaičius</t>
  </si>
  <si>
    <t>Įgyvendintų sveikatos programos projektų skaičius</t>
  </si>
  <si>
    <t>Išvežtų padangų kiekis, tonomis</t>
  </si>
  <si>
    <t>t</t>
  </si>
  <si>
    <t>Surinktų ir išvežtų bešeimininkių atliekų kiekis, tonomis</t>
  </si>
  <si>
    <t>Užprenumeruotų aplinkosauginės spaudos komplektų skaičius</t>
  </si>
  <si>
    <t>16,00</t>
  </si>
  <si>
    <t>Įrengtų stoginių su sienelėmis, konteineriių pastatymo aikstelėms, skaičius</t>
  </si>
  <si>
    <t>Įdiegtų prevencinių priemonių, Šakių skvero ažuolams, skaičius</t>
  </si>
  <si>
    <t>Likviduotų avarinių medžių skaičius</t>
  </si>
  <si>
    <t>12.01.01.01.01</t>
  </si>
  <si>
    <t>Veikla: Po akcijos Darom išvežti surinktas padangas</t>
  </si>
  <si>
    <t>12.01.01.01.02.</t>
  </si>
  <si>
    <t>Veikla: Po akcijos Darom išvežti surinktas atliekas</t>
  </si>
  <si>
    <t>12.01.01.01.03.</t>
  </si>
  <si>
    <t>Veikla: Užprenumeruoti aplinkosauginę spaudą rajono mokykloms</t>
  </si>
  <si>
    <t>12.01.01.01.04.</t>
  </si>
  <si>
    <t>Veikla: Nupirkti paslaugas ir pašalinti pavojų keliančius, ligotus medžius pagal seniūnų paraiškas</t>
  </si>
  <si>
    <t>12.01.01.01.05.</t>
  </si>
  <si>
    <t>Veikla: Kompensuoti medžiojamų gyvūnų daromos žalos miškui prevencijos priemones</t>
  </si>
  <si>
    <t>12.01.01.01.06.</t>
  </si>
  <si>
    <t>Veikla: Nupirkti ir susodinti rajono  visuomeninėse teritorijose medžių ir krūmų sodinukus</t>
  </si>
  <si>
    <t>12.01.01.01.07.</t>
  </si>
  <si>
    <t>Veikla: Numatyti ir pervesti  lėšas skiriamas  Savivaldybės visuomenės sveikatos rėmimo specialiosios programos priemonių įgyvendinimui</t>
  </si>
  <si>
    <t>12.01.01.01.08</t>
  </si>
  <si>
    <t>Veikla: Parengti Siesarties upės ir jos pakrančių valymo projektą</t>
  </si>
  <si>
    <t>12.01.01.01.09.</t>
  </si>
  <si>
    <t>Veikla: Konteinerių pastatymo aikštelėms įrengti stogines su sienelėmis</t>
  </si>
  <si>
    <t>12.01.01.01.10.</t>
  </si>
  <si>
    <t>Veikla: Įdiegti prevencines priemones Šakių skvero ąžuolams</t>
  </si>
  <si>
    <t>12.01.01.01.11.</t>
  </si>
  <si>
    <t>Veikla: Parengti savivaldybės aplinkos monitoringo programą</t>
  </si>
  <si>
    <t>12.01.02.</t>
  </si>
  <si>
    <t>Uždavinys. Kompleksiškai plėtoti ir puoselėti  rekreacines teritorijas, želdynus, tvenkinius bei kitas viešąsias erdves, pritaikant jas gyventojų bei verslo poreikiams</t>
  </si>
  <si>
    <t>12.01.02.01.</t>
  </si>
  <si>
    <t>Priemonė: Aplinkotvarkos darbai seniūnijose</t>
  </si>
  <si>
    <t>Seniūnijų, kurioms skiriamos lėšos skaičius</t>
  </si>
  <si>
    <t>14,00</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</si>
  <si>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</si>
  <si>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</si>
  <si>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</si>
  <si>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</si>
  <si>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</si>
  <si>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12.01.02.02.01.</t>
  </si>
  <si>
    <t>Veikla: Pagal gyventojų bei pareigūnų pateiktą informaciją iškviesti VšĮ "Mindraja"  bešeiminkių gyvūnų gaudymo, karantinavimo, globos ir eutanazijos paslaugoms atlikti</t>
  </si>
  <si>
    <t>12.01.03.</t>
  </si>
  <si>
    <t>Uždavinys. Plėtoti ir tobulinti komunalinių atliekų surinkimo, tvarkymo ir pirminio rūšiavimo infrastruktūrą</t>
  </si>
  <si>
    <t>12.01.03.01.</t>
  </si>
  <si>
    <t>Priemonė: Įrengti žaliųjų atliekų kompostavimo aikšteles seniūnijose (poveikio aplinkai vertinimas)</t>
  </si>
  <si>
    <t>Numatomų įrengti aikštelių skaičius</t>
  </si>
  <si>
    <t>12.01.03.01.01</t>
  </si>
  <si>
    <t>Veikla: Suformuoti sklypus, atlikti poveikio aplinkai vertinimo procedūras planuojamoms kompostavimo aikštelėms</t>
  </si>
  <si>
    <t>12.01.03.02.</t>
  </si>
  <si>
    <t>Priemonė:  Biudžetinių įmonių pajamos</t>
  </si>
  <si>
    <t>Seniūnijų, kurios teikia mokamas viešąsias paslaugas skaičius</t>
  </si>
  <si>
    <t>12.01.03.02.01</t>
  </si>
  <si>
    <t>Veikla: Surinkti lėšas už seniūnijų teikiamas paslaugas</t>
  </si>
  <si>
    <t>12.01.03.03.</t>
  </si>
  <si>
    <t>Priemonė:  Įgyvendinti projektą "Asbesto turinčių gaminių surinkimas apvažiavimo būdu, transportavimas, saugus šalinimas"</t>
  </si>
  <si>
    <t>Numatomas sutvarkyti asbesto kiekis, tonomis</t>
  </si>
  <si>
    <t>37,50</t>
  </si>
  <si>
    <t>12.01.03.03.01</t>
  </si>
  <si>
    <t>Veikla: Pagal pateiktą sąrašą surinkti sukauptą asbestą ir jį pristatyti saugiam šalinimui</t>
  </si>
  <si>
    <t>12.01.06.</t>
  </si>
  <si>
    <t>Uždavinys. Modernizuoti ir renovuoti viešuosius pastatus</t>
  </si>
  <si>
    <t>12.01.06.03.</t>
  </si>
  <si>
    <t>Priemonė: Nenaudojamų pastatų nugriovimas</t>
  </si>
  <si>
    <t>Nugriautų pastatų skaičius</t>
  </si>
  <si>
    <t>12.01.06.03.02.</t>
  </si>
  <si>
    <t>Veikla: Nugriauti nenaudojamus pastatus</t>
  </si>
  <si>
    <t>12.01.06.04.</t>
  </si>
  <si>
    <t>Priemonė. Visuomeninių pastatų modernizavimas</t>
  </si>
  <si>
    <t>Modernizuotų pastatų skaičius</t>
  </si>
  <si>
    <t>12.01.06.04.01.</t>
  </si>
  <si>
    <t>Veikla: Modernizuoti visuomeninius pastatus</t>
  </si>
  <si>
    <t>12.01.07.</t>
  </si>
  <si>
    <t>Uždavinys. Vykdyti daugiabučių gyvenamųjų namų administravimą bei daugiabučių gyvenamųjų namų valdytojų priežiūrą ir kontrolę</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</si>
  <si>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</si>
  <si>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</si>
  <si>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</si>
  <si>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</si>
  <si>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</si>
  <si>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12.01.07.02.</t>
  </si>
  <si>
    <t>Priemonė: Renovuotų socialinių būstų paskolos administravimo paslaugai apmokėti</t>
  </si>
  <si>
    <t>Renovuotų socialinių būstų skaičius</t>
  </si>
  <si>
    <t>12.01.07.02.01.</t>
  </si>
  <si>
    <t>Veikla: Apmokėti renovuotų socialinių būstų paskolos administravimo paslaugą</t>
  </si>
  <si>
    <t>12.01.07.03.</t>
  </si>
  <si>
    <t>Priemonė: Daugiabučių gyvenamųjų namų rėmimo fondas</t>
  </si>
  <si>
    <t>Daugiabučių gyvenamųjų namų modernizavimo paslaugos teikimo plėtra, procentais</t>
  </si>
  <si>
    <t>12.01.07.03.01.</t>
  </si>
  <si>
    <t>Veikla: Plėsti daugiabučių gyvenamų namų modernizavimo paslaugas</t>
  </si>
  <si>
    <t>12.02.</t>
  </si>
  <si>
    <t>Tikslas. Inžinerinės infrastruktūros modernizavimas</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</si>
  <si>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</si>
  <si>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</si>
  <si>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</si>
  <si>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</si>
  <si>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(Bliuviškių k.) skaičius</t>
  </si>
  <si>
    <t>12.02.01.01.01</t>
  </si>
  <si>
    <t>Veikla: Įrengtas naujas gręžinys su vandens gerinimo įranga</t>
  </si>
  <si>
    <t>12.02.01.02.</t>
  </si>
  <si>
    <t>Priemonė: Vandens gerinimo įrenginių statyba</t>
  </si>
  <si>
    <t>Pastatytų vandens  gerinimo įrenginių skaičius</t>
  </si>
  <si>
    <t>12.02.01.02.01</t>
  </si>
  <si>
    <t>Veikla: Pastatyti vandens gerinimo įrenginius</t>
  </si>
  <si>
    <t>12.02.01.03.</t>
  </si>
  <si>
    <t>Priemonė. Vandenviečių sanitarinių apsaugos zonų nustatymas.</t>
  </si>
  <si>
    <t>Vandenviečių skaičius</t>
  </si>
  <si>
    <t>24,00</t>
  </si>
  <si>
    <t>12.02.01.03.01</t>
  </si>
  <si>
    <t>Veikla: Nustatyti vandenviečių sanitarines apsaugos zonas</t>
  </si>
  <si>
    <t>12.02.01.04.</t>
  </si>
  <si>
    <t>Priemonė: Vandens tiekimo ir nuotekų tvarkymo infrastruktūros plėtros specialiojo plano papildymas bei aglomeracijų ribų nustatymas</t>
  </si>
  <si>
    <t>Papildytų specialiųjų planų skaičius</t>
  </si>
  <si>
    <t>12.02.01.04.01</t>
  </si>
  <si>
    <t>Veikla: Koreguoti vadens tiekimo ir nuotekų tvarkymo infratruktūros plėtros specialiojo plano sprendinius</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</si>
  <si>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</si>
  <si>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</si>
  <si>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</si>
  <si>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</si>
  <si>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</si>
  <si>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40,00</t>
  </si>
  <si>
    <t>12.02.02.01.01</t>
  </si>
  <si>
    <t>Veikla: Teikti paviršinių nuotekų surinkimo ir tvarkymo paslaugą</t>
  </si>
  <si>
    <t>12.02.02.02.</t>
  </si>
  <si>
    <t>Priemonė: Vandentvarkos objektų remonto ir statybos darbai</t>
  </si>
  <si>
    <t>Nutiestų vandentiekio ir nuotekų tinklų ilgis, kilometrais</t>
  </si>
  <si>
    <t>0,30</t>
  </si>
  <si>
    <t>12.02.02.02.01.</t>
  </si>
  <si>
    <t>Veikla: Vykdyti vandentvarrkos objektų remonto ir statybos darbus</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</si>
  <si>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</si>
  <si>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</si>
  <si>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</si>
  <si>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</si>
  <si>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</si>
  <si>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</si>
  <si>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</si>
  <si>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</si>
  <si>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</si>
  <si>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</si>
  <si>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</si>
  <si>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</si>
  <si>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</si>
  <si>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12.03.01.04.</t>
  </si>
  <si>
    <t>Priemonė: J. Jablonskio g. Griškabūdžio sen. techninio projekto parengimas</t>
  </si>
  <si>
    <t>12.03.01.04.01.</t>
  </si>
  <si>
    <t>Veikla: Parengti J. Jablonskio g. Griškabūdžio sen. techninį projektą</t>
  </si>
  <si>
    <t>12.03.03.</t>
  </si>
  <si>
    <t>Uždavinys. Renovuoti ir plėtoti savivaldybės vietinės reikšmės kelių ir gatvių, pėsčiųjų ir dviračių takų, gyvenamųjų kvartalų  apšvietimo tinklus, diegti energiją taupančias sistemas</t>
  </si>
  <si>
    <t>12.03.03.01</t>
  </si>
  <si>
    <t>Priemonė: Įrengti, remontuoti gatvių apšvietimo tinklus miestuose ir miesteliuose.</t>
  </si>
  <si>
    <t>Naujų suremontuotų apšvietimo tinklų ilgis kilometrais</t>
  </si>
  <si>
    <t>0,50</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</si>
  <si>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</si>
  <si>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</si>
  <si>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</si>
  <si>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</si>
  <si>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</si>
  <si>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</si>
  <si>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</si>
  <si>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</si>
  <si>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</si>
  <si>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12.03.05.</t>
  </si>
  <si>
    <t>Uždavinys.  Diegti ir plėtoti modernias eismo saugumo, informavimo, aplinkosaugos ir reguliavimo priemones</t>
  </si>
  <si>
    <t>12.03.05.01.</t>
  </si>
  <si>
    <t>Priemonė: Gatvių pavadinimų, adresų objektų numerių, informacinių rodyklių pirkimas ir pastatymas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</si>
  <si>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</si>
  <si>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</si>
  <si>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</si>
  <si>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</si>
  <si>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</si>
  <si>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</si>
  <si>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</si>
  <si>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12.05.</t>
  </si>
  <si>
    <t>Asta Laurinaitienė, Irena  Žemaitienė, Rimantas  Vaičiūnas</t>
  </si>
  <si>
    <t>12.05.01.</t>
  </si>
  <si>
    <t>Uždavinys. Atlikti melioracijos statinių remonto rekonstrukcijos ir priežiūros darbus</t>
  </si>
  <si>
    <t>12.05.01.01</t>
  </si>
  <si>
    <t>Priemonė: Melioracijos statinių remonto priežiūros darbai</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</si>
  <si>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</si>
  <si>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</si>
  <si>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</si>
  <si>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</si>
  <si>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</si>
  <si>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</si>
  <si>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Gipsinių g., skaičius</t>
  </si>
  <si>
    <t>12.05.01.02.02</t>
  </si>
  <si>
    <t>Veikla: atlikti Šakių seniūnijoje esančios Gotlybiškių ir Lekėčių seniūnijos Lekėčių gyvenvietės drenažo rekonstrukcijos darbus (pagal gyventojų prašymus)</t>
  </si>
  <si>
    <t>12.06.</t>
  </si>
  <si>
    <t>Tikslas: Inovatyvi, pažangi žemės ūkio veikla, tausojanti aplinką bei sveikatą</t>
  </si>
  <si>
    <t>Asta Laurinaitienė, Irena  Žemaitienė</t>
  </si>
  <si>
    <t>12.06.01.</t>
  </si>
  <si>
    <t>Uždavinys. Organizuoti renginius ir priemones, kurie skatintų žemės ūkio subjektų bendradarbiavimą, trumpų maisto tiekimo grandinių kūrimą</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</si>
  <si>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</si>
  <si>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</si>
  <si>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</si>
  <si>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</si>
  <si>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</si>
  <si>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</si>
  <si>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</si>
  <si>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</si>
  <si>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</si>
  <si>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</si>
  <si>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</si>
  <si>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</si>
  <si>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</si>
  <si>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</si>
  <si>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</si>
  <si>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Daiva Palukaitienė</t>
  </si>
  <si>
    <t>12.07.01</t>
  </si>
  <si>
    <t>Uždavinys: Parengti ir nuolat atnaujinti potencialiems investuotojams aktualią informaciją</t>
  </si>
  <si>
    <t>12.07.01.01</t>
  </si>
  <si>
    <t>Priemonė: Parengti, paskelbti ir kartą per ketvirtį atnaujinti laisvų teritorijų ir pastatų registrą.</t>
  </si>
  <si>
    <t>Šakių verslo informacijos centras</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</si>
  <si>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</si>
  <si>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</si>
  <si>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</si>
  <si>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</si>
  <si>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</si>
  <si>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</si>
  <si>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</si>
  <si>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</si>
  <si>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</si>
  <si>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</si>
  <si>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12.07.02.01.</t>
  </si>
  <si>
    <t>Priemonė: Kiekvieną savaitę atnaujinti verslui aktualią informaciją internete (taip pat ir anglų kalba)</t>
  </si>
  <si>
    <t>Atnaujintos verslui aktualios informacijos interneto kanaluose skaičius</t>
  </si>
  <si>
    <t>48,00</t>
  </si>
  <si>
    <t>12.07.02.01.01</t>
  </si>
  <si>
    <t>Veikla: Nuolat atnaujinti verslui aktualią informaciją įstaigos feisbuko paskyroje, svetainėje</t>
  </si>
  <si>
    <t>12.07.03.</t>
  </si>
  <si>
    <t xml:space="preserve">Uždavinys: Inicijuoti, organizuoti ir vykdyti bendras savivaldos ir verslo misijas į tarptautinius kontaktų, investuotojų paieškos, galimybių verslui Šakių rajone pristatymo renginius   </t>
  </si>
  <si>
    <t>12.07.03.01</t>
  </si>
  <si>
    <t>Priemonė: Organizuoti savivaldos ir verslo misiją į Lenkiją susipažinti su verslo skatinimo patirtimi ir pristatyti verslo galimybes Šakiuose</t>
  </si>
  <si>
    <t>Suorganizuotų verslo išvykų skaičius</t>
  </si>
  <si>
    <t>12.07.03.01.01</t>
  </si>
  <si>
    <t>Veikla: Surinkti verslo misjos dalyvių grupę   sudaryti maršrutą,užsakyti transportą</t>
  </si>
  <si>
    <t>12.08.</t>
  </si>
  <si>
    <t>Tikslas: Vietos valdžios ir verslo subjektų bendradarbiavimo efektyvinimas.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</si>
  <si>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</si>
  <si>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</si>
  <si>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</si>
  <si>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</si>
  <si>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</si>
  <si>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</si>
  <si>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</si>
  <si>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</si>
  <si>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</si>
  <si>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</si>
  <si>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</si>
  <si>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</si>
  <si>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12.08.02.01</t>
  </si>
  <si>
    <t>Priemonė: Organizuoti reprezentacinius verslą pristatančius renginius, ugdyti jaunimo verslumą</t>
  </si>
  <si>
    <t>Verslumo renginių jaunimui skaičius</t>
  </si>
  <si>
    <t>8,00</t>
  </si>
  <si>
    <t>Verslą pristatančių renginių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</si>
  <si>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</si>
  <si>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</si>
  <si>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</si>
  <si>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</si>
  <si>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</si>
  <si>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</si>
  <si>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</si>
  <si>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</si>
  <si>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12.09.01</t>
  </si>
  <si>
    <t>Uždavinys:Aktualizuoti  paramos verslui sistemą siekiant tvaraus teigiamo poveikio verslo konkurencingumo augimui.</t>
  </si>
  <si>
    <t>12.09.01.01.</t>
  </si>
  <si>
    <t>Priemonė: Skatinti beprocentinių verslo paskolų teikimą rajono SVV subjektams.</t>
  </si>
  <si>
    <t>Suteiktų grąžintinų paramų (paskolų) skaičius</t>
  </si>
  <si>
    <t>12.09.01.01.01</t>
  </si>
  <si>
    <t>Veikla: Skelbi 4 kvietimus beprocentėms verslo paskoloms gauti</t>
  </si>
  <si>
    <t>12.09.01.01.02</t>
  </si>
  <si>
    <t>Veikla: Konsultuoti pareiškėjus, administruoti fondą</t>
  </si>
  <si>
    <t>12.09.01.02.</t>
  </si>
  <si>
    <t>Priemonė: Teikti paramą SVV subjektams, plėtojantiems verslo plėtros strategijoje numtatytas vertės grandinę papildančias veiklas, kuriantiems bendradarbiavimo struktūras.</t>
  </si>
  <si>
    <t>Suteiktų negrąžintinų paramų  skaičius</t>
  </si>
  <si>
    <t>12.09.01.02.01.</t>
  </si>
  <si>
    <t>Veikla: Skelbti du kartus paraiškų rinkimą įmonės įsteigimo išlaidų, įrangos įsigijimo kompensavimo, jaunimo idėjų finansavimo ir kt. priemonėms</t>
  </si>
  <si>
    <t>12.09.01.02.02</t>
  </si>
  <si>
    <t>12.09.02.</t>
  </si>
  <si>
    <t>Uždavinys:Skatinti viešųjų paslaugų prieinamumą verslo pradžiai</t>
  </si>
  <si>
    <t>12.09.02.01.</t>
  </si>
  <si>
    <t>Priemonė: Sukurti verslo informacijos centro veiklos modelį, užtikrinantį visokeriopą informacinę, konsultacinę pagalbą verslo subjektams.</t>
  </si>
  <si>
    <t>Asmenų, gavusių verslo konsultacijas, skaičius</t>
  </si>
  <si>
    <t>asm</t>
  </si>
  <si>
    <t>340,00</t>
  </si>
  <si>
    <t>Parengtų paraiškų skaičius</t>
  </si>
  <si>
    <t>Administruojamų SVV plėtros fondo kvietimų skaičius</t>
  </si>
  <si>
    <t>Mokymų, informacinių renginių skaičius</t>
  </si>
  <si>
    <t>12.09.02.01.01</t>
  </si>
  <si>
    <t>Veikla: Konsultuoti verslo subjektus verslo pradžios ir plėtros klausimais</t>
  </si>
  <si>
    <t>12.09.02.01.02</t>
  </si>
  <si>
    <t>Veikla: Konsultuoti ir teikti metodinę pagalbą finansavimo gavimo, paraiškų rengimo  klausimais</t>
  </si>
  <si>
    <t>12.09.02.01.04</t>
  </si>
  <si>
    <t>Veikla: Organizuoti mokymus, seminarus, informacinius renginius verslui aktualiomis temomis</t>
  </si>
  <si>
    <t>Seminarų skaičius</t>
  </si>
  <si>
    <t>12.09.02.02</t>
  </si>
  <si>
    <t>Priemonė. Paremti jauno verslus subjektus konsultacine, mokymų pagalba bei įranga, vykdant projektą „Verslumo ir jauno verslo skatinimas Šakių mieste“</t>
  </si>
  <si>
    <t>Projekto naudos gavėjų skaičius</t>
  </si>
  <si>
    <t>60,00</t>
  </si>
  <si>
    <t>Verslo subjektų, paremtų suteikiant naudotis įrangą, skaičius</t>
  </si>
  <si>
    <t>9,00</t>
  </si>
  <si>
    <t>12.09.02.02.01</t>
  </si>
  <si>
    <t>Veikla: Organizuoti verslo informacinius renginius, seminarus</t>
  </si>
  <si>
    <t>12.09.02.02.02.</t>
  </si>
  <si>
    <t>Veikla: Konsultuoti planuojančius pradėti verslą ir jauno verslo subjektus Šakių mieste</t>
  </si>
  <si>
    <t>12.09.02.02.03</t>
  </si>
  <si>
    <t>Veika: Įsigyti įrangos komplektus ir suteikti juos naudotis jauniems verslo subjektams</t>
  </si>
  <si>
    <t>13.</t>
  </si>
  <si>
    <t>Socialinės ir sveikatos apsaugos programa</t>
  </si>
  <si>
    <t>Socialinės paramos skyrius</t>
  </si>
  <si>
    <t>Aistė Būdvytienė, Daiva  Pilypaitytė</t>
  </si>
  <si>
    <t>13.01.</t>
  </si>
  <si>
    <t>Daiva  Pilypaitytė</t>
  </si>
  <si>
    <t>13.01.01.</t>
  </si>
  <si>
    <t>Uždavinys.Teikti socialinės globos paslaugas</t>
  </si>
  <si>
    <t>13.01.01.01.</t>
  </si>
  <si>
    <t>Priemonė: Įgyvendinti projektą "Integralios pagalbos plėtra Šakių rajone"</t>
  </si>
  <si>
    <t>Daiva  Pilypaitytė, Virginija Ratkevičienė</t>
  </si>
  <si>
    <t>Asmenų, gavusių  integralios pagalbos paslaugas, skaičius</t>
  </si>
  <si>
    <t>109,00</t>
  </si>
  <si>
    <t>Asmenų, gavusių konsultavimo paslaugas, skaičius</t>
  </si>
  <si>
    <t>75,00</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</si>
  <si>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</si>
  <si>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</si>
  <si>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</si>
  <si>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</si>
  <si>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</si>
  <si>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</si>
  <si>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Asmenų, gavusių darbinio užimtumo paslaugas Paluobių daugiafunkcio centro, skaičius</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</si>
  <si>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</si>
  <si>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</si>
  <si>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</si>
  <si>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</si>
  <si>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</si>
  <si>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</si>
  <si>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</si>
  <si>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</si>
  <si>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</si>
  <si>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</si>
  <si>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Vaikų, likusių be tėvų globos, gavusių trumpalaikės globos paslaugas, skaičius</t>
  </si>
  <si>
    <t>147,00</t>
  </si>
  <si>
    <t>13.01.01.04.01</t>
  </si>
  <si>
    <t>Veikla: Trumpalaikės globos paslaugų teikimas vaikams, likusiems be tėvų globos.</t>
  </si>
  <si>
    <t>13.01.01.05.</t>
  </si>
  <si>
    <t xml:space="preserve">Priemonė. Teikti ilgalaikės ir trumpalaikės globos paslaugas socialinės rizikos šeimų  vaikams </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</si>
  <si>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</si>
  <si>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</si>
  <si>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</si>
  <si>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</si>
  <si>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</si>
  <si>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</si>
  <si>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</si>
  <si>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Lėšos, skirtos šeimynos dalyvių išlaikymui</t>
  </si>
  <si>
    <t>13.01.01.06.02</t>
  </si>
  <si>
    <t>Veikla: Lėšos, skirtos teikti ilgalaikės ir trumpalaikės globos paslaugas socialinės rizikos šeimų  vaikams</t>
  </si>
  <si>
    <t>13.01.01.06.03</t>
  </si>
  <si>
    <t>Veikla: Pagalbos pinigai, skirti   šeimoms ir šeimynoms, globojantiems vaikus</t>
  </si>
  <si>
    <t>13.01.01.07.</t>
  </si>
  <si>
    <t>Priemonė.Finansuoti ilgalaikės socialinės globos paslaugas asmenims, kuriems paslaugas teikia  valstybinės ir kitos  socialinių  paslaugų įstaigos.</t>
  </si>
  <si>
    <t>Ilgalaikės socialinės globos paslaugas gavusių asmenų, gyvenančių globos namuose, skaičius</t>
  </si>
  <si>
    <t>13.01.01.07.01</t>
  </si>
  <si>
    <t>Veikla: Ilgalaikės globos paslaugų finansavimas rajono gyventojams, gyvenantiems valstybinėse ir kitose socialinų paslaugų įstaigose.</t>
  </si>
  <si>
    <t>13.01.02.</t>
  </si>
  <si>
    <t>Uždavinys.Teikti socialinės priežiūros paslaugas</t>
  </si>
  <si>
    <t>13.01.02.03.</t>
  </si>
  <si>
    <t>Priemonė: Plėtoti vaikų dienos centrų tinklą.</t>
  </si>
  <si>
    <t>Vaikų, gavusių  paslaugas dienos centruose, skaičius</t>
  </si>
  <si>
    <t>243,00</t>
  </si>
  <si>
    <t>13.01.02.03.01.</t>
  </si>
  <si>
    <t>Veikla: Teikti socialines priežiūros paslaugas vaikų dienos centruose</t>
  </si>
  <si>
    <t>13.01.03.</t>
  </si>
  <si>
    <t>Uždavinys. Vykdyti  neįgaliųjų integracijos programą.</t>
  </si>
  <si>
    <t>13.01.03.01.</t>
  </si>
  <si>
    <t>Priemonė. Teikti specialaus transporto paslaugas neįgaliesiems</t>
  </si>
  <si>
    <t>Specialaus transporto paslaugas gavusių neįgaliųjų skaičius</t>
  </si>
  <si>
    <t>2 177,00</t>
  </si>
  <si>
    <t>13.01.03.01.01</t>
  </si>
  <si>
    <t>Veikla: Spec. transporto paslaugų teikimas neįgaliems asmenims. Paslaugų teikėjas- Šakių r. neįgaliųjų draugija</t>
  </si>
  <si>
    <t>13.01.03.01.02</t>
  </si>
  <si>
    <t>Veikla: Spec. transporto paslaugų teikimas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</si>
  <si>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</si>
  <si>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</si>
  <si>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</si>
  <si>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</si>
  <si>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</si>
  <si>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13.01.03.03.</t>
  </si>
  <si>
    <t>Priemonė.Remti tikslines socialinių paslaugų  teikimo žmonėms su negalia programas</t>
  </si>
  <si>
    <t>Tikslinių socialinių paslaugų  teikimo žmonėms su negalia programų skaičius</t>
  </si>
  <si>
    <t>13.01.03.03.01</t>
  </si>
  <si>
    <t>Veikla: NVO organizacijų programų rėmimas</t>
  </si>
  <si>
    <t>13.01.03.04.</t>
  </si>
  <si>
    <t>Priemonė: Finansuoti socialinės reabilitacijos paslaugų neįgaliesiems bendruomenėje projektų įgyvendinimą (funkcija iš SADMNDT perduota savivaldybėms nuo 2012.01.01.)</t>
  </si>
  <si>
    <t>Socialinės reabilitacijos paslaugų neįgaliesiems bendruomenėje finansuojamų  projektų skaičius</t>
  </si>
  <si>
    <t>13.01.03.04.01</t>
  </si>
  <si>
    <t>Veikla: Socialinės reabilitacijos paslaugų neįgaliesiems bendruomenėje projektų finansavimas.</t>
  </si>
  <si>
    <t>13.01.04.</t>
  </si>
  <si>
    <t>Uždavinys. Teikti bendrąsias paslaugas</t>
  </si>
  <si>
    <t>13.01.04.02.</t>
  </si>
  <si>
    <t>Priemonė: Žmogaus palaikų patologinės anatomijos tyrimams ar teismo ekspertizei vežimo, saugojimo ir laidojimo paslaugos teikimas</t>
  </si>
  <si>
    <t>Gavusių paslaugas asmenų skaičius</t>
  </si>
  <si>
    <t>17,00</t>
  </si>
  <si>
    <t>13.01.04.02.01.</t>
  </si>
  <si>
    <t>Veikla: Pervežti ekspertizei atlikti žuvusius ar mirusius asmenis</t>
  </si>
  <si>
    <t>13.02.</t>
  </si>
  <si>
    <t>Tikslas: Socialinių paslaugų aprėpties didinimas.</t>
  </si>
  <si>
    <t>13.02.01.</t>
  </si>
  <si>
    <t>Uždavinys. Socialinių paslaugų rizikos asmenims plėtra</t>
  </si>
  <si>
    <t>13.02.01.01</t>
  </si>
  <si>
    <t>Priemonė. Organizuoti nemokamą maitinimą labdaros valgykloje</t>
  </si>
  <si>
    <t>Nemokamą maitinimą gaunančių asmenų skaičius</t>
  </si>
  <si>
    <t>110,00</t>
  </si>
  <si>
    <t>13.02.01.01.01</t>
  </si>
  <si>
    <t>Veikla: Teikti paramą VšĮ "Namai visiems". (Paslaugos teikiamos nepasiturintiems  rajono gyventojams).</t>
  </si>
  <si>
    <t>13.02.02.</t>
  </si>
  <si>
    <t>Uždavinys. Socialinės globos ir priežiūros paslaugų plėtra</t>
  </si>
  <si>
    <t>13.02.02.01.</t>
  </si>
  <si>
    <t>Priemonė.Socialinių paslaugų plėtra.</t>
  </si>
  <si>
    <t>Asmenų, gavusių paslaugas, skaičius</t>
  </si>
  <si>
    <t>13.02.02.01.01</t>
  </si>
  <si>
    <t>Veikla: Plėsti socialinių paslaugų tinklą, suteikiant papildomas socialines paslaugas</t>
  </si>
  <si>
    <t>13.02.02.02.</t>
  </si>
  <si>
    <t>Priemonė. Įgyvendinti projektą „Bendruomeninių vaikų globos namų ir vaikų dienos centrų tinklo plėtra Šakių rajone“</t>
  </si>
  <si>
    <t>Milda Savukaitienė</t>
  </si>
  <si>
    <t>Parengtų techninių projektų bendruomeninių vaikų globos namų statybai, skaičius</t>
  </si>
  <si>
    <t>Įveiklinti  vaikų dienos centro Lekėčiuose veiklas</t>
  </si>
  <si>
    <t>Naujai pastatytų objektų, bendruomeninių vaikų globos namų Šakiuose, skaičius</t>
  </si>
  <si>
    <t>Pagerintos infrastruktūros, vaikų dienos centruose, objektų skaičius</t>
  </si>
  <si>
    <t>13.02.02.02.02</t>
  </si>
  <si>
    <t>Veikla: Įveiklinti vaikų dienos centrą Lekėčiuose</t>
  </si>
  <si>
    <t>13.02.02.02.03</t>
  </si>
  <si>
    <t>Veikla: Parengti techninį projektą bendruomeninių vaikų globos namų statybai</t>
  </si>
  <si>
    <t>13.02.02.02.04</t>
  </si>
  <si>
    <t>Veikla: Pagerinti infrastruktūrą vaikų dienos centruose</t>
  </si>
  <si>
    <t>13.02.03.</t>
  </si>
  <si>
    <t>Uždavinys. Kompleksinių socialinių paslaugų plėtra globėjų ir įtėvių šeimoms</t>
  </si>
  <si>
    <t>13.02.03.01.</t>
  </si>
  <si>
    <t>Priemonė.Naujų socialinių globėjų paieška ir rengimas.</t>
  </si>
  <si>
    <t>Parengtų socialinių globėjų skaičius</t>
  </si>
  <si>
    <t>13.02.03.01.01</t>
  </si>
  <si>
    <t>Veikla: Parengti naujus socialinius globėjus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</si>
  <si>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</si>
  <si>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</si>
  <si>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</si>
  <si>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</si>
  <si>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</si>
  <si>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</si>
  <si>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</si>
  <si>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</si>
  <si>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</si>
  <si>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</si>
  <si>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</si>
  <si>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Parengtų programų skaičius</t>
  </si>
  <si>
    <t>13.02.05.01.01</t>
  </si>
  <si>
    <t>Veikla: Socialinį darbą dirbantys asmenys</t>
  </si>
  <si>
    <t>13.02.06.</t>
  </si>
  <si>
    <t>Uždavinys. Finansinės pagalbos  rajono  gyventojams teikimas ir didinimas.</t>
  </si>
  <si>
    <t>13.02.06.01.</t>
  </si>
  <si>
    <t xml:space="preserve">Priemonė.Mokėti socialines išmokas rajono gyventojams.  </t>
  </si>
  <si>
    <t>Rajono gyventojų, gavusių piniginę socialinę paramą, skaičius</t>
  </si>
  <si>
    <t>10 250,00</t>
  </si>
  <si>
    <t>13.02.06.01.01</t>
  </si>
  <si>
    <t>Veikla: Pašalpų, šildymo kompensacijų mokėjimas rajono gyventojams.</t>
  </si>
  <si>
    <t>13.02.06.02.</t>
  </si>
  <si>
    <t xml:space="preserve">Priemonė.Mokėti vienkartines tikslines išmokas rajono gyventojams.  </t>
  </si>
  <si>
    <t>Rajono gyventojų, gavusių vienkartines tikslines išmokas, skaičius</t>
  </si>
  <si>
    <t>330,00</t>
  </si>
  <si>
    <t>13.02.06.02.01</t>
  </si>
  <si>
    <t>Veikla: Vienkartinių pašalpų mokėjimas rajono gyventojams, stichinių nelaimių, gaisro ir kt.  atvejais.</t>
  </si>
  <si>
    <t>13.02.06.04.</t>
  </si>
  <si>
    <t>Priemonė. Teikti transporto išlaidų kompensacijas.</t>
  </si>
  <si>
    <t>Rajono gyventojų, gavusių transporto išlaidų kompensacijas, skaičius</t>
  </si>
  <si>
    <t>36 129,00</t>
  </si>
  <si>
    <t>13.02.06.04.01</t>
  </si>
  <si>
    <t>Veikla: Transporto išlaidų dalies kompensavimas neįgaliems asmenims.</t>
  </si>
  <si>
    <t>13.02.06.05.</t>
  </si>
  <si>
    <t>Priemonė. Socialinės paramos programa mokiniams.</t>
  </si>
  <si>
    <t>Nemokamą maitinimą gavusių mokinių skaičius</t>
  </si>
  <si>
    <t>954,00</t>
  </si>
  <si>
    <t>Nemokamų mokymo reikmenų gavusių mokinių skaičius</t>
  </si>
  <si>
    <t>896,00</t>
  </si>
  <si>
    <t>13.02.06.05.01.</t>
  </si>
  <si>
    <t>Veikla: Nemokamų mokymo reikmenų  ir nemokamo maitinimo suteikimas mokiniams</t>
  </si>
  <si>
    <t>13.02.06.06</t>
  </si>
  <si>
    <t>Priemonė: Mokėti laidojimo pašalpas</t>
  </si>
  <si>
    <t>Išmokėtų laidojimo pašalpų skaičius</t>
  </si>
  <si>
    <t>630,00</t>
  </si>
  <si>
    <t>13.02.06.06.01</t>
  </si>
  <si>
    <t>Veikla: Išmokėti laidojimo pašalpas</t>
  </si>
  <si>
    <t>13.02.07.</t>
  </si>
  <si>
    <t>Uždavinys. Sąlygų imigrantams kurtis Šakių rajone sudarymas</t>
  </si>
  <si>
    <t>13.02.07.01.</t>
  </si>
  <si>
    <t>Priemonė. Inicijuoti programų, imigrantams įsikurti, parengimą.</t>
  </si>
  <si>
    <t>13.02.07.01.01</t>
  </si>
  <si>
    <t>Veikla: Inicijuoti programos imigrantams (įsikurti) parengimą</t>
  </si>
  <si>
    <t>13.02.08.</t>
  </si>
  <si>
    <t>Uždavinys. Universalaus dizaino aplinkos pritaikymas</t>
  </si>
  <si>
    <t>13.02.08.01.</t>
  </si>
  <si>
    <t>Priemonė. Pritaikyti visuomenės paskirties objektus neįgaliesiems.</t>
  </si>
  <si>
    <t>Pritaikytų visuomenės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</si>
  <si>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</si>
  <si>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</si>
  <si>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</si>
  <si>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</si>
  <si>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</si>
  <si>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</si>
  <si>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</si>
  <si>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13.02.09.01.01</t>
  </si>
  <si>
    <t>Veikla: Teikti rajono gyventojams socialinio būsto paslaugas</t>
  </si>
  <si>
    <t>13.02.09.02.</t>
  </si>
  <si>
    <t>Priemonė.Socialinio būsto remontas.</t>
  </si>
  <si>
    <t>Suremontuotų socialinių būstų, skaičius</t>
  </si>
  <si>
    <t>13.02.09.02.01</t>
  </si>
  <si>
    <t>Veikla: Savivaldybės administracija prisideda prie rajono socialinio būsto remonto.</t>
  </si>
  <si>
    <t>13.03.</t>
  </si>
  <si>
    <t>Tikslas: Saugumą užtikrinančių priemonių diegimas</t>
  </si>
  <si>
    <t>Daiva  Pilypaitytė, Gintautas Vedegys</t>
  </si>
  <si>
    <t>13.03.01.</t>
  </si>
  <si>
    <t>Uždavinys. Užtikrinti viešojo saugumo paslaugas priešgaisrinės saugos srityje</t>
  </si>
  <si>
    <t>Gintautas Vedegys</t>
  </si>
  <si>
    <t>13.03.01.01.</t>
  </si>
  <si>
    <t>Priemonė.Atnaujinti gaisrinius automobilius.</t>
  </si>
  <si>
    <t>Šakių rajono savivaldybės priešgaisrinė tarnyba</t>
  </si>
  <si>
    <t>Atnaujintų gaisrinių automobilių skaičius</t>
  </si>
  <si>
    <t>13.03.01.01.01</t>
  </si>
  <si>
    <t>Veikla: Atnaujinti gaisrinius automobilius.</t>
  </si>
  <si>
    <t>13.03.02.</t>
  </si>
  <si>
    <t>Uždavinys. Sudaryti tinkamas darbo sąlygas  seniūnijų ugniagesiams.</t>
  </si>
  <si>
    <t>13.03.02.02.</t>
  </si>
  <si>
    <t>Priemonė. Užtikrinti gaisrų gesinimo ir gelbėjimo darbuose teikiamas paslaugas</t>
  </si>
  <si>
    <t>Išlaikomų ugniagesių komandų skaičius</t>
  </si>
  <si>
    <t>13.03.02.02.01</t>
  </si>
  <si>
    <t>Veikla: Išlaikyti ugniagesių komandas rajono savivaldybėje</t>
  </si>
  <si>
    <t>13.03.03.</t>
  </si>
  <si>
    <t>Uždavinys. Įgyvendinti priemones, skirtas socialiai remtiniems asmenims</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</si>
  <si>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</si>
  <si>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</si>
  <si>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</si>
  <si>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</si>
  <si>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</si>
  <si>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</si>
  <si>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</si>
  <si>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Savivaldybės adm.vyriausioji specialistė (gydytoja)</t>
  </si>
  <si>
    <t>Edita Zubrickienė</t>
  </si>
  <si>
    <t>13.03.04.01</t>
  </si>
  <si>
    <t>Priemonė: Vykdyti savižudybių prevencijos programą</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</si>
  <si>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</si>
  <si>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</si>
  <si>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</si>
  <si>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</si>
  <si>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</si>
  <si>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</si>
  <si>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</si>
  <si>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</si>
  <si>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13.04.</t>
  </si>
  <si>
    <t>13.04.01.</t>
  </si>
  <si>
    <t>Uždavinys. Skatinti sveiką gyvenseną ir vykdyti ligų prevenciją</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</si>
  <si>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</si>
  <si>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</si>
  <si>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</si>
  <si>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</si>
  <si>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</si>
  <si>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</si>
  <si>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</si>
  <si>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13.05.01.</t>
  </si>
  <si>
    <t>Uždavinys. Atnaujinti sveikatos priežiūros paslaugas teikiančių savivaldybės įstaigų infrastruktūrą</t>
  </si>
  <si>
    <t>13.05.01.01.</t>
  </si>
  <si>
    <t>Priemonė: Užtikrinti kokybišką sveikatos priežiūros paslaugų prieinamumą</t>
  </si>
  <si>
    <t>Sutvarkytų sveikatos įstaigų teritorijų plotas (m2)</t>
  </si>
  <si>
    <t>m2</t>
  </si>
  <si>
    <t>Įdiegtų elektroninių paslaugų apimtis įstaigose</t>
  </si>
  <si>
    <t>Įsidiegusių sveikatos priežiūros įstaigų kokybės gerinimo priemonių, skaičius</t>
  </si>
  <si>
    <t>Rekonstruotų ar suremontuotų pastatų/ patalpų sveikatos priežiūros įstaigų plotas (m2)</t>
  </si>
  <si>
    <t>Mokymuose dalyvavusių gydytojų ir slaugytojų skaičius</t>
  </si>
  <si>
    <t>Parengtų ir pritrauktų finansuojamų specialistų skaičius</t>
  </si>
  <si>
    <t>13.05.01.01.01</t>
  </si>
  <si>
    <t>Veikla: Užtikrinti prieinamumą sveikatos priežiūros paslaugų</t>
  </si>
  <si>
    <t>13.06.</t>
  </si>
  <si>
    <t>Tikslas: Gyventojų užimtumo didinimas.</t>
  </si>
  <si>
    <t>13.06.01.</t>
  </si>
  <si>
    <t>Uždavinys. Organizuoti užimtumo didinimo programą</t>
  </si>
  <si>
    <t>13.06.01.01.</t>
  </si>
  <si>
    <t>Priemonė. Įgyvendinti užimtumo didinimo programą.</t>
  </si>
  <si>
    <t>Įdarbintų asmenų skaičius</t>
  </si>
  <si>
    <t>13.06.01.01.01.</t>
  </si>
  <si>
    <t>Veikla: Įgyvendinti užimtumo programą</t>
  </si>
  <si>
    <t>13.06.01.02.</t>
  </si>
  <si>
    <t>Priemonė. Įgyvendinti užimtumo skatinimo ir motyvavimo paslaugų modulį</t>
  </si>
  <si>
    <t>Paslaugas gaunančių, per diediamą modulį nedirbančių ir socialinių paramą gaunančių, asmenų skaičius</t>
  </si>
  <si>
    <t>13.06.01.02.01</t>
  </si>
  <si>
    <t>Veikla: Įgyvendinti užimtumo skatinimo ir motyvavimo paslaugų modulį įtraukiant ilgalaikius bedarbius į darbo rinką.</t>
  </si>
  <si>
    <t>1</t>
  </si>
  <si>
    <t>savivaldybės biudžetas</t>
  </si>
  <si>
    <t>1.1.</t>
  </si>
  <si>
    <t>savivaldybės biudžeto lėšos</t>
  </si>
  <si>
    <t>1.2.</t>
  </si>
  <si>
    <t>biudžetinių įstaigų pajamos</t>
  </si>
  <si>
    <t>1.3.</t>
  </si>
  <si>
    <t>valstybės tikslinė dotacija</t>
  </si>
  <si>
    <t>1.5.</t>
  </si>
  <si>
    <t>savivaldybės banko paskola</t>
  </si>
  <si>
    <t>1.7.</t>
  </si>
  <si>
    <t>į rajono savivaldybės biudžetą įeinančios ES paramos lėšos.</t>
  </si>
  <si>
    <t>1.8.</t>
  </si>
  <si>
    <t>į rajono savivaldybės biudžetą įeinančios nacionalinio biudžeto (bendrojo finansavimo, valstybės investicijų programos (VIP) ir  kt.) lėšos.</t>
  </si>
  <si>
    <t>2.</t>
  </si>
  <si>
    <t>ES ir kitos tarptautinės finansinės paramos lėšos</t>
  </si>
  <si>
    <t>3</t>
  </si>
  <si>
    <t>Nacionalinio biudžeto (bendrojo finansavimo, valstybės investicijų programos (VIP) ir  kt.) lėšos;</t>
  </si>
  <si>
    <t>4</t>
  </si>
  <si>
    <t>Kiti šaltiniai</t>
  </si>
  <si>
    <t>4.3</t>
  </si>
  <si>
    <t>Nuosavos  lėšos</t>
  </si>
  <si>
    <t>4.4</t>
  </si>
  <si>
    <t>Partnerių lėšos</t>
  </si>
  <si>
    <t>IŠ VISO:</t>
  </si>
  <si>
    <t>Šakių rajono savivaldybės administracijos 2020 metų veiklos planas</t>
  </si>
  <si>
    <t>Veikla: Techninių projektų ekspertizės paslaugos</t>
  </si>
  <si>
    <t>PATVIRTINTA           
Šakių rajono savivaldybės administracijos direktoriaus
2020 m. balandžio  d. įsakymu Nr. AT-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</si>
</sst>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427]#,##0.00;\-#,##0.00;&quot;&quot;"/>
  </numFmts>
  <fonts count="3" x14ac:knownFonts="1">
    <font>
      <sz val="11"/>
      <color rgb="FF000000"/>
      <name val="Calibri"/>
      <family val="2"/>
    </font>
    <font>
      <b/>
      <sz val="16"/>
      <color rgb="FF000000"/>
      <name val="Times New Roman"/>
      <family val="1"/>
      <charset val="186"/>
    </font>
    <font>
      <sz val="16"/>
      <color rgb="FF000000"/>
      <name val="Times New Roman"/>
      <family val="1"/>
      <charset val="186"/>
    </font>
  </fonts>
  <fills count="7">
    <fill>
      <patternFill patternType="none"/>
    </fill>
    <fill>
      <patternFill patternType="gray125"/>
    </fill>
    <fill>
      <patternFill patternType="none">
        <fgColor rgb="FF000000"/>
        <bgColor rgb="FF000000"/>
      </patternFill>
    </fill>
    <fill>
      <patternFill patternType="solid">
        <fgColor rgb="FFF8D0D0"/>
        <bgColor rgb="FFF8D0D0"/>
      </patternFill>
    </fill>
    <fill>
      <patternFill patternType="solid">
        <fgColor rgb="FFF9F6C1"/>
        <bgColor rgb="FFF9F6C1"/>
      </patternFill>
    </fill>
    <fill>
      <patternFill patternType="solid">
        <fgColor rgb="FFD2F3C3"/>
        <bgColor rgb="FFD2F3C3"/>
      </patternFill>
    </fill>
    <fill>
      <patternFill patternType="solid">
        <fgColor rgb="FFEBEBEB"/>
        <bgColor rgb="FFEBEBEB"/>
      </patternFill>
    </fill>
  </fills>
  <borders count="13">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s>
  <cellStyleXfs count="1">
    <xf numFmtId="0" fontId="0" fillId="0" borderId="0" applyBorder="0"/>
  </cellStyleXfs>
  <cellXfs count="63">
    <xf numFmtId="0" fontId="0" fillId="0" borderId="0" xfId="0" applyNumberFormat="1" applyFill="1" applyAlignment="1" applyProtection="1"/>
    <xf numFmtId="0" fontId="2" fillId="0" borderId="0" xfId="0" applyNumberFormat="1" applyFont="1" applyFill="1" applyAlignment="1" applyProtection="1">
      <alignment vertical="center" wrapText="1"/>
    </xf>
    <xf numFmtId="0" fontId="1" fillId="0" borderId="6" xfId="0" applyNumberFormat="1" applyFont="1" applyFill="1" applyBorder="1" applyAlignment="1" applyProtection="1">
      <alignment horizontal="center" vertical="center" wrapText="1"/>
    </xf>
    <xf numFmtId="0" fontId="1" fillId="0" borderId="9" xfId="0" applyNumberFormat="1" applyFont="1" applyFill="1" applyBorder="1" applyAlignment="1" applyProtection="1">
      <alignment horizontal="center" vertical="center" wrapText="1"/>
    </xf>
    <xf numFmtId="0" fontId="1" fillId="3" borderId="1"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horizontal="left" vertical="center" wrapText="1"/>
      <protection locked="0"/>
    </xf>
    <xf numFmtId="164" fontId="1" fillId="3" borderId="2" xfId="0" applyNumberFormat="1" applyFont="1" applyFill="1" applyBorder="1" applyAlignment="1" applyProtection="1">
      <alignment horizontal="right" vertical="center" wrapText="1"/>
    </xf>
    <xf numFmtId="0" fontId="1" fillId="3" borderId="2" xfId="0" applyNumberFormat="1" applyFont="1" applyFill="1" applyBorder="1" applyAlignment="1" applyProtection="1">
      <alignment horizontal="center" vertical="center" wrapText="1"/>
      <protection locked="0"/>
    </xf>
    <xf numFmtId="0" fontId="1" fillId="3" borderId="3" xfId="0" applyNumberFormat="1" applyFont="1" applyFill="1" applyBorder="1" applyAlignment="1" applyProtection="1">
      <alignment horizontal="right" vertical="center" wrapText="1"/>
      <protection locked="0"/>
    </xf>
    <xf numFmtId="0" fontId="1" fillId="4" borderId="1"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horizontal="left" vertical="center" wrapText="1"/>
      <protection locked="0"/>
    </xf>
    <xf numFmtId="164" fontId="1" fillId="4" borderId="2" xfId="0" applyNumberFormat="1" applyFont="1" applyFill="1" applyBorder="1" applyAlignment="1" applyProtection="1">
      <alignment horizontal="right" vertical="center" wrapText="1"/>
    </xf>
    <xf numFmtId="0" fontId="1" fillId="4" borderId="2" xfId="0" applyNumberFormat="1" applyFont="1" applyFill="1" applyBorder="1" applyAlignment="1" applyProtection="1">
      <alignment horizontal="center" vertical="center" wrapText="1"/>
      <protection locked="0"/>
    </xf>
    <xf numFmtId="0" fontId="1" fillId="4" borderId="3" xfId="0" applyNumberFormat="1" applyFont="1" applyFill="1" applyBorder="1" applyAlignment="1" applyProtection="1">
      <alignment horizontal="right" vertical="center" wrapText="1"/>
      <protection locked="0"/>
    </xf>
    <xf numFmtId="0" fontId="1" fillId="5" borderId="1"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horizontal="left" vertical="center" wrapText="1"/>
      <protection locked="0"/>
    </xf>
    <xf numFmtId="164" fontId="1" fillId="5" borderId="2" xfId="0" applyNumberFormat="1" applyFont="1" applyFill="1" applyBorder="1" applyAlignment="1" applyProtection="1">
      <alignment horizontal="right" vertical="center" wrapText="1"/>
    </xf>
    <xf numFmtId="0" fontId="1" fillId="5" borderId="2" xfId="0" applyNumberFormat="1" applyFont="1" applyFill="1" applyBorder="1" applyAlignment="1" applyProtection="1">
      <alignment horizontal="center" vertical="center" wrapText="1"/>
      <protection locked="0"/>
    </xf>
    <xf numFmtId="0" fontId="1" fillId="5" borderId="3" xfId="0" applyNumberFormat="1" applyFont="1" applyFill="1" applyBorder="1" applyAlignment="1" applyProtection="1">
      <alignment horizontal="right" vertical="center" wrapText="1"/>
      <protection locked="0"/>
    </xf>
    <xf numFmtId="0" fontId="2" fillId="0" borderId="1"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horizontal="left" vertical="center" wrapText="1"/>
      <protection locked="0"/>
    </xf>
    <xf numFmtId="164" fontId="2" fillId="0" borderId="2" xfId="0" applyNumberFormat="1" applyFont="1" applyFill="1" applyBorder="1" applyAlignment="1" applyProtection="1">
      <alignment horizontal="right" vertical="center" wrapText="1"/>
    </xf>
    <xf numFmtId="0" fontId="2" fillId="0" borderId="2"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right" vertical="center" wrapText="1"/>
      <protection locked="0"/>
    </xf>
    <xf numFmtId="164" fontId="2" fillId="0" borderId="2" xfId="0" applyNumberFormat="1" applyFont="1" applyFill="1" applyBorder="1" applyAlignment="1" applyProtection="1">
      <alignment horizontal="right" vertical="center" wrapText="1"/>
      <protection locked="0"/>
    </xf>
    <xf numFmtId="0" fontId="2" fillId="0" borderId="4"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horizontal="left" vertical="center" wrapText="1"/>
      <protection locked="0"/>
    </xf>
    <xf numFmtId="164" fontId="2" fillId="0" borderId="5" xfId="0" applyNumberFormat="1" applyFont="1" applyFill="1" applyBorder="1" applyAlignment="1" applyProtection="1">
      <alignment horizontal="right" vertical="center" wrapText="1"/>
      <protection locked="0"/>
    </xf>
    <xf numFmtId="0" fontId="2" fillId="0" borderId="5" xfId="0" applyNumberFormat="1" applyFont="1" applyFill="1" applyBorder="1" applyAlignment="1" applyProtection="1">
      <alignment horizontal="center" vertical="center" wrapText="1"/>
      <protection locked="0"/>
    </xf>
    <xf numFmtId="0" fontId="2" fillId="0" borderId="6" xfId="0" applyNumberFormat="1" applyFont="1" applyFill="1" applyBorder="1" applyAlignment="1" applyProtection="1">
      <alignment horizontal="right" vertical="center" wrapText="1"/>
      <protection locked="0"/>
    </xf>
    <xf numFmtId="0" fontId="2" fillId="0" borderId="10"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horizontal="left" vertical="center" wrapText="1"/>
      <protection locked="0"/>
    </xf>
    <xf numFmtId="164" fontId="2" fillId="0" borderId="11" xfId="0" applyNumberFormat="1" applyFont="1" applyFill="1" applyBorder="1" applyAlignment="1" applyProtection="1">
      <alignment horizontal="right" vertical="center" wrapText="1"/>
      <protection locked="0"/>
    </xf>
    <xf numFmtId="0" fontId="2" fillId="0" borderId="11" xfId="0" applyNumberFormat="1" applyFont="1" applyFill="1" applyBorder="1" applyAlignment="1" applyProtection="1">
      <alignment horizontal="center" vertical="center" wrapText="1"/>
      <protection locked="0"/>
    </xf>
    <xf numFmtId="0" fontId="2" fillId="0" borderId="12" xfId="0" applyNumberFormat="1" applyFont="1" applyFill="1" applyBorder="1" applyAlignment="1" applyProtection="1">
      <alignment horizontal="right" vertical="center" wrapText="1"/>
      <protection locked="0"/>
    </xf>
    <xf numFmtId="0" fontId="2" fillId="2" borderId="0" xfId="0" applyNumberFormat="1" applyFont="1" applyFill="1" applyAlignment="1" applyProtection="1">
      <alignment vertical="center" wrapText="1"/>
      <protection locked="0"/>
    </xf>
    <xf numFmtId="0" fontId="2" fillId="2" borderId="0" xfId="0" applyNumberFormat="1" applyFont="1" applyFill="1" applyAlignment="1" applyProtection="1">
      <alignment horizontal="left" vertical="center" wrapText="1"/>
      <protection locked="0"/>
    </xf>
    <xf numFmtId="164"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horizontal="center" vertical="center" wrapText="1"/>
      <protection locked="0"/>
    </xf>
    <xf numFmtId="0"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vertical="center" wrapText="1"/>
    </xf>
    <xf numFmtId="164" fontId="2" fillId="0" borderId="5" xfId="0" applyNumberFormat="1" applyFont="1" applyFill="1" applyBorder="1" applyAlignment="1" applyProtection="1">
      <alignment horizontal="right" vertical="center" wrapText="1"/>
    </xf>
    <xf numFmtId="0" fontId="1" fillId="6" borderId="5" xfId="0" applyNumberFormat="1" applyFont="1" applyFill="1" applyBorder="1" applyAlignment="1" applyProtection="1">
      <alignment vertical="center" wrapText="1"/>
      <protection locked="0"/>
    </xf>
    <xf numFmtId="0" fontId="1" fillId="6" borderId="5" xfId="0" applyNumberFormat="1" applyFont="1" applyFill="1" applyBorder="1" applyAlignment="1" applyProtection="1">
      <alignment horizontal="right" vertical="center" wrapText="1"/>
      <protection locked="0"/>
    </xf>
    <xf numFmtId="164" fontId="1" fillId="6" borderId="5" xfId="0" applyNumberFormat="1" applyFont="1" applyFill="1" applyBorder="1" applyAlignment="1" applyProtection="1">
      <alignment horizontal="right" vertical="center" wrapText="1"/>
    </xf>
    <xf numFmtId="0" fontId="1" fillId="0" borderId="5" xfId="0" applyNumberFormat="1" applyFont="1" applyFill="1" applyBorder="1" applyAlignment="1" applyProtection="1">
      <alignment horizontal="center" vertical="center" wrapText="1"/>
    </xf>
    <xf numFmtId="0" fontId="1" fillId="2" borderId="0" xfId="0" applyNumberFormat="1" applyFont="1" applyFill="1" applyAlignment="1" applyProtection="1">
      <alignment horizontal="center" vertical="center" wrapText="1"/>
    </xf>
    <xf numFmtId="0" fontId="1" fillId="2" borderId="0" xfId="0" applyNumberFormat="1" applyFont="1" applyFill="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2" fillId="0" borderId="0" xfId="0" applyNumberFormat="1" applyFont="1" applyFill="1" applyAlignment="1" applyProtection="1">
      <alignment horizontal="left" wrapText="1"/>
    </xf>
    <xf numFmtId="0" fontId="2" fillId="0" borderId="0" xfId="0" applyNumberFormat="1" applyFont="1" applyFill="1" applyAlignment="1" applyProtection="1">
      <alignment horizontal="left"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22"/>
  <sheetViews>
    <sheetView tabSelected="1" zoomScale="46" zoomScaleNormal="46" workbookViewId="0">
      <selection activeCell="E6" sqref="E6:E8"/>
    </sheetView>
  </sheetViews>
  <sheetFormatPr defaultRowHeight="20.25" x14ac:dyDescent="0.25"/>
  <cols>
    <col min="1" max="1" width="23.5703125" style="1" customWidth="1"/>
    <col min="2" max="2" width="60.28515625" style="1" customWidth="1"/>
    <col min="3" max="3" width="32.5703125" style="1" customWidth="1"/>
    <col min="4" max="4" width="32" style="1" customWidth="1"/>
    <col min="5" max="5" width="20.7109375" style="1" customWidth="1"/>
    <col min="6" max="6" width="21.42578125" style="1" customWidth="1"/>
    <col min="7" max="7" width="19.140625" style="1" customWidth="1"/>
    <col min="8" max="8" width="17.42578125" style="1" customWidth="1"/>
    <col min="9" max="9" width="21" style="1" customWidth="1"/>
    <col min="10" max="10" width="17.42578125" style="1" customWidth="1"/>
    <col min="11" max="11" width="20.7109375" style="1" customWidth="1"/>
    <col min="12" max="14" width="17.42578125" style="1" customWidth="1"/>
    <col min="15" max="15" width="50.7109375" style="1" customWidth="1"/>
    <col min="16" max="16" width="10" style="1" customWidth="1"/>
    <col min="17" max="17" width="16.5703125" style="1" customWidth="1"/>
    <col min="18" max="16384" width="9.140625" style="1"/>
  </cols>
  <sheetData>
    <row r="1" spans="1:17" s="52" customFormat="1" x14ac:dyDescent="0.25">
      <c r="A1" s="53" t="s">
        <v>1410</v>
      </c>
      <c r="B1" s="53"/>
      <c r="C1" s="53"/>
      <c r="D1" s="53"/>
      <c r="E1" s="53"/>
      <c r="F1" s="53"/>
      <c r="G1" s="53"/>
      <c r="H1" s="53"/>
      <c r="I1" s="53"/>
      <c r="J1" s="53"/>
      <c r="K1" s="53"/>
      <c r="L1" s="53"/>
      <c r="M1" s="53"/>
      <c r="N1" s="53"/>
      <c r="O1" s="53"/>
      <c r="P1" s="53"/>
      <c r="Q1" s="53"/>
    </row>
    <row r="2" spans="1:17" ht="20.25" customHeight="1" x14ac:dyDescent="0.25">
      <c r="O2" s="61" t="s">
        <v>1412</v>
      </c>
      <c r="P2" s="61"/>
      <c r="Q2" s="61"/>
    </row>
    <row r="3" spans="1:17" x14ac:dyDescent="0.25">
      <c r="O3" s="61"/>
      <c r="P3" s="61"/>
      <c r="Q3" s="61"/>
    </row>
    <row r="4" spans="1:17" x14ac:dyDescent="0.25">
      <c r="O4" s="61"/>
      <c r="P4" s="61"/>
      <c r="Q4" s="61"/>
    </row>
    <row r="5" spans="1:17" ht="15.75" customHeight="1" thickBot="1" x14ac:dyDescent="0.35">
      <c r="O5" s="62"/>
      <c r="P5" s="62"/>
      <c r="Q5" s="62"/>
    </row>
    <row r="6" spans="1:17" x14ac:dyDescent="0.25">
      <c r="A6" s="54" t="s">
        <v>0</v>
      </c>
      <c r="B6" s="57" t="s">
        <v>1410</v>
      </c>
      <c r="C6" s="57" t="s">
        <v>2</v>
      </c>
      <c r="D6" s="57" t="s">
        <v>3</v>
      </c>
      <c r="E6" s="57" t="s">
        <v>4</v>
      </c>
      <c r="F6" s="57" t="s">
        <v>5</v>
      </c>
      <c r="G6" s="57"/>
      <c r="H6" s="57"/>
      <c r="I6" s="57"/>
      <c r="J6" s="57"/>
      <c r="K6" s="57"/>
      <c r="L6" s="57"/>
      <c r="M6" s="57"/>
      <c r="N6" s="57"/>
      <c r="O6" s="57" t="s">
        <v>6</v>
      </c>
      <c r="P6" s="57"/>
      <c r="Q6" s="60"/>
    </row>
    <row r="7" spans="1:17" x14ac:dyDescent="0.25">
      <c r="A7" s="55"/>
      <c r="B7" s="58"/>
      <c r="C7" s="58"/>
      <c r="D7" s="58"/>
      <c r="E7" s="58"/>
      <c r="F7" s="58" t="s">
        <v>7</v>
      </c>
      <c r="G7" s="58" t="s">
        <v>8</v>
      </c>
      <c r="H7" s="58" t="s">
        <v>9</v>
      </c>
      <c r="I7" s="58" t="s">
        <v>10</v>
      </c>
      <c r="J7" s="58" t="s">
        <v>11</v>
      </c>
      <c r="K7" s="58" t="s">
        <v>12</v>
      </c>
      <c r="L7" s="58" t="s">
        <v>13</v>
      </c>
      <c r="M7" s="58" t="s">
        <v>14</v>
      </c>
      <c r="N7" s="58" t="s">
        <v>15</v>
      </c>
      <c r="O7" s="58" t="s">
        <v>16</v>
      </c>
      <c r="P7" s="58" t="s">
        <v>17</v>
      </c>
      <c r="Q7" s="2" t="s">
        <v>18</v>
      </c>
    </row>
    <row r="8" spans="1:17" x14ac:dyDescent="0.25">
      <c r="A8" s="56"/>
      <c r="B8" s="59"/>
      <c r="C8" s="59"/>
      <c r="D8" s="59"/>
      <c r="E8" s="59"/>
      <c r="F8" s="59"/>
      <c r="G8" s="59"/>
      <c r="H8" s="59"/>
      <c r="I8" s="59"/>
      <c r="J8" s="59"/>
      <c r="K8" s="59"/>
      <c r="L8" s="59"/>
      <c r="M8" s="59"/>
      <c r="N8" s="59"/>
      <c r="O8" s="59"/>
      <c r="P8" s="59"/>
      <c r="Q8" s="3" t="s">
        <v>19</v>
      </c>
    </row>
    <row r="9" spans="1:17" ht="40.5" x14ac:dyDescent="0.25">
      <c r="A9" s="4" t="s">
        <v>20</v>
      </c>
      <c r="B9" s="5" t="s">
        <v>21</v>
      </c>
      <c r="C9" s="6"/>
      <c r="D9" s="6" t="s">
        <v>22</v>
      </c>
      <c r="E9" s="7">
        <f t="shared" ref="E9:N9" si="0">E10+E38+E42+E48+E54+E66</f>
        <v>634871</v>
      </c>
      <c r="F9" s="7">
        <f t="shared" si="0"/>
        <v>316587</v>
      </c>
      <c r="G9" s="7">
        <f t="shared" si="0"/>
        <v>0</v>
      </c>
      <c r="H9" s="7">
        <f t="shared" si="0"/>
        <v>0</v>
      </c>
      <c r="I9" s="7">
        <f t="shared" si="0"/>
        <v>143893</v>
      </c>
      <c r="J9" s="7">
        <f t="shared" si="0"/>
        <v>0</v>
      </c>
      <c r="K9" s="7">
        <f t="shared" si="0"/>
        <v>112129</v>
      </c>
      <c r="L9" s="7">
        <f t="shared" si="0"/>
        <v>62262</v>
      </c>
      <c r="M9" s="7">
        <f t="shared" si="0"/>
        <v>0</v>
      </c>
      <c r="N9" s="7">
        <f t="shared" si="0"/>
        <v>0</v>
      </c>
      <c r="O9" s="6"/>
      <c r="P9" s="8"/>
      <c r="Q9" s="9"/>
    </row>
    <row r="10" spans="1:17" x14ac:dyDescent="0.25">
      <c r="A10" s="10" t="s">
        <v>23</v>
      </c>
      <c r="B10" s="11" t="s">
        <v>24</v>
      </c>
      <c r="C10" s="12"/>
      <c r="D10" s="12"/>
      <c r="E10" s="13">
        <f t="shared" ref="E10:N10" si="1">E11+E33</f>
        <v>588522</v>
      </c>
      <c r="F10" s="13">
        <f t="shared" si="1"/>
        <v>273500</v>
      </c>
      <c r="G10" s="13">
        <f t="shared" si="1"/>
        <v>0</v>
      </c>
      <c r="H10" s="13">
        <f t="shared" si="1"/>
        <v>0</v>
      </c>
      <c r="I10" s="13">
        <f t="shared" si="1"/>
        <v>143893</v>
      </c>
      <c r="J10" s="13">
        <f t="shared" si="1"/>
        <v>0</v>
      </c>
      <c r="K10" s="13">
        <f t="shared" si="1"/>
        <v>112129</v>
      </c>
      <c r="L10" s="13">
        <f t="shared" si="1"/>
        <v>59000</v>
      </c>
      <c r="M10" s="13">
        <f t="shared" si="1"/>
        <v>0</v>
      </c>
      <c r="N10" s="13">
        <f t="shared" si="1"/>
        <v>0</v>
      </c>
      <c r="O10" s="12"/>
      <c r="P10" s="14"/>
      <c r="Q10" s="15"/>
    </row>
    <row r="11" spans="1:17" ht="81" x14ac:dyDescent="0.25">
      <c r="A11" s="16" t="s">
        <v>25</v>
      </c>
      <c r="B11" s="17" t="s">
        <v>26</v>
      </c>
      <c r="C11" s="18"/>
      <c r="D11" s="18"/>
      <c r="E11" s="19">
        <f t="shared" ref="E11:N11" si="2">E12+E14+E16+E18+E20+E22+E24+E29</f>
        <v>575522</v>
      </c>
      <c r="F11" s="19">
        <f t="shared" si="2"/>
        <v>263500</v>
      </c>
      <c r="G11" s="19">
        <f t="shared" si="2"/>
        <v>0</v>
      </c>
      <c r="H11" s="19">
        <f t="shared" si="2"/>
        <v>0</v>
      </c>
      <c r="I11" s="19">
        <f t="shared" si="2"/>
        <v>143893</v>
      </c>
      <c r="J11" s="19">
        <f t="shared" si="2"/>
        <v>0</v>
      </c>
      <c r="K11" s="19">
        <f t="shared" si="2"/>
        <v>112129</v>
      </c>
      <c r="L11" s="19">
        <f t="shared" si="2"/>
        <v>56000</v>
      </c>
      <c r="M11" s="19">
        <f t="shared" si="2"/>
        <v>0</v>
      </c>
      <c r="N11" s="19">
        <f t="shared" si="2"/>
        <v>0</v>
      </c>
      <c r="O11" s="18"/>
      <c r="P11" s="20"/>
      <c r="Q11" s="21"/>
    </row>
    <row r="12" spans="1:17" ht="40.5" x14ac:dyDescent="0.25">
      <c r="A12" s="22" t="s">
        <v>27</v>
      </c>
      <c r="B12" s="23" t="s">
        <v>28</v>
      </c>
      <c r="C12" s="24" t="s">
        <v>29</v>
      </c>
      <c r="D12" s="24" t="s">
        <v>22</v>
      </c>
      <c r="E12" s="25">
        <f>SUM(E13:E13)+10000</f>
        <v>10000</v>
      </c>
      <c r="F12" s="25">
        <f t="shared" ref="F12:K12" si="3">SUM(F13:F13)</f>
        <v>0</v>
      </c>
      <c r="G12" s="25">
        <f t="shared" si="3"/>
        <v>0</v>
      </c>
      <c r="H12" s="25">
        <f t="shared" si="3"/>
        <v>0</v>
      </c>
      <c r="I12" s="25">
        <f t="shared" si="3"/>
        <v>0</v>
      </c>
      <c r="J12" s="25">
        <f t="shared" si="3"/>
        <v>0</v>
      </c>
      <c r="K12" s="25">
        <f t="shared" si="3"/>
        <v>0</v>
      </c>
      <c r="L12" s="25">
        <f>SUM(L13:L13)+10000</f>
        <v>10000</v>
      </c>
      <c r="M12" s="25">
        <f>SUM(M13:M13)</f>
        <v>0</v>
      </c>
      <c r="N12" s="25">
        <f>SUM(N13:N13)</f>
        <v>0</v>
      </c>
      <c r="O12" s="24" t="s">
        <v>30</v>
      </c>
      <c r="P12" s="26" t="s">
        <v>31</v>
      </c>
      <c r="Q12" s="27" t="s">
        <v>32</v>
      </c>
    </row>
    <row r="13" spans="1:17" ht="60.75" x14ac:dyDescent="0.25">
      <c r="A13" s="22" t="s">
        <v>33</v>
      </c>
      <c r="B13" s="23" t="s">
        <v>34</v>
      </c>
      <c r="C13" s="24"/>
      <c r="D13" s="24"/>
      <c r="E13" s="28">
        <v>0</v>
      </c>
      <c r="F13" s="28">
        <v>0</v>
      </c>
      <c r="G13" s="28">
        <v>0</v>
      </c>
      <c r="H13" s="28">
        <v>0</v>
      </c>
      <c r="I13" s="28">
        <v>0</v>
      </c>
      <c r="J13" s="28">
        <v>0</v>
      </c>
      <c r="K13" s="28">
        <v>0</v>
      </c>
      <c r="L13" s="28">
        <v>0</v>
      </c>
      <c r="M13" s="28">
        <v>0</v>
      </c>
      <c r="N13" s="28">
        <v>0</v>
      </c>
      <c r="O13" s="24"/>
      <c r="P13" s="26"/>
      <c r="Q13" s="27"/>
    </row>
    <row r="14" spans="1:17" ht="40.5" x14ac:dyDescent="0.25">
      <c r="A14" s="22" t="s">
        <v>35</v>
      </c>
      <c r="B14" s="23" t="s">
        <v>36</v>
      </c>
      <c r="C14" s="24" t="s">
        <v>29</v>
      </c>
      <c r="D14" s="24" t="s">
        <v>22</v>
      </c>
      <c r="E14" s="25">
        <f>SUM(E15:E15)+43000</f>
        <v>43000</v>
      </c>
      <c r="F14" s="25">
        <f t="shared" ref="F14:K14" si="4">SUM(F15:F15)</f>
        <v>0</v>
      </c>
      <c r="G14" s="25">
        <f t="shared" si="4"/>
        <v>0</v>
      </c>
      <c r="H14" s="25">
        <f t="shared" si="4"/>
        <v>0</v>
      </c>
      <c r="I14" s="25">
        <f t="shared" si="4"/>
        <v>0</v>
      </c>
      <c r="J14" s="25">
        <f t="shared" si="4"/>
        <v>0</v>
      </c>
      <c r="K14" s="25">
        <f t="shared" si="4"/>
        <v>0</v>
      </c>
      <c r="L14" s="25">
        <f>SUM(L15:L15)+43000</f>
        <v>43000</v>
      </c>
      <c r="M14" s="25">
        <f>SUM(M15:M15)</f>
        <v>0</v>
      </c>
      <c r="N14" s="25">
        <f>SUM(N15:N15)</f>
        <v>0</v>
      </c>
      <c r="O14" s="24" t="s">
        <v>37</v>
      </c>
      <c r="P14" s="26" t="s">
        <v>31</v>
      </c>
      <c r="Q14" s="27" t="s">
        <v>38</v>
      </c>
    </row>
    <row r="15" spans="1:17" ht="40.5" x14ac:dyDescent="0.25">
      <c r="A15" s="22" t="s">
        <v>39</v>
      </c>
      <c r="B15" s="23" t="s">
        <v>40</v>
      </c>
      <c r="C15" s="24"/>
      <c r="D15" s="24"/>
      <c r="E15" s="28">
        <v>0</v>
      </c>
      <c r="F15" s="28">
        <v>0</v>
      </c>
      <c r="G15" s="28">
        <v>0</v>
      </c>
      <c r="H15" s="28">
        <v>0</v>
      </c>
      <c r="I15" s="28">
        <v>0</v>
      </c>
      <c r="J15" s="28">
        <v>0</v>
      </c>
      <c r="K15" s="28">
        <v>0</v>
      </c>
      <c r="L15" s="28">
        <v>0</v>
      </c>
      <c r="M15" s="28">
        <v>0</v>
      </c>
      <c r="N15" s="28">
        <v>0</v>
      </c>
      <c r="O15" s="24"/>
      <c r="P15" s="26"/>
      <c r="Q15" s="27"/>
    </row>
    <row r="16" spans="1:17" ht="60.75" x14ac:dyDescent="0.25">
      <c r="A16" s="22" t="s">
        <v>41</v>
      </c>
      <c r="B16" s="23" t="s">
        <v>42</v>
      </c>
      <c r="C16" s="24"/>
      <c r="D16" s="24"/>
      <c r="E16" s="25">
        <f>SUM(E17:E17)+143893</f>
        <v>143893</v>
      </c>
      <c r="F16" s="25">
        <f>SUM(F17:F17)</f>
        <v>0</v>
      </c>
      <c r="G16" s="25">
        <f>SUM(G17:G17)</f>
        <v>0</v>
      </c>
      <c r="H16" s="25">
        <f>SUM(H17:H17)</f>
        <v>0</v>
      </c>
      <c r="I16" s="25">
        <f>SUM(I17:I17)+143893</f>
        <v>143893</v>
      </c>
      <c r="J16" s="25">
        <f>SUM(J17:J17)</f>
        <v>0</v>
      </c>
      <c r="K16" s="25">
        <f>SUM(K17:K17)</f>
        <v>0</v>
      </c>
      <c r="L16" s="25">
        <f>SUM(L17:L17)</f>
        <v>0</v>
      </c>
      <c r="M16" s="25">
        <f>SUM(M17:M17)</f>
        <v>0</v>
      </c>
      <c r="N16" s="25">
        <f>SUM(N17:N17)</f>
        <v>0</v>
      </c>
      <c r="O16" s="24" t="s">
        <v>43</v>
      </c>
      <c r="P16" s="26" t="s">
        <v>31</v>
      </c>
      <c r="Q16" s="27" t="s">
        <v>44</v>
      </c>
    </row>
    <row r="17" spans="1:17" ht="81" x14ac:dyDescent="0.25">
      <c r="A17" s="22" t="s">
        <v>45</v>
      </c>
      <c r="B17" s="23" t="s">
        <v>46</v>
      </c>
      <c r="C17" s="24"/>
      <c r="D17" s="24"/>
      <c r="E17" s="28">
        <v>0</v>
      </c>
      <c r="F17" s="28">
        <v>0</v>
      </c>
      <c r="G17" s="28">
        <v>0</v>
      </c>
      <c r="H17" s="28">
        <v>0</v>
      </c>
      <c r="I17" s="28">
        <v>0</v>
      </c>
      <c r="J17" s="28">
        <v>0</v>
      </c>
      <c r="K17" s="28">
        <v>0</v>
      </c>
      <c r="L17" s="28">
        <v>0</v>
      </c>
      <c r="M17" s="28">
        <v>0</v>
      </c>
      <c r="N17" s="28">
        <v>0</v>
      </c>
      <c r="O17" s="24"/>
      <c r="P17" s="26"/>
      <c r="Q17" s="27"/>
    </row>
    <row r="18" spans="1:17" ht="40.5" x14ac:dyDescent="0.25">
      <c r="A18" s="22" t="s">
        <v>47</v>
      </c>
      <c r="B18" s="23" t="s">
        <v>48</v>
      </c>
      <c r="C18" s="24"/>
      <c r="D18" s="24" t="s">
        <v>22</v>
      </c>
      <c r="E18" s="25">
        <f>SUM(E19:E19)+112129</f>
        <v>112129</v>
      </c>
      <c r="F18" s="25">
        <f>SUM(F19:F19)</f>
        <v>0</v>
      </c>
      <c r="G18" s="25">
        <f>SUM(G19:G19)</f>
        <v>0</v>
      </c>
      <c r="H18" s="25">
        <f>SUM(H19:H19)</f>
        <v>0</v>
      </c>
      <c r="I18" s="25">
        <f>SUM(I19:I19)</f>
        <v>0</v>
      </c>
      <c r="J18" s="25">
        <f>SUM(J19:J19)</f>
        <v>0</v>
      </c>
      <c r="K18" s="25">
        <f>SUM(K19:K19)+112129</f>
        <v>112129</v>
      </c>
      <c r="L18" s="25">
        <f>SUM(L19:L19)</f>
        <v>0</v>
      </c>
      <c r="M18" s="25">
        <f>SUM(M19:M19)</f>
        <v>0</v>
      </c>
      <c r="N18" s="25">
        <f>SUM(N19:N19)</f>
        <v>0</v>
      </c>
      <c r="O18" s="24" t="s">
        <v>49</v>
      </c>
      <c r="P18" s="26" t="s">
        <v>31</v>
      </c>
      <c r="Q18" s="27" t="s">
        <v>50</v>
      </c>
    </row>
    <row r="19" spans="1:17" ht="40.5" x14ac:dyDescent="0.25">
      <c r="A19" s="22" t="s">
        <v>51</v>
      </c>
      <c r="B19" s="23" t="s">
        <v>52</v>
      </c>
      <c r="C19" s="24"/>
      <c r="D19" s="24"/>
      <c r="E19" s="28">
        <v>0</v>
      </c>
      <c r="F19" s="28">
        <v>0</v>
      </c>
      <c r="G19" s="28">
        <v>0</v>
      </c>
      <c r="H19" s="28">
        <v>0</v>
      </c>
      <c r="I19" s="28">
        <v>0</v>
      </c>
      <c r="J19" s="28">
        <v>0</v>
      </c>
      <c r="K19" s="28">
        <v>0</v>
      </c>
      <c r="L19" s="28">
        <v>0</v>
      </c>
      <c r="M19" s="28">
        <v>0</v>
      </c>
      <c r="N19" s="28">
        <v>0</v>
      </c>
      <c r="O19" s="24"/>
      <c r="P19" s="26"/>
      <c r="Q19" s="27"/>
    </row>
    <row r="20" spans="1:17" ht="40.5" x14ac:dyDescent="0.25">
      <c r="A20" s="22" t="s">
        <v>53</v>
      </c>
      <c r="B20" s="23" t="s">
        <v>54</v>
      </c>
      <c r="C20" s="24" t="s">
        <v>29</v>
      </c>
      <c r="D20" s="24" t="s">
        <v>22</v>
      </c>
      <c r="E20" s="25">
        <f>SUM(E21:E21)+240000</f>
        <v>240000</v>
      </c>
      <c r="F20" s="25">
        <f>SUM(F21:F21)+240000</f>
        <v>240000</v>
      </c>
      <c r="G20" s="25">
        <f t="shared" ref="G20:N20" si="5">SUM(G21:G21)</f>
        <v>0</v>
      </c>
      <c r="H20" s="25">
        <f t="shared" si="5"/>
        <v>0</v>
      </c>
      <c r="I20" s="25">
        <f t="shared" si="5"/>
        <v>0</v>
      </c>
      <c r="J20" s="25">
        <f t="shared" si="5"/>
        <v>0</v>
      </c>
      <c r="K20" s="25">
        <f t="shared" si="5"/>
        <v>0</v>
      </c>
      <c r="L20" s="25">
        <f t="shared" si="5"/>
        <v>0</v>
      </c>
      <c r="M20" s="25">
        <f t="shared" si="5"/>
        <v>0</v>
      </c>
      <c r="N20" s="25">
        <f t="shared" si="5"/>
        <v>0</v>
      </c>
      <c r="O20" s="24" t="s">
        <v>55</v>
      </c>
      <c r="P20" s="26" t="s">
        <v>31</v>
      </c>
      <c r="Q20" s="27" t="s">
        <v>56</v>
      </c>
    </row>
    <row r="21" spans="1:17" ht="40.5" x14ac:dyDescent="0.25">
      <c r="A21" s="22" t="s">
        <v>57</v>
      </c>
      <c r="B21" s="23" t="s">
        <v>58</v>
      </c>
      <c r="C21" s="24"/>
      <c r="D21" s="24"/>
      <c r="E21" s="28">
        <v>0</v>
      </c>
      <c r="F21" s="28">
        <v>0</v>
      </c>
      <c r="G21" s="28">
        <v>0</v>
      </c>
      <c r="H21" s="28">
        <v>0</v>
      </c>
      <c r="I21" s="28">
        <v>0</v>
      </c>
      <c r="J21" s="28">
        <v>0</v>
      </c>
      <c r="K21" s="28">
        <v>0</v>
      </c>
      <c r="L21" s="28">
        <v>0</v>
      </c>
      <c r="M21" s="28">
        <v>0</v>
      </c>
      <c r="N21" s="28">
        <v>0</v>
      </c>
      <c r="O21" s="24"/>
      <c r="P21" s="26"/>
      <c r="Q21" s="27"/>
    </row>
    <row r="22" spans="1:17" ht="60.75" x14ac:dyDescent="0.25">
      <c r="A22" s="22" t="s">
        <v>59</v>
      </c>
      <c r="B22" s="23" t="s">
        <v>60</v>
      </c>
      <c r="C22" s="24" t="s">
        <v>29</v>
      </c>
      <c r="D22" s="24" t="s">
        <v>22</v>
      </c>
      <c r="E22" s="25">
        <f>SUM(E23:E23)+2000</f>
        <v>2000</v>
      </c>
      <c r="F22" s="25">
        <f>SUM(F23:F23)+2000</f>
        <v>2000</v>
      </c>
      <c r="G22" s="25">
        <f t="shared" ref="G22:N22" si="6">SUM(G23:G23)</f>
        <v>0</v>
      </c>
      <c r="H22" s="25">
        <f t="shared" si="6"/>
        <v>0</v>
      </c>
      <c r="I22" s="25">
        <f t="shared" si="6"/>
        <v>0</v>
      </c>
      <c r="J22" s="25">
        <f t="shared" si="6"/>
        <v>0</v>
      </c>
      <c r="K22" s="25">
        <f t="shared" si="6"/>
        <v>0</v>
      </c>
      <c r="L22" s="25">
        <f t="shared" si="6"/>
        <v>0</v>
      </c>
      <c r="M22" s="25">
        <f t="shared" si="6"/>
        <v>0</v>
      </c>
      <c r="N22" s="25">
        <f t="shared" si="6"/>
        <v>0</v>
      </c>
      <c r="O22" s="24" t="s">
        <v>61</v>
      </c>
      <c r="P22" s="26" t="s">
        <v>31</v>
      </c>
      <c r="Q22" s="27" t="s">
        <v>62</v>
      </c>
    </row>
    <row r="23" spans="1:17" ht="60.75" x14ac:dyDescent="0.25">
      <c r="A23" s="22" t="s">
        <v>63</v>
      </c>
      <c r="B23" s="23" t="s">
        <v>64</v>
      </c>
      <c r="C23" s="24"/>
      <c r="D23" s="24"/>
      <c r="E23" s="28">
        <v>0</v>
      </c>
      <c r="F23" s="28">
        <v>0</v>
      </c>
      <c r="G23" s="28">
        <v>0</v>
      </c>
      <c r="H23" s="28">
        <v>0</v>
      </c>
      <c r="I23" s="28">
        <v>0</v>
      </c>
      <c r="J23" s="28">
        <v>0</v>
      </c>
      <c r="K23" s="28">
        <v>0</v>
      </c>
      <c r="L23" s="28">
        <v>0</v>
      </c>
      <c r="M23" s="28">
        <v>0</v>
      </c>
      <c r="N23" s="28">
        <v>0</v>
      </c>
      <c r="O23" s="24"/>
      <c r="P23" s="26"/>
      <c r="Q23" s="27"/>
    </row>
    <row r="24" spans="1:17" ht="81" x14ac:dyDescent="0.25">
      <c r="A24" s="22" t="s">
        <v>65</v>
      </c>
      <c r="B24" s="23" t="s">
        <v>66</v>
      </c>
      <c r="C24" s="24" t="s">
        <v>29</v>
      </c>
      <c r="D24" s="24" t="s">
        <v>22</v>
      </c>
      <c r="E24" s="25">
        <f>SUM(E25:E28)+20000</f>
        <v>20000</v>
      </c>
      <c r="F24" s="25">
        <f>SUM(F25:F28)+20000</f>
        <v>20000</v>
      </c>
      <c r="G24" s="25">
        <f t="shared" ref="G24:N24" si="7">SUM(G25:G28)</f>
        <v>0</v>
      </c>
      <c r="H24" s="25">
        <f t="shared" si="7"/>
        <v>0</v>
      </c>
      <c r="I24" s="25">
        <f t="shared" si="7"/>
        <v>0</v>
      </c>
      <c r="J24" s="25">
        <f t="shared" si="7"/>
        <v>0</v>
      </c>
      <c r="K24" s="25">
        <f t="shared" si="7"/>
        <v>0</v>
      </c>
      <c r="L24" s="25">
        <f t="shared" si="7"/>
        <v>0</v>
      </c>
      <c r="M24" s="25">
        <f t="shared" si="7"/>
        <v>0</v>
      </c>
      <c r="N24" s="25">
        <f t="shared" si="7"/>
        <v>0</v>
      </c>
      <c r="O24" s="24" t="s">
        <v>67</v>
      </c>
      <c r="P24" s="26" t="s">
        <v>31</v>
      </c>
      <c r="Q24" s="27" t="s">
        <v>68</v>
      </c>
    </row>
    <row r="25" spans="1:17" ht="40.5" x14ac:dyDescent="0.25">
      <c r="A25" s="29"/>
      <c r="B25" s="30"/>
      <c r="C25" s="31"/>
      <c r="D25" s="31"/>
      <c r="E25" s="32">
        <v>0</v>
      </c>
      <c r="F25" s="32">
        <v>0</v>
      </c>
      <c r="G25" s="32">
        <v>0</v>
      </c>
      <c r="H25" s="32">
        <v>0</v>
      </c>
      <c r="I25" s="32">
        <v>0</v>
      </c>
      <c r="J25" s="32">
        <v>0</v>
      </c>
      <c r="K25" s="32">
        <v>0</v>
      </c>
      <c r="L25" s="32">
        <v>0</v>
      </c>
      <c r="M25" s="32">
        <v>0</v>
      </c>
      <c r="N25" s="32">
        <v>0</v>
      </c>
      <c r="O25" s="31" t="s">
        <v>69</v>
      </c>
      <c r="P25" s="33" t="s">
        <v>31</v>
      </c>
      <c r="Q25" s="34" t="s">
        <v>70</v>
      </c>
    </row>
    <row r="26" spans="1:17" x14ac:dyDescent="0.25">
      <c r="A26" s="29"/>
      <c r="B26" s="30"/>
      <c r="C26" s="31"/>
      <c r="D26" s="31"/>
      <c r="E26" s="32">
        <v>0</v>
      </c>
      <c r="F26" s="32">
        <v>0</v>
      </c>
      <c r="G26" s="32">
        <v>0</v>
      </c>
      <c r="H26" s="32">
        <v>0</v>
      </c>
      <c r="I26" s="32">
        <v>0</v>
      </c>
      <c r="J26" s="32">
        <v>0</v>
      </c>
      <c r="K26" s="32">
        <v>0</v>
      </c>
      <c r="L26" s="32">
        <v>0</v>
      </c>
      <c r="M26" s="32">
        <v>0</v>
      </c>
      <c r="N26" s="32">
        <v>0</v>
      </c>
      <c r="O26" s="31" t="s">
        <v>71</v>
      </c>
      <c r="P26" s="33" t="s">
        <v>31</v>
      </c>
      <c r="Q26" s="34" t="s">
        <v>72</v>
      </c>
    </row>
    <row r="27" spans="1:17" ht="40.5" x14ac:dyDescent="0.25">
      <c r="A27" s="29"/>
      <c r="B27" s="30"/>
      <c r="C27" s="31"/>
      <c r="D27" s="31"/>
      <c r="E27" s="32">
        <v>0</v>
      </c>
      <c r="F27" s="32">
        <v>0</v>
      </c>
      <c r="G27" s="32">
        <v>0</v>
      </c>
      <c r="H27" s="32">
        <v>0</v>
      </c>
      <c r="I27" s="32">
        <v>0</v>
      </c>
      <c r="J27" s="32">
        <v>0</v>
      </c>
      <c r="K27" s="32">
        <v>0</v>
      </c>
      <c r="L27" s="32">
        <v>0</v>
      </c>
      <c r="M27" s="32">
        <v>0</v>
      </c>
      <c r="N27" s="32">
        <v>0</v>
      </c>
      <c r="O27" s="31" t="s">
        <v>73</v>
      </c>
      <c r="P27" s="33" t="s">
        <v>31</v>
      </c>
      <c r="Q27" s="34" t="s">
        <v>74</v>
      </c>
    </row>
    <row r="28" spans="1:17" ht="81" x14ac:dyDescent="0.25">
      <c r="A28" s="22" t="s">
        <v>75</v>
      </c>
      <c r="B28" s="23" t="s">
        <v>76</v>
      </c>
      <c r="C28" s="24"/>
      <c r="D28" s="24"/>
      <c r="E28" s="28">
        <v>0</v>
      </c>
      <c r="F28" s="28">
        <v>0</v>
      </c>
      <c r="G28" s="28">
        <v>0</v>
      </c>
      <c r="H28" s="28">
        <v>0</v>
      </c>
      <c r="I28" s="28">
        <v>0</v>
      </c>
      <c r="J28" s="28">
        <v>0</v>
      </c>
      <c r="K28" s="28">
        <v>0</v>
      </c>
      <c r="L28" s="28">
        <v>0</v>
      </c>
      <c r="M28" s="28">
        <v>0</v>
      </c>
      <c r="N28" s="28">
        <v>0</v>
      </c>
      <c r="O28" s="24"/>
      <c r="P28" s="26"/>
      <c r="Q28" s="27"/>
    </row>
    <row r="29" spans="1:17" ht="60.75" x14ac:dyDescent="0.25">
      <c r="A29" s="22" t="s">
        <v>77</v>
      </c>
      <c r="B29" s="23" t="s">
        <v>78</v>
      </c>
      <c r="C29" s="24" t="s">
        <v>29</v>
      </c>
      <c r="D29" s="24" t="s">
        <v>22</v>
      </c>
      <c r="E29" s="25">
        <f>SUM(E30:E32)+4500</f>
        <v>4500</v>
      </c>
      <c r="F29" s="25">
        <f>SUM(F30:F32)+1500</f>
        <v>1500</v>
      </c>
      <c r="G29" s="25">
        <f>SUM(G30:G32)</f>
        <v>0</v>
      </c>
      <c r="H29" s="25">
        <f>SUM(H30:H32)</f>
        <v>0</v>
      </c>
      <c r="I29" s="25">
        <f>SUM(I30:I32)</f>
        <v>0</v>
      </c>
      <c r="J29" s="25">
        <f>SUM(J30:J32)</f>
        <v>0</v>
      </c>
      <c r="K29" s="25">
        <f>SUM(K30:K32)</f>
        <v>0</v>
      </c>
      <c r="L29" s="25">
        <f>SUM(L30:L32)+3000</f>
        <v>3000</v>
      </c>
      <c r="M29" s="25">
        <f>SUM(M30:M32)</f>
        <v>0</v>
      </c>
      <c r="N29" s="25">
        <f>SUM(N30:N32)</f>
        <v>0</v>
      </c>
      <c r="O29" s="24" t="s">
        <v>79</v>
      </c>
      <c r="P29" s="26" t="s">
        <v>31</v>
      </c>
      <c r="Q29" s="27" t="s">
        <v>80</v>
      </c>
    </row>
    <row r="30" spans="1:17" ht="40.5" x14ac:dyDescent="0.25">
      <c r="A30" s="29"/>
      <c r="B30" s="30"/>
      <c r="C30" s="31"/>
      <c r="D30" s="31"/>
      <c r="E30" s="32">
        <v>0</v>
      </c>
      <c r="F30" s="32">
        <v>0</v>
      </c>
      <c r="G30" s="32">
        <v>0</v>
      </c>
      <c r="H30" s="32">
        <v>0</v>
      </c>
      <c r="I30" s="32">
        <v>0</v>
      </c>
      <c r="J30" s="32">
        <v>0</v>
      </c>
      <c r="K30" s="32">
        <v>0</v>
      </c>
      <c r="L30" s="32">
        <v>0</v>
      </c>
      <c r="M30" s="32">
        <v>0</v>
      </c>
      <c r="N30" s="32">
        <v>0</v>
      </c>
      <c r="O30" s="31" t="s">
        <v>81</v>
      </c>
      <c r="P30" s="33" t="s">
        <v>31</v>
      </c>
      <c r="Q30" s="34" t="s">
        <v>82</v>
      </c>
    </row>
    <row r="31" spans="1:17" ht="40.5" x14ac:dyDescent="0.25">
      <c r="A31" s="22" t="s">
        <v>83</v>
      </c>
      <c r="B31" s="23" t="s">
        <v>84</v>
      </c>
      <c r="C31" s="24"/>
      <c r="D31" s="24"/>
      <c r="E31" s="28">
        <v>0</v>
      </c>
      <c r="F31" s="28">
        <v>0</v>
      </c>
      <c r="G31" s="28">
        <v>0</v>
      </c>
      <c r="H31" s="28">
        <v>0</v>
      </c>
      <c r="I31" s="28">
        <v>0</v>
      </c>
      <c r="J31" s="28">
        <v>0</v>
      </c>
      <c r="K31" s="28">
        <v>0</v>
      </c>
      <c r="L31" s="28">
        <v>0</v>
      </c>
      <c r="M31" s="28">
        <v>0</v>
      </c>
      <c r="N31" s="28">
        <v>0</v>
      </c>
      <c r="O31" s="24"/>
      <c r="P31" s="26"/>
      <c r="Q31" s="27"/>
    </row>
    <row r="32" spans="1:17" ht="40.5" x14ac:dyDescent="0.25">
      <c r="A32" s="22" t="s">
        <v>85</v>
      </c>
      <c r="B32" s="23" t="s">
        <v>86</v>
      </c>
      <c r="C32" s="24"/>
      <c r="D32" s="24"/>
      <c r="E32" s="28">
        <v>0</v>
      </c>
      <c r="F32" s="28">
        <v>0</v>
      </c>
      <c r="G32" s="28">
        <v>0</v>
      </c>
      <c r="H32" s="28">
        <v>0</v>
      </c>
      <c r="I32" s="28">
        <v>0</v>
      </c>
      <c r="J32" s="28">
        <v>0</v>
      </c>
      <c r="K32" s="28">
        <v>0</v>
      </c>
      <c r="L32" s="28">
        <v>0</v>
      </c>
      <c r="M32" s="28">
        <v>0</v>
      </c>
      <c r="N32" s="28">
        <v>0</v>
      </c>
      <c r="O32" s="24"/>
      <c r="P32" s="26"/>
      <c r="Q32" s="27"/>
    </row>
    <row r="33" spans="1:17" ht="60.75" x14ac:dyDescent="0.25">
      <c r="A33" s="16" t="s">
        <v>87</v>
      </c>
      <c r="B33" s="17" t="s">
        <v>88</v>
      </c>
      <c r="C33" s="18"/>
      <c r="D33" s="18"/>
      <c r="E33" s="19">
        <f t="shared" ref="E33:N33" si="8">E34+E36</f>
        <v>13000</v>
      </c>
      <c r="F33" s="19">
        <f t="shared" si="8"/>
        <v>10000</v>
      </c>
      <c r="G33" s="19">
        <f t="shared" si="8"/>
        <v>0</v>
      </c>
      <c r="H33" s="19">
        <f t="shared" si="8"/>
        <v>0</v>
      </c>
      <c r="I33" s="19">
        <f t="shared" si="8"/>
        <v>0</v>
      </c>
      <c r="J33" s="19">
        <f t="shared" si="8"/>
        <v>0</v>
      </c>
      <c r="K33" s="19">
        <f t="shared" si="8"/>
        <v>0</v>
      </c>
      <c r="L33" s="19">
        <f t="shared" si="8"/>
        <v>3000</v>
      </c>
      <c r="M33" s="19">
        <f t="shared" si="8"/>
        <v>0</v>
      </c>
      <c r="N33" s="19">
        <f t="shared" si="8"/>
        <v>0</v>
      </c>
      <c r="O33" s="18"/>
      <c r="P33" s="20"/>
      <c r="Q33" s="21"/>
    </row>
    <row r="34" spans="1:17" ht="101.25" x14ac:dyDescent="0.25">
      <c r="A34" s="22" t="s">
        <v>89</v>
      </c>
      <c r="B34" s="23" t="s">
        <v>90</v>
      </c>
      <c r="C34" s="24" t="s">
        <v>29</v>
      </c>
      <c r="D34" s="24" t="s">
        <v>22</v>
      </c>
      <c r="E34" s="25">
        <f>SUM(E35:E35)+3000</f>
        <v>3000</v>
      </c>
      <c r="F34" s="25">
        <f t="shared" ref="F34:K34" si="9">SUM(F35:F35)</f>
        <v>0</v>
      </c>
      <c r="G34" s="25">
        <f t="shared" si="9"/>
        <v>0</v>
      </c>
      <c r="H34" s="25">
        <f t="shared" si="9"/>
        <v>0</v>
      </c>
      <c r="I34" s="25">
        <f t="shared" si="9"/>
        <v>0</v>
      </c>
      <c r="J34" s="25">
        <f t="shared" si="9"/>
        <v>0</v>
      </c>
      <c r="K34" s="25">
        <f t="shared" si="9"/>
        <v>0</v>
      </c>
      <c r="L34" s="25">
        <f>SUM(L35:L35)+3000</f>
        <v>3000</v>
      </c>
      <c r="M34" s="25">
        <f>SUM(M35:M35)</f>
        <v>0</v>
      </c>
      <c r="N34" s="25">
        <f>SUM(N35:N35)</f>
        <v>0</v>
      </c>
      <c r="O34" s="24" t="s">
        <v>91</v>
      </c>
      <c r="P34" s="26" t="s">
        <v>31</v>
      </c>
      <c r="Q34" s="27" t="s">
        <v>92</v>
      </c>
    </row>
    <row r="35" spans="1:17" ht="60.75" x14ac:dyDescent="0.25">
      <c r="A35" s="22" t="s">
        <v>93</v>
      </c>
      <c r="B35" s="23" t="s">
        <v>94</v>
      </c>
      <c r="C35" s="24"/>
      <c r="D35" s="24"/>
      <c r="E35" s="28">
        <v>0</v>
      </c>
      <c r="F35" s="28">
        <v>0</v>
      </c>
      <c r="G35" s="28">
        <v>0</v>
      </c>
      <c r="H35" s="28">
        <v>0</v>
      </c>
      <c r="I35" s="28">
        <v>0</v>
      </c>
      <c r="J35" s="28">
        <v>0</v>
      </c>
      <c r="K35" s="28">
        <v>0</v>
      </c>
      <c r="L35" s="28">
        <v>0</v>
      </c>
      <c r="M35" s="28">
        <v>0</v>
      </c>
      <c r="N35" s="28">
        <v>0</v>
      </c>
      <c r="O35" s="24"/>
      <c r="P35" s="26"/>
      <c r="Q35" s="27"/>
    </row>
    <row r="36" spans="1:17" ht="60.75" x14ac:dyDescent="0.25">
      <c r="A36" s="22" t="s">
        <v>95</v>
      </c>
      <c r="B36" s="23" t="s">
        <v>96</v>
      </c>
      <c r="C36" s="24" t="s">
        <v>29</v>
      </c>
      <c r="D36" s="24" t="s">
        <v>22</v>
      </c>
      <c r="E36" s="25">
        <f>SUM(E37:E37)+10000</f>
        <v>10000</v>
      </c>
      <c r="F36" s="25">
        <f>SUM(F37:F37)+10000</f>
        <v>10000</v>
      </c>
      <c r="G36" s="25">
        <f t="shared" ref="G36:N36" si="10">SUM(G37:G37)</f>
        <v>0</v>
      </c>
      <c r="H36" s="25">
        <f t="shared" si="10"/>
        <v>0</v>
      </c>
      <c r="I36" s="25">
        <f t="shared" si="10"/>
        <v>0</v>
      </c>
      <c r="J36" s="25">
        <f t="shared" si="10"/>
        <v>0</v>
      </c>
      <c r="K36" s="25">
        <f t="shared" si="10"/>
        <v>0</v>
      </c>
      <c r="L36" s="25">
        <f t="shared" si="10"/>
        <v>0</v>
      </c>
      <c r="M36" s="25">
        <f t="shared" si="10"/>
        <v>0</v>
      </c>
      <c r="N36" s="25">
        <f t="shared" si="10"/>
        <v>0</v>
      </c>
      <c r="O36" s="24" t="s">
        <v>97</v>
      </c>
      <c r="P36" s="26" t="s">
        <v>31</v>
      </c>
      <c r="Q36" s="27" t="s">
        <v>98</v>
      </c>
    </row>
    <row r="37" spans="1:17" ht="40.5" x14ac:dyDescent="0.25">
      <c r="A37" s="22" t="s">
        <v>99</v>
      </c>
      <c r="B37" s="23" t="s">
        <v>100</v>
      </c>
      <c r="C37" s="24"/>
      <c r="D37" s="24"/>
      <c r="E37" s="28">
        <v>0</v>
      </c>
      <c r="F37" s="28">
        <v>0</v>
      </c>
      <c r="G37" s="28">
        <v>0</v>
      </c>
      <c r="H37" s="28">
        <v>0</v>
      </c>
      <c r="I37" s="28">
        <v>0</v>
      </c>
      <c r="J37" s="28">
        <v>0</v>
      </c>
      <c r="K37" s="28">
        <v>0</v>
      </c>
      <c r="L37" s="28">
        <v>0</v>
      </c>
      <c r="M37" s="28">
        <v>0</v>
      </c>
      <c r="N37" s="28">
        <v>0</v>
      </c>
      <c r="O37" s="24"/>
      <c r="P37" s="26"/>
      <c r="Q37" s="27"/>
    </row>
    <row r="38" spans="1:17" ht="40.5" x14ac:dyDescent="0.25">
      <c r="A38" s="10" t="s">
        <v>101</v>
      </c>
      <c r="B38" s="11" t="s">
        <v>102</v>
      </c>
      <c r="C38" s="12"/>
      <c r="D38" s="12"/>
      <c r="E38" s="13">
        <f t="shared" ref="E38:N40" si="11">SUM(E39:E39)</f>
        <v>0</v>
      </c>
      <c r="F38" s="13">
        <f t="shared" si="11"/>
        <v>0</v>
      </c>
      <c r="G38" s="13">
        <f t="shared" si="11"/>
        <v>0</v>
      </c>
      <c r="H38" s="13">
        <f t="shared" si="11"/>
        <v>0</v>
      </c>
      <c r="I38" s="13">
        <f t="shared" si="11"/>
        <v>0</v>
      </c>
      <c r="J38" s="13">
        <f t="shared" si="11"/>
        <v>0</v>
      </c>
      <c r="K38" s="13">
        <f t="shared" si="11"/>
        <v>0</v>
      </c>
      <c r="L38" s="13">
        <f t="shared" si="11"/>
        <v>0</v>
      </c>
      <c r="M38" s="13">
        <f t="shared" si="11"/>
        <v>0</v>
      </c>
      <c r="N38" s="13">
        <f t="shared" si="11"/>
        <v>0</v>
      </c>
      <c r="O38" s="12"/>
      <c r="P38" s="14"/>
      <c r="Q38" s="15"/>
    </row>
    <row r="39" spans="1:17" ht="60.75" x14ac:dyDescent="0.25">
      <c r="A39" s="16" t="s">
        <v>103</v>
      </c>
      <c r="B39" s="17" t="s">
        <v>104</v>
      </c>
      <c r="C39" s="18"/>
      <c r="D39" s="18"/>
      <c r="E39" s="19">
        <f t="shared" si="11"/>
        <v>0</v>
      </c>
      <c r="F39" s="19">
        <f t="shared" si="11"/>
        <v>0</v>
      </c>
      <c r="G39" s="19">
        <f t="shared" si="11"/>
        <v>0</v>
      </c>
      <c r="H39" s="19">
        <f t="shared" si="11"/>
        <v>0</v>
      </c>
      <c r="I39" s="19">
        <f t="shared" si="11"/>
        <v>0</v>
      </c>
      <c r="J39" s="19">
        <f t="shared" si="11"/>
        <v>0</v>
      </c>
      <c r="K39" s="19">
        <f t="shared" si="11"/>
        <v>0</v>
      </c>
      <c r="L39" s="19">
        <f t="shared" si="11"/>
        <v>0</v>
      </c>
      <c r="M39" s="19">
        <f t="shared" si="11"/>
        <v>0</v>
      </c>
      <c r="N39" s="19">
        <f t="shared" si="11"/>
        <v>0</v>
      </c>
      <c r="O39" s="18"/>
      <c r="P39" s="20"/>
      <c r="Q39" s="21"/>
    </row>
    <row r="40" spans="1:17" ht="40.5" x14ac:dyDescent="0.25">
      <c r="A40" s="22" t="s">
        <v>105</v>
      </c>
      <c r="B40" s="23" t="s">
        <v>106</v>
      </c>
      <c r="C40" s="24" t="s">
        <v>29</v>
      </c>
      <c r="D40" s="24" t="s">
        <v>22</v>
      </c>
      <c r="E40" s="25">
        <f t="shared" si="11"/>
        <v>0</v>
      </c>
      <c r="F40" s="25">
        <f t="shared" si="11"/>
        <v>0</v>
      </c>
      <c r="G40" s="25">
        <f t="shared" si="11"/>
        <v>0</v>
      </c>
      <c r="H40" s="25">
        <f t="shared" si="11"/>
        <v>0</v>
      </c>
      <c r="I40" s="25">
        <f t="shared" si="11"/>
        <v>0</v>
      </c>
      <c r="J40" s="25">
        <f t="shared" si="11"/>
        <v>0</v>
      </c>
      <c r="K40" s="25">
        <f t="shared" si="11"/>
        <v>0</v>
      </c>
      <c r="L40" s="25">
        <f t="shared" si="11"/>
        <v>0</v>
      </c>
      <c r="M40" s="25">
        <f t="shared" si="11"/>
        <v>0</v>
      </c>
      <c r="N40" s="25">
        <f t="shared" si="11"/>
        <v>0</v>
      </c>
      <c r="O40" s="24" t="s">
        <v>107</v>
      </c>
      <c r="P40" s="26" t="s">
        <v>31</v>
      </c>
      <c r="Q40" s="27" t="s">
        <v>44</v>
      </c>
    </row>
    <row r="41" spans="1:17" ht="40.5" x14ac:dyDescent="0.25">
      <c r="A41" s="22" t="s">
        <v>108</v>
      </c>
      <c r="B41" s="23" t="s">
        <v>109</v>
      </c>
      <c r="C41" s="24"/>
      <c r="D41" s="24"/>
      <c r="E41" s="28">
        <v>0</v>
      </c>
      <c r="F41" s="28">
        <v>0</v>
      </c>
      <c r="G41" s="28">
        <v>0</v>
      </c>
      <c r="H41" s="28">
        <v>0</v>
      </c>
      <c r="I41" s="28">
        <v>0</v>
      </c>
      <c r="J41" s="28">
        <v>0</v>
      </c>
      <c r="K41" s="28">
        <v>0</v>
      </c>
      <c r="L41" s="28">
        <v>0</v>
      </c>
      <c r="M41" s="28">
        <v>0</v>
      </c>
      <c r="N41" s="28">
        <v>0</v>
      </c>
      <c r="O41" s="24"/>
      <c r="P41" s="26"/>
      <c r="Q41" s="27"/>
    </row>
    <row r="42" spans="1:17" ht="40.5" x14ac:dyDescent="0.25">
      <c r="A42" s="10" t="s">
        <v>110</v>
      </c>
      <c r="B42" s="11" t="s">
        <v>111</v>
      </c>
      <c r="C42" s="12"/>
      <c r="D42" s="12"/>
      <c r="E42" s="13">
        <f t="shared" ref="E42:N42" si="12">SUM(E43:E43)</f>
        <v>0</v>
      </c>
      <c r="F42" s="13">
        <f t="shared" si="12"/>
        <v>0</v>
      </c>
      <c r="G42" s="13">
        <f t="shared" si="12"/>
        <v>0</v>
      </c>
      <c r="H42" s="13">
        <f t="shared" si="12"/>
        <v>0</v>
      </c>
      <c r="I42" s="13">
        <f t="shared" si="12"/>
        <v>0</v>
      </c>
      <c r="J42" s="13">
        <f t="shared" si="12"/>
        <v>0</v>
      </c>
      <c r="K42" s="13">
        <f t="shared" si="12"/>
        <v>0</v>
      </c>
      <c r="L42" s="13">
        <f t="shared" si="12"/>
        <v>0</v>
      </c>
      <c r="M42" s="13">
        <f t="shared" si="12"/>
        <v>0</v>
      </c>
      <c r="N42" s="13">
        <f t="shared" si="12"/>
        <v>0</v>
      </c>
      <c r="O42" s="12"/>
      <c r="P42" s="14"/>
      <c r="Q42" s="15"/>
    </row>
    <row r="43" spans="1:17" ht="40.5" x14ac:dyDescent="0.25">
      <c r="A43" s="16" t="s">
        <v>112</v>
      </c>
      <c r="B43" s="17" t="s">
        <v>113</v>
      </c>
      <c r="C43" s="18"/>
      <c r="D43" s="18"/>
      <c r="E43" s="19">
        <f t="shared" ref="E43:N43" si="13">E44+E46</f>
        <v>0</v>
      </c>
      <c r="F43" s="19">
        <f t="shared" si="13"/>
        <v>0</v>
      </c>
      <c r="G43" s="19">
        <f t="shared" si="13"/>
        <v>0</v>
      </c>
      <c r="H43" s="19">
        <f t="shared" si="13"/>
        <v>0</v>
      </c>
      <c r="I43" s="19">
        <f t="shared" si="13"/>
        <v>0</v>
      </c>
      <c r="J43" s="19">
        <f t="shared" si="13"/>
        <v>0</v>
      </c>
      <c r="K43" s="19">
        <f t="shared" si="13"/>
        <v>0</v>
      </c>
      <c r="L43" s="19">
        <f t="shared" si="13"/>
        <v>0</v>
      </c>
      <c r="M43" s="19">
        <f t="shared" si="13"/>
        <v>0</v>
      </c>
      <c r="N43" s="19">
        <f t="shared" si="13"/>
        <v>0</v>
      </c>
      <c r="O43" s="18"/>
      <c r="P43" s="20"/>
      <c r="Q43" s="21"/>
    </row>
    <row r="44" spans="1:17" ht="40.5" x14ac:dyDescent="0.25">
      <c r="A44" s="22" t="s">
        <v>114</v>
      </c>
      <c r="B44" s="23" t="s">
        <v>115</v>
      </c>
      <c r="C44" s="24" t="s">
        <v>29</v>
      </c>
      <c r="D44" s="24" t="s">
        <v>22</v>
      </c>
      <c r="E44" s="25">
        <f t="shared" ref="E44:N44" si="14">SUM(E45:E45)</f>
        <v>0</v>
      </c>
      <c r="F44" s="25">
        <f t="shared" si="14"/>
        <v>0</v>
      </c>
      <c r="G44" s="25">
        <f t="shared" si="14"/>
        <v>0</v>
      </c>
      <c r="H44" s="25">
        <f t="shared" si="14"/>
        <v>0</v>
      </c>
      <c r="I44" s="25">
        <f t="shared" si="14"/>
        <v>0</v>
      </c>
      <c r="J44" s="25">
        <f t="shared" si="14"/>
        <v>0</v>
      </c>
      <c r="K44" s="25">
        <f t="shared" si="14"/>
        <v>0</v>
      </c>
      <c r="L44" s="25">
        <f t="shared" si="14"/>
        <v>0</v>
      </c>
      <c r="M44" s="25">
        <f t="shared" si="14"/>
        <v>0</v>
      </c>
      <c r="N44" s="25">
        <f t="shared" si="14"/>
        <v>0</v>
      </c>
      <c r="O44" s="24" t="s">
        <v>116</v>
      </c>
      <c r="P44" s="26" t="s">
        <v>31</v>
      </c>
      <c r="Q44" s="27" t="s">
        <v>117</v>
      </c>
    </row>
    <row r="45" spans="1:17" ht="40.5" x14ac:dyDescent="0.25">
      <c r="A45" s="22" t="s">
        <v>118</v>
      </c>
      <c r="B45" s="23" t="s">
        <v>119</v>
      </c>
      <c r="C45" s="24"/>
      <c r="D45" s="24"/>
      <c r="E45" s="28">
        <v>0</v>
      </c>
      <c r="F45" s="28">
        <v>0</v>
      </c>
      <c r="G45" s="28">
        <v>0</v>
      </c>
      <c r="H45" s="28">
        <v>0</v>
      </c>
      <c r="I45" s="28">
        <v>0</v>
      </c>
      <c r="J45" s="28">
        <v>0</v>
      </c>
      <c r="K45" s="28">
        <v>0</v>
      </c>
      <c r="L45" s="28">
        <v>0</v>
      </c>
      <c r="M45" s="28">
        <v>0</v>
      </c>
      <c r="N45" s="28">
        <v>0</v>
      </c>
      <c r="O45" s="24"/>
      <c r="P45" s="26"/>
      <c r="Q45" s="27"/>
    </row>
    <row r="46" spans="1:17" ht="60.75" x14ac:dyDescent="0.25">
      <c r="A46" s="22" t="s">
        <v>120</v>
      </c>
      <c r="B46" s="23" t="s">
        <v>121</v>
      </c>
      <c r="C46" s="24" t="s">
        <v>29</v>
      </c>
      <c r="D46" s="24" t="s">
        <v>22</v>
      </c>
      <c r="E46" s="25">
        <f t="shared" ref="E46:N46" si="15">SUM(E47:E47)</f>
        <v>0</v>
      </c>
      <c r="F46" s="25">
        <f t="shared" si="15"/>
        <v>0</v>
      </c>
      <c r="G46" s="25">
        <f t="shared" si="15"/>
        <v>0</v>
      </c>
      <c r="H46" s="25">
        <f t="shared" si="15"/>
        <v>0</v>
      </c>
      <c r="I46" s="25">
        <f t="shared" si="15"/>
        <v>0</v>
      </c>
      <c r="J46" s="25">
        <f t="shared" si="15"/>
        <v>0</v>
      </c>
      <c r="K46" s="25">
        <f t="shared" si="15"/>
        <v>0</v>
      </c>
      <c r="L46" s="25">
        <f t="shared" si="15"/>
        <v>0</v>
      </c>
      <c r="M46" s="25">
        <f t="shared" si="15"/>
        <v>0</v>
      </c>
      <c r="N46" s="25">
        <f t="shared" si="15"/>
        <v>0</v>
      </c>
      <c r="O46" s="24" t="s">
        <v>122</v>
      </c>
      <c r="P46" s="26" t="s">
        <v>31</v>
      </c>
      <c r="Q46" s="27" t="s">
        <v>123</v>
      </c>
    </row>
    <row r="47" spans="1:17" ht="60.75" x14ac:dyDescent="0.25">
      <c r="A47" s="22" t="s">
        <v>124</v>
      </c>
      <c r="B47" s="23" t="s">
        <v>125</v>
      </c>
      <c r="C47" s="24"/>
      <c r="D47" s="24"/>
      <c r="E47" s="28">
        <v>0</v>
      </c>
      <c r="F47" s="28">
        <v>0</v>
      </c>
      <c r="G47" s="28">
        <v>0</v>
      </c>
      <c r="H47" s="28">
        <v>0</v>
      </c>
      <c r="I47" s="28">
        <v>0</v>
      </c>
      <c r="J47" s="28">
        <v>0</v>
      </c>
      <c r="K47" s="28">
        <v>0</v>
      </c>
      <c r="L47" s="28">
        <v>0</v>
      </c>
      <c r="M47" s="28">
        <v>0</v>
      </c>
      <c r="N47" s="28">
        <v>0</v>
      </c>
      <c r="O47" s="24"/>
      <c r="P47" s="26"/>
      <c r="Q47" s="27"/>
    </row>
    <row r="48" spans="1:17" ht="40.5" x14ac:dyDescent="0.25">
      <c r="A48" s="10" t="s">
        <v>126</v>
      </c>
      <c r="B48" s="11" t="s">
        <v>127</v>
      </c>
      <c r="C48" s="12"/>
      <c r="D48" s="12"/>
      <c r="E48" s="13">
        <f t="shared" ref="E48:N48" si="16">SUM(E49:E49)</f>
        <v>29119</v>
      </c>
      <c r="F48" s="13">
        <f t="shared" si="16"/>
        <v>25857</v>
      </c>
      <c r="G48" s="13">
        <f t="shared" si="16"/>
        <v>0</v>
      </c>
      <c r="H48" s="13">
        <f t="shared" si="16"/>
        <v>0</v>
      </c>
      <c r="I48" s="13">
        <f t="shared" si="16"/>
        <v>0</v>
      </c>
      <c r="J48" s="13">
        <f t="shared" si="16"/>
        <v>0</v>
      </c>
      <c r="K48" s="13">
        <f t="shared" si="16"/>
        <v>0</v>
      </c>
      <c r="L48" s="13">
        <f t="shared" si="16"/>
        <v>3262</v>
      </c>
      <c r="M48" s="13">
        <f t="shared" si="16"/>
        <v>0</v>
      </c>
      <c r="N48" s="13">
        <f t="shared" si="16"/>
        <v>0</v>
      </c>
      <c r="O48" s="12"/>
      <c r="P48" s="14"/>
      <c r="Q48" s="15"/>
    </row>
    <row r="49" spans="1:17" ht="40.5" x14ac:dyDescent="0.25">
      <c r="A49" s="16" t="s">
        <v>128</v>
      </c>
      <c r="B49" s="17" t="s">
        <v>129</v>
      </c>
      <c r="C49" s="18"/>
      <c r="D49" s="18"/>
      <c r="E49" s="19">
        <f t="shared" ref="E49:N49" si="17">E50+E52</f>
        <v>29119</v>
      </c>
      <c r="F49" s="19">
        <f t="shared" si="17"/>
        <v>25857</v>
      </c>
      <c r="G49" s="19">
        <f t="shared" si="17"/>
        <v>0</v>
      </c>
      <c r="H49" s="19">
        <f t="shared" si="17"/>
        <v>0</v>
      </c>
      <c r="I49" s="19">
        <f t="shared" si="17"/>
        <v>0</v>
      </c>
      <c r="J49" s="19">
        <f t="shared" si="17"/>
        <v>0</v>
      </c>
      <c r="K49" s="19">
        <f t="shared" si="17"/>
        <v>0</v>
      </c>
      <c r="L49" s="19">
        <f t="shared" si="17"/>
        <v>3262</v>
      </c>
      <c r="M49" s="19">
        <f t="shared" si="17"/>
        <v>0</v>
      </c>
      <c r="N49" s="19">
        <f t="shared" si="17"/>
        <v>0</v>
      </c>
      <c r="O49" s="18"/>
      <c r="P49" s="20"/>
      <c r="Q49" s="21"/>
    </row>
    <row r="50" spans="1:17" ht="40.5" x14ac:dyDescent="0.25">
      <c r="A50" s="22" t="s">
        <v>130</v>
      </c>
      <c r="B50" s="23" t="s">
        <v>131</v>
      </c>
      <c r="C50" s="24" t="s">
        <v>29</v>
      </c>
      <c r="D50" s="24" t="s">
        <v>22</v>
      </c>
      <c r="E50" s="25">
        <f>SUM(E51:E51)+25000</f>
        <v>25000</v>
      </c>
      <c r="F50" s="25">
        <f>SUM(F51:F51)+25000</f>
        <v>25000</v>
      </c>
      <c r="G50" s="25">
        <f t="shared" ref="G50:N50" si="18">SUM(G51:G51)</f>
        <v>0</v>
      </c>
      <c r="H50" s="25">
        <f t="shared" si="18"/>
        <v>0</v>
      </c>
      <c r="I50" s="25">
        <f t="shared" si="18"/>
        <v>0</v>
      </c>
      <c r="J50" s="25">
        <f t="shared" si="18"/>
        <v>0</v>
      </c>
      <c r="K50" s="25">
        <f t="shared" si="18"/>
        <v>0</v>
      </c>
      <c r="L50" s="25">
        <f t="shared" si="18"/>
        <v>0</v>
      </c>
      <c r="M50" s="25">
        <f t="shared" si="18"/>
        <v>0</v>
      </c>
      <c r="N50" s="25">
        <f t="shared" si="18"/>
        <v>0</v>
      </c>
      <c r="O50" s="24" t="s">
        <v>132</v>
      </c>
      <c r="P50" s="26" t="s">
        <v>31</v>
      </c>
      <c r="Q50" s="27" t="s">
        <v>133</v>
      </c>
    </row>
    <row r="51" spans="1:17" ht="40.5" x14ac:dyDescent="0.25">
      <c r="A51" s="22" t="s">
        <v>134</v>
      </c>
      <c r="B51" s="23" t="s">
        <v>135</v>
      </c>
      <c r="C51" s="24"/>
      <c r="D51" s="24"/>
      <c r="E51" s="28">
        <v>0</v>
      </c>
      <c r="F51" s="28">
        <v>0</v>
      </c>
      <c r="G51" s="28">
        <v>0</v>
      </c>
      <c r="H51" s="28">
        <v>0</v>
      </c>
      <c r="I51" s="28">
        <v>0</v>
      </c>
      <c r="J51" s="28">
        <v>0</v>
      </c>
      <c r="K51" s="28">
        <v>0</v>
      </c>
      <c r="L51" s="28">
        <v>0</v>
      </c>
      <c r="M51" s="28">
        <v>0</v>
      </c>
      <c r="N51" s="28">
        <v>0</v>
      </c>
      <c r="O51" s="24"/>
      <c r="P51" s="26"/>
      <c r="Q51" s="27"/>
    </row>
    <row r="52" spans="1:17" ht="60.75" x14ac:dyDescent="0.25">
      <c r="A52" s="22" t="s">
        <v>136</v>
      </c>
      <c r="B52" s="23" t="s">
        <v>137</v>
      </c>
      <c r="C52" s="24" t="s">
        <v>29</v>
      </c>
      <c r="D52" s="24" t="s">
        <v>22</v>
      </c>
      <c r="E52" s="25">
        <f>SUM(E53:E53)+4119</f>
        <v>4119</v>
      </c>
      <c r="F52" s="25">
        <f>SUM(F53:F53)+857</f>
        <v>857</v>
      </c>
      <c r="G52" s="25">
        <f>SUM(G53:G53)</f>
        <v>0</v>
      </c>
      <c r="H52" s="25">
        <f>SUM(H53:H53)</f>
        <v>0</v>
      </c>
      <c r="I52" s="25">
        <f>SUM(I53:I53)</f>
        <v>0</v>
      </c>
      <c r="J52" s="25">
        <f>SUM(J53:J53)</f>
        <v>0</v>
      </c>
      <c r="K52" s="25">
        <f>SUM(K53:K53)</f>
        <v>0</v>
      </c>
      <c r="L52" s="25">
        <f>SUM(L53:L53)+3262</f>
        <v>3262</v>
      </c>
      <c r="M52" s="25">
        <f>SUM(M53:M53)</f>
        <v>0</v>
      </c>
      <c r="N52" s="25">
        <f>SUM(N53:N53)</f>
        <v>0</v>
      </c>
      <c r="O52" s="24" t="s">
        <v>138</v>
      </c>
      <c r="P52" s="26" t="s">
        <v>31</v>
      </c>
      <c r="Q52" s="27" t="s">
        <v>38</v>
      </c>
    </row>
    <row r="53" spans="1:17" ht="40.5" x14ac:dyDescent="0.25">
      <c r="A53" s="22" t="s">
        <v>139</v>
      </c>
      <c r="B53" s="23" t="s">
        <v>140</v>
      </c>
      <c r="C53" s="24"/>
      <c r="D53" s="24"/>
      <c r="E53" s="28">
        <v>0</v>
      </c>
      <c r="F53" s="28">
        <v>0</v>
      </c>
      <c r="G53" s="28">
        <v>0</v>
      </c>
      <c r="H53" s="28">
        <v>0</v>
      </c>
      <c r="I53" s="28">
        <v>0</v>
      </c>
      <c r="J53" s="28">
        <v>0</v>
      </c>
      <c r="K53" s="28">
        <v>0</v>
      </c>
      <c r="L53" s="28">
        <v>0</v>
      </c>
      <c r="M53" s="28">
        <v>0</v>
      </c>
      <c r="N53" s="28">
        <v>0</v>
      </c>
      <c r="O53" s="24"/>
      <c r="P53" s="26"/>
      <c r="Q53" s="27"/>
    </row>
    <row r="54" spans="1:17" ht="40.5" x14ac:dyDescent="0.25">
      <c r="A54" s="10" t="s">
        <v>141</v>
      </c>
      <c r="B54" s="11" t="s">
        <v>142</v>
      </c>
      <c r="C54" s="12" t="s">
        <v>143</v>
      </c>
      <c r="D54" s="12" t="s">
        <v>144</v>
      </c>
      <c r="E54" s="13">
        <f t="shared" ref="E54:N55" si="19">SUM(E55:E55)</f>
        <v>17230</v>
      </c>
      <c r="F54" s="13">
        <f t="shared" si="19"/>
        <v>17230</v>
      </c>
      <c r="G54" s="13">
        <f t="shared" si="19"/>
        <v>0</v>
      </c>
      <c r="H54" s="13">
        <f t="shared" si="19"/>
        <v>0</v>
      </c>
      <c r="I54" s="13">
        <f t="shared" si="19"/>
        <v>0</v>
      </c>
      <c r="J54" s="13">
        <f t="shared" si="19"/>
        <v>0</v>
      </c>
      <c r="K54" s="13">
        <f t="shared" si="19"/>
        <v>0</v>
      </c>
      <c r="L54" s="13">
        <f t="shared" si="19"/>
        <v>0</v>
      </c>
      <c r="M54" s="13">
        <f t="shared" si="19"/>
        <v>0</v>
      </c>
      <c r="N54" s="13">
        <f t="shared" si="19"/>
        <v>0</v>
      </c>
      <c r="O54" s="12"/>
      <c r="P54" s="14"/>
      <c r="Q54" s="15"/>
    </row>
    <row r="55" spans="1:17" ht="40.5" x14ac:dyDescent="0.25">
      <c r="A55" s="16" t="s">
        <v>145</v>
      </c>
      <c r="B55" s="17" t="s">
        <v>146</v>
      </c>
      <c r="C55" s="18" t="s">
        <v>143</v>
      </c>
      <c r="D55" s="18" t="s">
        <v>144</v>
      </c>
      <c r="E55" s="19">
        <f t="shared" si="19"/>
        <v>17230</v>
      </c>
      <c r="F55" s="19">
        <f t="shared" si="19"/>
        <v>17230</v>
      </c>
      <c r="G55" s="19">
        <f t="shared" si="19"/>
        <v>0</v>
      </c>
      <c r="H55" s="19">
        <f t="shared" si="19"/>
        <v>0</v>
      </c>
      <c r="I55" s="19">
        <f t="shared" si="19"/>
        <v>0</v>
      </c>
      <c r="J55" s="19">
        <f t="shared" si="19"/>
        <v>0</v>
      </c>
      <c r="K55" s="19">
        <f t="shared" si="19"/>
        <v>0</v>
      </c>
      <c r="L55" s="19">
        <f t="shared" si="19"/>
        <v>0</v>
      </c>
      <c r="M55" s="19">
        <f t="shared" si="19"/>
        <v>0</v>
      </c>
      <c r="N55" s="19">
        <f t="shared" si="19"/>
        <v>0</v>
      </c>
      <c r="O55" s="18"/>
      <c r="P55" s="20"/>
      <c r="Q55" s="21"/>
    </row>
    <row r="56" spans="1:17" ht="40.5" x14ac:dyDescent="0.25">
      <c r="A56" s="22" t="s">
        <v>147</v>
      </c>
      <c r="B56" s="23" t="s">
        <v>148</v>
      </c>
      <c r="C56" s="24" t="s">
        <v>143</v>
      </c>
      <c r="D56" s="24" t="s">
        <v>144</v>
      </c>
      <c r="E56" s="25">
        <f>SUM(E57:E65)+17230</f>
        <v>17230</v>
      </c>
      <c r="F56" s="25">
        <f>SUM(F57:F65)+17230</f>
        <v>17230</v>
      </c>
      <c r="G56" s="25">
        <f t="shared" ref="G56:N56" si="20">SUM(G57:G65)</f>
        <v>0</v>
      </c>
      <c r="H56" s="25">
        <f t="shared" si="20"/>
        <v>0</v>
      </c>
      <c r="I56" s="25">
        <f t="shared" si="20"/>
        <v>0</v>
      </c>
      <c r="J56" s="25">
        <f t="shared" si="20"/>
        <v>0</v>
      </c>
      <c r="K56" s="25">
        <f t="shared" si="20"/>
        <v>0</v>
      </c>
      <c r="L56" s="25">
        <f t="shared" si="20"/>
        <v>0</v>
      </c>
      <c r="M56" s="25">
        <f t="shared" si="20"/>
        <v>0</v>
      </c>
      <c r="N56" s="25">
        <f t="shared" si="20"/>
        <v>0</v>
      </c>
      <c r="O56" s="24" t="s">
        <v>149</v>
      </c>
      <c r="P56" s="26" t="s">
        <v>31</v>
      </c>
      <c r="Q56" s="27" t="s">
        <v>70</v>
      </c>
    </row>
    <row r="57" spans="1:17" ht="40.5" x14ac:dyDescent="0.25">
      <c r="A57" s="29"/>
      <c r="B57" s="30"/>
      <c r="C57" s="31"/>
      <c r="D57" s="31"/>
      <c r="E57" s="32">
        <v>0</v>
      </c>
      <c r="F57" s="32">
        <v>0</v>
      </c>
      <c r="G57" s="32">
        <v>0</v>
      </c>
      <c r="H57" s="32">
        <v>0</v>
      </c>
      <c r="I57" s="32">
        <v>0</v>
      </c>
      <c r="J57" s="32">
        <v>0</v>
      </c>
      <c r="K57" s="32">
        <v>0</v>
      </c>
      <c r="L57" s="32">
        <v>0</v>
      </c>
      <c r="M57" s="32">
        <v>0</v>
      </c>
      <c r="N57" s="32">
        <v>0</v>
      </c>
      <c r="O57" s="31" t="s">
        <v>150</v>
      </c>
      <c r="P57" s="33" t="s">
        <v>31</v>
      </c>
      <c r="Q57" s="34" t="s">
        <v>44</v>
      </c>
    </row>
    <row r="58" spans="1:17" x14ac:dyDescent="0.25">
      <c r="A58" s="29"/>
      <c r="B58" s="30"/>
      <c r="C58" s="31"/>
      <c r="D58" s="31"/>
      <c r="E58" s="32">
        <v>0</v>
      </c>
      <c r="F58" s="32">
        <v>0</v>
      </c>
      <c r="G58" s="32">
        <v>0</v>
      </c>
      <c r="H58" s="32">
        <v>0</v>
      </c>
      <c r="I58" s="32">
        <v>0</v>
      </c>
      <c r="J58" s="32">
        <v>0</v>
      </c>
      <c r="K58" s="32">
        <v>0</v>
      </c>
      <c r="L58" s="32">
        <v>0</v>
      </c>
      <c r="M58" s="32">
        <v>0</v>
      </c>
      <c r="N58" s="32">
        <v>0</v>
      </c>
      <c r="O58" s="31" t="s">
        <v>151</v>
      </c>
      <c r="P58" s="33" t="s">
        <v>31</v>
      </c>
      <c r="Q58" s="34" t="s">
        <v>117</v>
      </c>
    </row>
    <row r="59" spans="1:17" ht="60.75" x14ac:dyDescent="0.25">
      <c r="A59" s="29"/>
      <c r="B59" s="30"/>
      <c r="C59" s="31"/>
      <c r="D59" s="31"/>
      <c r="E59" s="32">
        <v>0</v>
      </c>
      <c r="F59" s="32">
        <v>0</v>
      </c>
      <c r="G59" s="32">
        <v>0</v>
      </c>
      <c r="H59" s="32">
        <v>0</v>
      </c>
      <c r="I59" s="32">
        <v>0</v>
      </c>
      <c r="J59" s="32">
        <v>0</v>
      </c>
      <c r="K59" s="32">
        <v>0</v>
      </c>
      <c r="L59" s="32">
        <v>0</v>
      </c>
      <c r="M59" s="32">
        <v>0</v>
      </c>
      <c r="N59" s="32">
        <v>0</v>
      </c>
      <c r="O59" s="31" t="s">
        <v>152</v>
      </c>
      <c r="P59" s="33" t="s">
        <v>31</v>
      </c>
      <c r="Q59" s="34" t="s">
        <v>92</v>
      </c>
    </row>
    <row r="60" spans="1:17" ht="40.5" x14ac:dyDescent="0.25">
      <c r="A60" s="29"/>
      <c r="B60" s="30"/>
      <c r="C60" s="31"/>
      <c r="D60" s="31"/>
      <c r="E60" s="32">
        <v>0</v>
      </c>
      <c r="F60" s="32">
        <v>0</v>
      </c>
      <c r="G60" s="32">
        <v>0</v>
      </c>
      <c r="H60" s="32">
        <v>0</v>
      </c>
      <c r="I60" s="32">
        <v>0</v>
      </c>
      <c r="J60" s="32">
        <v>0</v>
      </c>
      <c r="K60" s="32">
        <v>0</v>
      </c>
      <c r="L60" s="32">
        <v>0</v>
      </c>
      <c r="M60" s="32">
        <v>0</v>
      </c>
      <c r="N60" s="32">
        <v>0</v>
      </c>
      <c r="O60" s="31" t="s">
        <v>153</v>
      </c>
      <c r="P60" s="33" t="s">
        <v>31</v>
      </c>
      <c r="Q60" s="34" t="s">
        <v>92</v>
      </c>
    </row>
    <row r="61" spans="1:17" ht="40.5" x14ac:dyDescent="0.25">
      <c r="A61" s="29"/>
      <c r="B61" s="30"/>
      <c r="C61" s="31"/>
      <c r="D61" s="31"/>
      <c r="E61" s="32">
        <v>0</v>
      </c>
      <c r="F61" s="32">
        <v>0</v>
      </c>
      <c r="G61" s="32">
        <v>0</v>
      </c>
      <c r="H61" s="32">
        <v>0</v>
      </c>
      <c r="I61" s="32">
        <v>0</v>
      </c>
      <c r="J61" s="32">
        <v>0</v>
      </c>
      <c r="K61" s="32">
        <v>0</v>
      </c>
      <c r="L61" s="32">
        <v>0</v>
      </c>
      <c r="M61" s="32">
        <v>0</v>
      </c>
      <c r="N61" s="32">
        <v>0</v>
      </c>
      <c r="O61" s="31" t="s">
        <v>154</v>
      </c>
      <c r="P61" s="33" t="s">
        <v>31</v>
      </c>
      <c r="Q61" s="34" t="s">
        <v>92</v>
      </c>
    </row>
    <row r="62" spans="1:17" ht="40.5" x14ac:dyDescent="0.25">
      <c r="A62" s="29"/>
      <c r="B62" s="30"/>
      <c r="C62" s="31"/>
      <c r="D62" s="31"/>
      <c r="E62" s="32">
        <v>0</v>
      </c>
      <c r="F62" s="32">
        <v>0</v>
      </c>
      <c r="G62" s="32">
        <v>0</v>
      </c>
      <c r="H62" s="32">
        <v>0</v>
      </c>
      <c r="I62" s="32">
        <v>0</v>
      </c>
      <c r="J62" s="32">
        <v>0</v>
      </c>
      <c r="K62" s="32">
        <v>0</v>
      </c>
      <c r="L62" s="32">
        <v>0</v>
      </c>
      <c r="M62" s="32">
        <v>0</v>
      </c>
      <c r="N62" s="32">
        <v>0</v>
      </c>
      <c r="O62" s="31" t="s">
        <v>155</v>
      </c>
      <c r="P62" s="33" t="s">
        <v>31</v>
      </c>
      <c r="Q62" s="34" t="s">
        <v>74</v>
      </c>
    </row>
    <row r="63" spans="1:17" ht="101.25" x14ac:dyDescent="0.25">
      <c r="A63" s="22" t="s">
        <v>156</v>
      </c>
      <c r="B63" s="23" t="s">
        <v>157</v>
      </c>
      <c r="C63" s="24"/>
      <c r="D63" s="24"/>
      <c r="E63" s="28">
        <v>0</v>
      </c>
      <c r="F63" s="28">
        <v>0</v>
      </c>
      <c r="G63" s="28">
        <v>0</v>
      </c>
      <c r="H63" s="28">
        <v>0</v>
      </c>
      <c r="I63" s="28">
        <v>0</v>
      </c>
      <c r="J63" s="28">
        <v>0</v>
      </c>
      <c r="K63" s="28">
        <v>0</v>
      </c>
      <c r="L63" s="28">
        <v>0</v>
      </c>
      <c r="M63" s="28">
        <v>0</v>
      </c>
      <c r="N63" s="28">
        <v>0</v>
      </c>
      <c r="O63" s="24"/>
      <c r="P63" s="26"/>
      <c r="Q63" s="27"/>
    </row>
    <row r="64" spans="1:17" ht="101.25" x14ac:dyDescent="0.25">
      <c r="A64" s="22" t="s">
        <v>158</v>
      </c>
      <c r="B64" s="23" t="s">
        <v>159</v>
      </c>
      <c r="C64" s="24"/>
      <c r="D64" s="24"/>
      <c r="E64" s="28">
        <v>0</v>
      </c>
      <c r="F64" s="28">
        <v>0</v>
      </c>
      <c r="G64" s="28">
        <v>0</v>
      </c>
      <c r="H64" s="28">
        <v>0</v>
      </c>
      <c r="I64" s="28">
        <v>0</v>
      </c>
      <c r="J64" s="28">
        <v>0</v>
      </c>
      <c r="K64" s="28">
        <v>0</v>
      </c>
      <c r="L64" s="28">
        <v>0</v>
      </c>
      <c r="M64" s="28">
        <v>0</v>
      </c>
      <c r="N64" s="28">
        <v>0</v>
      </c>
      <c r="O64" s="24"/>
      <c r="P64" s="26"/>
      <c r="Q64" s="27"/>
    </row>
    <row r="65" spans="1:17" ht="81" x14ac:dyDescent="0.25">
      <c r="A65" s="22" t="s">
        <v>160</v>
      </c>
      <c r="B65" s="23" t="s">
        <v>161</v>
      </c>
      <c r="C65" s="24"/>
      <c r="D65" s="24"/>
      <c r="E65" s="28">
        <v>0</v>
      </c>
      <c r="F65" s="28">
        <v>0</v>
      </c>
      <c r="G65" s="28">
        <v>0</v>
      </c>
      <c r="H65" s="28">
        <v>0</v>
      </c>
      <c r="I65" s="28">
        <v>0</v>
      </c>
      <c r="J65" s="28">
        <v>0</v>
      </c>
      <c r="K65" s="28">
        <v>0</v>
      </c>
      <c r="L65" s="28">
        <v>0</v>
      </c>
      <c r="M65" s="28">
        <v>0</v>
      </c>
      <c r="N65" s="28">
        <v>0</v>
      </c>
      <c r="O65" s="24"/>
      <c r="P65" s="26"/>
      <c r="Q65" s="27"/>
    </row>
    <row r="66" spans="1:17" ht="60.75" x14ac:dyDescent="0.25">
      <c r="A66" s="10" t="s">
        <v>162</v>
      </c>
      <c r="B66" s="11" t="s">
        <v>163</v>
      </c>
      <c r="C66" s="12" t="s">
        <v>164</v>
      </c>
      <c r="D66" s="12" t="s">
        <v>165</v>
      </c>
      <c r="E66" s="13">
        <f t="shared" ref="E66:N67" si="21">SUM(E67:E67)</f>
        <v>0</v>
      </c>
      <c r="F66" s="13">
        <f t="shared" si="21"/>
        <v>0</v>
      </c>
      <c r="G66" s="13">
        <f t="shared" si="21"/>
        <v>0</v>
      </c>
      <c r="H66" s="13">
        <f t="shared" si="21"/>
        <v>0</v>
      </c>
      <c r="I66" s="13">
        <f t="shared" si="21"/>
        <v>0</v>
      </c>
      <c r="J66" s="13">
        <f t="shared" si="21"/>
        <v>0</v>
      </c>
      <c r="K66" s="13">
        <f t="shared" si="21"/>
        <v>0</v>
      </c>
      <c r="L66" s="13">
        <f t="shared" si="21"/>
        <v>0</v>
      </c>
      <c r="M66" s="13">
        <f t="shared" si="21"/>
        <v>0</v>
      </c>
      <c r="N66" s="13">
        <f t="shared" si="21"/>
        <v>0</v>
      </c>
      <c r="O66" s="12"/>
      <c r="P66" s="14"/>
      <c r="Q66" s="15"/>
    </row>
    <row r="67" spans="1:17" ht="60.75" x14ac:dyDescent="0.25">
      <c r="A67" s="16" t="s">
        <v>166</v>
      </c>
      <c r="B67" s="17" t="s">
        <v>167</v>
      </c>
      <c r="C67" s="18" t="s">
        <v>164</v>
      </c>
      <c r="D67" s="18" t="s">
        <v>165</v>
      </c>
      <c r="E67" s="19">
        <f t="shared" si="21"/>
        <v>0</v>
      </c>
      <c r="F67" s="19">
        <f t="shared" si="21"/>
        <v>0</v>
      </c>
      <c r="G67" s="19">
        <f t="shared" si="21"/>
        <v>0</v>
      </c>
      <c r="H67" s="19">
        <f t="shared" si="21"/>
        <v>0</v>
      </c>
      <c r="I67" s="19">
        <f t="shared" si="21"/>
        <v>0</v>
      </c>
      <c r="J67" s="19">
        <f t="shared" si="21"/>
        <v>0</v>
      </c>
      <c r="K67" s="19">
        <f t="shared" si="21"/>
        <v>0</v>
      </c>
      <c r="L67" s="19">
        <f t="shared" si="21"/>
        <v>0</v>
      </c>
      <c r="M67" s="19">
        <f t="shared" si="21"/>
        <v>0</v>
      </c>
      <c r="N67" s="19">
        <f t="shared" si="21"/>
        <v>0</v>
      </c>
      <c r="O67" s="18"/>
      <c r="P67" s="20"/>
      <c r="Q67" s="21"/>
    </row>
    <row r="68" spans="1:17" ht="60.75" x14ac:dyDescent="0.25">
      <c r="A68" s="22" t="s">
        <v>168</v>
      </c>
      <c r="B68" s="23" t="s">
        <v>169</v>
      </c>
      <c r="C68" s="24" t="s">
        <v>164</v>
      </c>
      <c r="D68" s="24" t="s">
        <v>165</v>
      </c>
      <c r="E68" s="25">
        <f t="shared" ref="E68:N68" si="22">SUM(E69:E71)</f>
        <v>0</v>
      </c>
      <c r="F68" s="25">
        <f t="shared" si="22"/>
        <v>0</v>
      </c>
      <c r="G68" s="25">
        <f t="shared" si="22"/>
        <v>0</v>
      </c>
      <c r="H68" s="25">
        <f t="shared" si="22"/>
        <v>0</v>
      </c>
      <c r="I68" s="25">
        <f t="shared" si="22"/>
        <v>0</v>
      </c>
      <c r="J68" s="25">
        <f t="shared" si="22"/>
        <v>0</v>
      </c>
      <c r="K68" s="25">
        <f t="shared" si="22"/>
        <v>0</v>
      </c>
      <c r="L68" s="25">
        <f t="shared" si="22"/>
        <v>0</v>
      </c>
      <c r="M68" s="25">
        <f t="shared" si="22"/>
        <v>0</v>
      </c>
      <c r="N68" s="25">
        <f t="shared" si="22"/>
        <v>0</v>
      </c>
      <c r="O68" s="24" t="s">
        <v>170</v>
      </c>
      <c r="P68" s="26" t="s">
        <v>31</v>
      </c>
      <c r="Q68" s="27" t="s">
        <v>171</v>
      </c>
    </row>
    <row r="69" spans="1:17" ht="40.5" x14ac:dyDescent="0.25">
      <c r="A69" s="29"/>
      <c r="B69" s="30"/>
      <c r="C69" s="31"/>
      <c r="D69" s="31"/>
      <c r="E69" s="32">
        <v>0</v>
      </c>
      <c r="F69" s="32">
        <v>0</v>
      </c>
      <c r="G69" s="32">
        <v>0</v>
      </c>
      <c r="H69" s="32">
        <v>0</v>
      </c>
      <c r="I69" s="32">
        <v>0</v>
      </c>
      <c r="J69" s="32">
        <v>0</v>
      </c>
      <c r="K69" s="32">
        <v>0</v>
      </c>
      <c r="L69" s="32">
        <v>0</v>
      </c>
      <c r="M69" s="32">
        <v>0</v>
      </c>
      <c r="N69" s="32">
        <v>0</v>
      </c>
      <c r="O69" s="31" t="s">
        <v>172</v>
      </c>
      <c r="P69" s="33" t="s">
        <v>31</v>
      </c>
      <c r="Q69" s="34" t="s">
        <v>92</v>
      </c>
    </row>
    <row r="70" spans="1:17" ht="40.5" x14ac:dyDescent="0.25">
      <c r="A70" s="29"/>
      <c r="B70" s="30"/>
      <c r="C70" s="31"/>
      <c r="D70" s="31"/>
      <c r="E70" s="32">
        <v>0</v>
      </c>
      <c r="F70" s="32">
        <v>0</v>
      </c>
      <c r="G70" s="32">
        <v>0</v>
      </c>
      <c r="H70" s="32">
        <v>0</v>
      </c>
      <c r="I70" s="32">
        <v>0</v>
      </c>
      <c r="J70" s="32">
        <v>0</v>
      </c>
      <c r="K70" s="32">
        <v>0</v>
      </c>
      <c r="L70" s="32">
        <v>0</v>
      </c>
      <c r="M70" s="32">
        <v>0</v>
      </c>
      <c r="N70" s="32">
        <v>0</v>
      </c>
      <c r="O70" s="31" t="s">
        <v>173</v>
      </c>
      <c r="P70" s="33" t="s">
        <v>31</v>
      </c>
      <c r="Q70" s="34" t="s">
        <v>174</v>
      </c>
    </row>
    <row r="71" spans="1:17" ht="60.75" x14ac:dyDescent="0.25">
      <c r="A71" s="22" t="s">
        <v>175</v>
      </c>
      <c r="B71" s="23" t="s">
        <v>176</v>
      </c>
      <c r="C71" s="24"/>
      <c r="D71" s="24"/>
      <c r="E71" s="28">
        <v>0</v>
      </c>
      <c r="F71" s="28">
        <v>0</v>
      </c>
      <c r="G71" s="28">
        <v>0</v>
      </c>
      <c r="H71" s="28">
        <v>0</v>
      </c>
      <c r="I71" s="28">
        <v>0</v>
      </c>
      <c r="J71" s="28">
        <v>0</v>
      </c>
      <c r="K71" s="28">
        <v>0</v>
      </c>
      <c r="L71" s="28">
        <v>0</v>
      </c>
      <c r="M71" s="28">
        <v>0</v>
      </c>
      <c r="N71" s="28">
        <v>0</v>
      </c>
      <c r="O71" s="24"/>
      <c r="P71" s="26"/>
      <c r="Q71" s="27"/>
    </row>
    <row r="72" spans="1:17" ht="40.5" x14ac:dyDescent="0.25">
      <c r="A72" s="4" t="s">
        <v>177</v>
      </c>
      <c r="B72" s="5" t="s">
        <v>178</v>
      </c>
      <c r="C72" s="6" t="s">
        <v>179</v>
      </c>
      <c r="D72" s="6" t="s">
        <v>180</v>
      </c>
      <c r="E72" s="7">
        <f t="shared" ref="E72:N72" si="23">E73+E113+E120+E147+E161+E190+E194+E198+E207+E218+E222+E229+E233</f>
        <v>5305605</v>
      </c>
      <c r="F72" s="7">
        <f t="shared" si="23"/>
        <v>481344</v>
      </c>
      <c r="G72" s="7">
        <f t="shared" si="23"/>
        <v>0</v>
      </c>
      <c r="H72" s="7">
        <f t="shared" si="23"/>
        <v>0</v>
      </c>
      <c r="I72" s="7">
        <f t="shared" si="23"/>
        <v>0</v>
      </c>
      <c r="J72" s="7">
        <f t="shared" si="23"/>
        <v>698538</v>
      </c>
      <c r="K72" s="7">
        <f t="shared" si="23"/>
        <v>3714040</v>
      </c>
      <c r="L72" s="7">
        <f t="shared" si="23"/>
        <v>393097</v>
      </c>
      <c r="M72" s="7">
        <f t="shared" si="23"/>
        <v>0</v>
      </c>
      <c r="N72" s="7">
        <f t="shared" si="23"/>
        <v>18586</v>
      </c>
      <c r="O72" s="6"/>
      <c r="P72" s="8"/>
      <c r="Q72" s="9"/>
    </row>
    <row r="73" spans="1:17" ht="40.5" x14ac:dyDescent="0.25">
      <c r="A73" s="10" t="s">
        <v>181</v>
      </c>
      <c r="B73" s="11" t="s">
        <v>182</v>
      </c>
      <c r="C73" s="12"/>
      <c r="D73" s="12"/>
      <c r="E73" s="13">
        <f t="shared" ref="E73:N73" si="24">E74+E87+E108</f>
        <v>573629</v>
      </c>
      <c r="F73" s="13">
        <f t="shared" si="24"/>
        <v>172458</v>
      </c>
      <c r="G73" s="13">
        <f t="shared" si="24"/>
        <v>0</v>
      </c>
      <c r="H73" s="13">
        <f t="shared" si="24"/>
        <v>0</v>
      </c>
      <c r="I73" s="13">
        <f t="shared" si="24"/>
        <v>0</v>
      </c>
      <c r="J73" s="13">
        <f t="shared" si="24"/>
        <v>50000</v>
      </c>
      <c r="K73" s="13">
        <f t="shared" si="24"/>
        <v>126774</v>
      </c>
      <c r="L73" s="13">
        <f t="shared" si="24"/>
        <v>224397</v>
      </c>
      <c r="M73" s="13">
        <f t="shared" si="24"/>
        <v>0</v>
      </c>
      <c r="N73" s="13">
        <f t="shared" si="24"/>
        <v>0</v>
      </c>
      <c r="O73" s="12"/>
      <c r="P73" s="14"/>
      <c r="Q73" s="15"/>
    </row>
    <row r="74" spans="1:17" ht="101.25" x14ac:dyDescent="0.25">
      <c r="A74" s="16" t="s">
        <v>183</v>
      </c>
      <c r="B74" s="17" t="s">
        <v>184</v>
      </c>
      <c r="C74" s="18"/>
      <c r="D74" s="18"/>
      <c r="E74" s="19">
        <f t="shared" ref="E74:N74" si="25">E75+E77+E79+E82+E85</f>
        <v>228308</v>
      </c>
      <c r="F74" s="19">
        <f t="shared" si="25"/>
        <v>101534</v>
      </c>
      <c r="G74" s="19">
        <f t="shared" si="25"/>
        <v>0</v>
      </c>
      <c r="H74" s="19">
        <f t="shared" si="25"/>
        <v>0</v>
      </c>
      <c r="I74" s="19">
        <f t="shared" si="25"/>
        <v>0</v>
      </c>
      <c r="J74" s="19">
        <f t="shared" si="25"/>
        <v>0</v>
      </c>
      <c r="K74" s="19">
        <f t="shared" si="25"/>
        <v>126774</v>
      </c>
      <c r="L74" s="19">
        <f t="shared" si="25"/>
        <v>0</v>
      </c>
      <c r="M74" s="19">
        <f t="shared" si="25"/>
        <v>0</v>
      </c>
      <c r="N74" s="19">
        <f t="shared" si="25"/>
        <v>0</v>
      </c>
      <c r="O74" s="18"/>
      <c r="P74" s="20"/>
      <c r="Q74" s="21"/>
    </row>
    <row r="75" spans="1:17" ht="40.5" x14ac:dyDescent="0.25">
      <c r="A75" s="22" t="s">
        <v>185</v>
      </c>
      <c r="B75" s="23" t="s">
        <v>186</v>
      </c>
      <c r="C75" s="24" t="s">
        <v>179</v>
      </c>
      <c r="D75" s="24" t="s">
        <v>187</v>
      </c>
      <c r="E75" s="25">
        <f>SUM(E76:E76)+187478</f>
        <v>187478</v>
      </c>
      <c r="F75" s="25">
        <f>SUM(F76:F76)+96134</f>
        <v>96134</v>
      </c>
      <c r="G75" s="25">
        <f>SUM(G76:G76)</f>
        <v>0</v>
      </c>
      <c r="H75" s="25">
        <f>SUM(H76:H76)</f>
        <v>0</v>
      </c>
      <c r="I75" s="25">
        <f>SUM(I76:I76)</f>
        <v>0</v>
      </c>
      <c r="J75" s="25">
        <f>SUM(J76:J76)</f>
        <v>0</v>
      </c>
      <c r="K75" s="25">
        <f>SUM(K76:K76)+91344</f>
        <v>91344</v>
      </c>
      <c r="L75" s="25">
        <f>SUM(L76:L76)</f>
        <v>0</v>
      </c>
      <c r="M75" s="25">
        <f>SUM(M76:M76)</f>
        <v>0</v>
      </c>
      <c r="N75" s="25">
        <f>SUM(N76:N76)</f>
        <v>0</v>
      </c>
      <c r="O75" s="24" t="s">
        <v>188</v>
      </c>
      <c r="P75" s="26" t="s">
        <v>31</v>
      </c>
      <c r="Q75" s="27" t="s">
        <v>38</v>
      </c>
    </row>
    <row r="76" spans="1:17" ht="81" x14ac:dyDescent="0.25">
      <c r="A76" s="22" t="s">
        <v>189</v>
      </c>
      <c r="B76" s="23" t="s">
        <v>190</v>
      </c>
      <c r="C76" s="24"/>
      <c r="D76" s="24"/>
      <c r="E76" s="28">
        <v>0</v>
      </c>
      <c r="F76" s="28">
        <v>0</v>
      </c>
      <c r="G76" s="28">
        <v>0</v>
      </c>
      <c r="H76" s="28">
        <v>0</v>
      </c>
      <c r="I76" s="28">
        <v>0</v>
      </c>
      <c r="J76" s="28">
        <v>0</v>
      </c>
      <c r="K76" s="28">
        <v>0</v>
      </c>
      <c r="L76" s="28">
        <v>0</v>
      </c>
      <c r="M76" s="28">
        <v>0</v>
      </c>
      <c r="N76" s="28">
        <v>0</v>
      </c>
      <c r="O76" s="24"/>
      <c r="P76" s="26"/>
      <c r="Q76" s="27"/>
    </row>
    <row r="77" spans="1:17" ht="40.5" x14ac:dyDescent="0.25">
      <c r="A77" s="22" t="s">
        <v>191</v>
      </c>
      <c r="B77" s="23" t="s">
        <v>192</v>
      </c>
      <c r="C77" s="24" t="s">
        <v>179</v>
      </c>
      <c r="D77" s="24" t="s">
        <v>193</v>
      </c>
      <c r="E77" s="25">
        <f>SUM(E78:E78)+400</f>
        <v>400</v>
      </c>
      <c r="F77" s="25">
        <f>SUM(F78:F78)+400</f>
        <v>400</v>
      </c>
      <c r="G77" s="25">
        <f t="shared" ref="G77:N77" si="26">SUM(G78:G78)</f>
        <v>0</v>
      </c>
      <c r="H77" s="25">
        <f t="shared" si="26"/>
        <v>0</v>
      </c>
      <c r="I77" s="25">
        <f t="shared" si="26"/>
        <v>0</v>
      </c>
      <c r="J77" s="25">
        <f t="shared" si="26"/>
        <v>0</v>
      </c>
      <c r="K77" s="25">
        <f t="shared" si="26"/>
        <v>0</v>
      </c>
      <c r="L77" s="25">
        <f t="shared" si="26"/>
        <v>0</v>
      </c>
      <c r="M77" s="25">
        <f t="shared" si="26"/>
        <v>0</v>
      </c>
      <c r="N77" s="25">
        <f t="shared" si="26"/>
        <v>0</v>
      </c>
      <c r="O77" s="24" t="s">
        <v>194</v>
      </c>
      <c r="P77" s="26" t="s">
        <v>31</v>
      </c>
      <c r="Q77" s="27" t="s">
        <v>38</v>
      </c>
    </row>
    <row r="78" spans="1:17" ht="60.75" x14ac:dyDescent="0.25">
      <c r="A78" s="22" t="s">
        <v>195</v>
      </c>
      <c r="B78" s="23" t="s">
        <v>196</v>
      </c>
      <c r="C78" s="24"/>
      <c r="D78" s="24"/>
      <c r="E78" s="28">
        <v>0</v>
      </c>
      <c r="F78" s="28">
        <v>0</v>
      </c>
      <c r="G78" s="28">
        <v>0</v>
      </c>
      <c r="H78" s="28">
        <v>0</v>
      </c>
      <c r="I78" s="28">
        <v>0</v>
      </c>
      <c r="J78" s="28">
        <v>0</v>
      </c>
      <c r="K78" s="28">
        <v>0</v>
      </c>
      <c r="L78" s="28">
        <v>0</v>
      </c>
      <c r="M78" s="28">
        <v>0</v>
      </c>
      <c r="N78" s="28">
        <v>0</v>
      </c>
      <c r="O78" s="24"/>
      <c r="P78" s="26"/>
      <c r="Q78" s="27"/>
    </row>
    <row r="79" spans="1:17" ht="60.75" x14ac:dyDescent="0.25">
      <c r="A79" s="22" t="s">
        <v>197</v>
      </c>
      <c r="B79" s="23" t="s">
        <v>198</v>
      </c>
      <c r="C79" s="24" t="s">
        <v>179</v>
      </c>
      <c r="D79" s="24" t="s">
        <v>199</v>
      </c>
      <c r="E79" s="25">
        <f>SUM(E80:E81)+40430</f>
        <v>40430</v>
      </c>
      <c r="F79" s="25">
        <f>SUM(F80:F81)+5000</f>
        <v>5000</v>
      </c>
      <c r="G79" s="25">
        <f>SUM(G80:G81)</f>
        <v>0</v>
      </c>
      <c r="H79" s="25">
        <f>SUM(H80:H81)</f>
        <v>0</v>
      </c>
      <c r="I79" s="25">
        <f>SUM(I80:I81)</f>
        <v>0</v>
      </c>
      <c r="J79" s="25">
        <f>SUM(J80:J81)</f>
        <v>0</v>
      </c>
      <c r="K79" s="25">
        <f>SUM(K80:K81)+35430</f>
        <v>35430</v>
      </c>
      <c r="L79" s="25">
        <f>SUM(L80:L81)</f>
        <v>0</v>
      </c>
      <c r="M79" s="25">
        <f>SUM(M80:M81)</f>
        <v>0</v>
      </c>
      <c r="N79" s="25">
        <f>SUM(N80:N81)</f>
        <v>0</v>
      </c>
      <c r="O79" s="24" t="s">
        <v>200</v>
      </c>
      <c r="P79" s="26" t="s">
        <v>31</v>
      </c>
      <c r="Q79" s="27" t="s">
        <v>38</v>
      </c>
    </row>
    <row r="80" spans="1:17" x14ac:dyDescent="0.25">
      <c r="A80" s="29"/>
      <c r="B80" s="30"/>
      <c r="C80" s="31"/>
      <c r="D80" s="31"/>
      <c r="E80" s="32">
        <v>0</v>
      </c>
      <c r="F80" s="32">
        <v>0</v>
      </c>
      <c r="G80" s="32">
        <v>0</v>
      </c>
      <c r="H80" s="32">
        <v>0</v>
      </c>
      <c r="I80" s="32">
        <v>0</v>
      </c>
      <c r="J80" s="32">
        <v>0</v>
      </c>
      <c r="K80" s="32">
        <v>0</v>
      </c>
      <c r="L80" s="32">
        <v>0</v>
      </c>
      <c r="M80" s="32">
        <v>0</v>
      </c>
      <c r="N80" s="32">
        <v>0</v>
      </c>
      <c r="O80" s="31" t="s">
        <v>201</v>
      </c>
      <c r="P80" s="33" t="s">
        <v>31</v>
      </c>
      <c r="Q80" s="34" t="s">
        <v>38</v>
      </c>
    </row>
    <row r="81" spans="1:17" ht="81" x14ac:dyDescent="0.25">
      <c r="A81" s="22" t="s">
        <v>202</v>
      </c>
      <c r="B81" s="23" t="s">
        <v>203</v>
      </c>
      <c r="C81" s="24"/>
      <c r="D81" s="24"/>
      <c r="E81" s="28">
        <v>0</v>
      </c>
      <c r="F81" s="28">
        <v>0</v>
      </c>
      <c r="G81" s="28">
        <v>0</v>
      </c>
      <c r="H81" s="28">
        <v>0</v>
      </c>
      <c r="I81" s="28">
        <v>0</v>
      </c>
      <c r="J81" s="28">
        <v>0</v>
      </c>
      <c r="K81" s="28">
        <v>0</v>
      </c>
      <c r="L81" s="28">
        <v>0</v>
      </c>
      <c r="M81" s="28">
        <v>0</v>
      </c>
      <c r="N81" s="28">
        <v>0</v>
      </c>
      <c r="O81" s="24"/>
      <c r="P81" s="26"/>
      <c r="Q81" s="27"/>
    </row>
    <row r="82" spans="1:17" ht="40.5" x14ac:dyDescent="0.25">
      <c r="A82" s="22" t="s">
        <v>204</v>
      </c>
      <c r="B82" s="23" t="s">
        <v>205</v>
      </c>
      <c r="C82" s="24" t="s">
        <v>179</v>
      </c>
      <c r="D82" s="24" t="s">
        <v>187</v>
      </c>
      <c r="E82" s="25">
        <f t="shared" ref="E82:N82" si="27">SUM(E83:E84)</f>
        <v>0</v>
      </c>
      <c r="F82" s="25">
        <f t="shared" si="27"/>
        <v>0</v>
      </c>
      <c r="G82" s="25">
        <f t="shared" si="27"/>
        <v>0</v>
      </c>
      <c r="H82" s="25">
        <f t="shared" si="27"/>
        <v>0</v>
      </c>
      <c r="I82" s="25">
        <f t="shared" si="27"/>
        <v>0</v>
      </c>
      <c r="J82" s="25">
        <f t="shared" si="27"/>
        <v>0</v>
      </c>
      <c r="K82" s="25">
        <f t="shared" si="27"/>
        <v>0</v>
      </c>
      <c r="L82" s="25">
        <f t="shared" si="27"/>
        <v>0</v>
      </c>
      <c r="M82" s="25">
        <f t="shared" si="27"/>
        <v>0</v>
      </c>
      <c r="N82" s="25">
        <f t="shared" si="27"/>
        <v>0</v>
      </c>
      <c r="O82" s="24" t="s">
        <v>206</v>
      </c>
      <c r="P82" s="26" t="s">
        <v>31</v>
      </c>
      <c r="Q82" s="27" t="s">
        <v>123</v>
      </c>
    </row>
    <row r="83" spans="1:17" ht="40.5" x14ac:dyDescent="0.25">
      <c r="A83" s="29"/>
      <c r="B83" s="30"/>
      <c r="C83" s="31"/>
      <c r="D83" s="31"/>
      <c r="E83" s="32">
        <v>0</v>
      </c>
      <c r="F83" s="32">
        <v>0</v>
      </c>
      <c r="G83" s="32">
        <v>0</v>
      </c>
      <c r="H83" s="32">
        <v>0</v>
      </c>
      <c r="I83" s="32">
        <v>0</v>
      </c>
      <c r="J83" s="32">
        <v>0</v>
      </c>
      <c r="K83" s="32">
        <v>0</v>
      </c>
      <c r="L83" s="32">
        <v>0</v>
      </c>
      <c r="M83" s="32">
        <v>0</v>
      </c>
      <c r="N83" s="32">
        <v>0</v>
      </c>
      <c r="O83" s="31" t="s">
        <v>207</v>
      </c>
      <c r="P83" s="33" t="s">
        <v>31</v>
      </c>
      <c r="Q83" s="34" t="s">
        <v>123</v>
      </c>
    </row>
    <row r="84" spans="1:17" ht="40.5" x14ac:dyDescent="0.25">
      <c r="A84" s="22" t="s">
        <v>208</v>
      </c>
      <c r="B84" s="23" t="s">
        <v>209</v>
      </c>
      <c r="C84" s="24"/>
      <c r="D84" s="24"/>
      <c r="E84" s="28">
        <v>0</v>
      </c>
      <c r="F84" s="28">
        <v>0</v>
      </c>
      <c r="G84" s="28">
        <v>0</v>
      </c>
      <c r="H84" s="28">
        <v>0</v>
      </c>
      <c r="I84" s="28">
        <v>0</v>
      </c>
      <c r="J84" s="28">
        <v>0</v>
      </c>
      <c r="K84" s="28">
        <v>0</v>
      </c>
      <c r="L84" s="28">
        <v>0</v>
      </c>
      <c r="M84" s="28">
        <v>0</v>
      </c>
      <c r="N84" s="28">
        <v>0</v>
      </c>
      <c r="O84" s="24"/>
      <c r="P84" s="26"/>
      <c r="Q84" s="27"/>
    </row>
    <row r="85" spans="1:17" ht="60.75" x14ac:dyDescent="0.25">
      <c r="A85" s="22" t="s">
        <v>210</v>
      </c>
      <c r="B85" s="23" t="s">
        <v>211</v>
      </c>
      <c r="C85" s="24" t="s">
        <v>179</v>
      </c>
      <c r="D85" s="24" t="s">
        <v>187</v>
      </c>
      <c r="E85" s="25">
        <f t="shared" ref="E85:N85" si="28">SUM(E86:E86)</f>
        <v>0</v>
      </c>
      <c r="F85" s="25">
        <f t="shared" si="28"/>
        <v>0</v>
      </c>
      <c r="G85" s="25">
        <f t="shared" si="28"/>
        <v>0</v>
      </c>
      <c r="H85" s="25">
        <f t="shared" si="28"/>
        <v>0</v>
      </c>
      <c r="I85" s="25">
        <f t="shared" si="28"/>
        <v>0</v>
      </c>
      <c r="J85" s="25">
        <f t="shared" si="28"/>
        <v>0</v>
      </c>
      <c r="K85" s="25">
        <f t="shared" si="28"/>
        <v>0</v>
      </c>
      <c r="L85" s="25">
        <f t="shared" si="28"/>
        <v>0</v>
      </c>
      <c r="M85" s="25">
        <f t="shared" si="28"/>
        <v>0</v>
      </c>
      <c r="N85" s="25">
        <f t="shared" si="28"/>
        <v>0</v>
      </c>
      <c r="O85" s="24" t="s">
        <v>212</v>
      </c>
      <c r="P85" s="26" t="s">
        <v>31</v>
      </c>
      <c r="Q85" s="27" t="s">
        <v>123</v>
      </c>
    </row>
    <row r="86" spans="1:17" ht="60.75" x14ac:dyDescent="0.25">
      <c r="A86" s="22" t="s">
        <v>213</v>
      </c>
      <c r="B86" s="23" t="s">
        <v>214</v>
      </c>
      <c r="C86" s="24"/>
      <c r="D86" s="24"/>
      <c r="E86" s="28">
        <v>0</v>
      </c>
      <c r="F86" s="28">
        <v>0</v>
      </c>
      <c r="G86" s="28">
        <v>0</v>
      </c>
      <c r="H86" s="28">
        <v>0</v>
      </c>
      <c r="I86" s="28">
        <v>0</v>
      </c>
      <c r="J86" s="28">
        <v>0</v>
      </c>
      <c r="K86" s="28">
        <v>0</v>
      </c>
      <c r="L86" s="28">
        <v>0</v>
      </c>
      <c r="M86" s="28">
        <v>0</v>
      </c>
      <c r="N86" s="28">
        <v>0</v>
      </c>
      <c r="O86" s="24"/>
      <c r="P86" s="26"/>
      <c r="Q86" s="27"/>
    </row>
    <row r="87" spans="1:17" ht="40.5" x14ac:dyDescent="0.25">
      <c r="A87" s="16" t="s">
        <v>215</v>
      </c>
      <c r="B87" s="17" t="s">
        <v>216</v>
      </c>
      <c r="C87" s="18"/>
      <c r="D87" s="18"/>
      <c r="E87" s="19">
        <f t="shared" ref="E87:N87" si="29">E88+E94+E96+E98+E100+E102+E104+E106</f>
        <v>330321</v>
      </c>
      <c r="F87" s="19">
        <f t="shared" si="29"/>
        <v>55924</v>
      </c>
      <c r="G87" s="19">
        <f t="shared" si="29"/>
        <v>0</v>
      </c>
      <c r="H87" s="19">
        <f t="shared" si="29"/>
        <v>0</v>
      </c>
      <c r="I87" s="19">
        <f t="shared" si="29"/>
        <v>0</v>
      </c>
      <c r="J87" s="19">
        <f t="shared" si="29"/>
        <v>50000</v>
      </c>
      <c r="K87" s="19">
        <f t="shared" si="29"/>
        <v>0</v>
      </c>
      <c r="L87" s="19">
        <f t="shared" si="29"/>
        <v>224397</v>
      </c>
      <c r="M87" s="19">
        <f t="shared" si="29"/>
        <v>0</v>
      </c>
      <c r="N87" s="19">
        <f t="shared" si="29"/>
        <v>0</v>
      </c>
      <c r="O87" s="18"/>
      <c r="P87" s="20"/>
      <c r="Q87" s="21"/>
    </row>
    <row r="88" spans="1:17" ht="60.75" x14ac:dyDescent="0.25">
      <c r="A88" s="22" t="s">
        <v>217</v>
      </c>
      <c r="B88" s="23" t="s">
        <v>218</v>
      </c>
      <c r="C88" s="24" t="s">
        <v>179</v>
      </c>
      <c r="D88" s="24" t="s">
        <v>219</v>
      </c>
      <c r="E88" s="25">
        <f>SUM(E89:E93)+50000</f>
        <v>50000</v>
      </c>
      <c r="F88" s="25">
        <f>SUM(F89:F93)</f>
        <v>0</v>
      </c>
      <c r="G88" s="25">
        <f>SUM(G89:G93)</f>
        <v>0</v>
      </c>
      <c r="H88" s="25">
        <f>SUM(H89:H93)</f>
        <v>0</v>
      </c>
      <c r="I88" s="25">
        <f>SUM(I89:I93)</f>
        <v>0</v>
      </c>
      <c r="J88" s="25">
        <f>SUM(J89:J93)+50000</f>
        <v>50000</v>
      </c>
      <c r="K88" s="25">
        <f>SUM(K89:K93)</f>
        <v>0</v>
      </c>
      <c r="L88" s="25">
        <f>SUM(L89:L93)</f>
        <v>0</v>
      </c>
      <c r="M88" s="25">
        <f>SUM(M89:M93)</f>
        <v>0</v>
      </c>
      <c r="N88" s="25">
        <f>SUM(N89:N93)</f>
        <v>0</v>
      </c>
      <c r="O88" s="24" t="s">
        <v>220</v>
      </c>
      <c r="P88" s="26" t="s">
        <v>221</v>
      </c>
      <c r="Q88" s="27" t="s">
        <v>222</v>
      </c>
    </row>
    <row r="89" spans="1:17" ht="40.5" x14ac:dyDescent="0.25">
      <c r="A89" s="29"/>
      <c r="B89" s="30"/>
      <c r="C89" s="31"/>
      <c r="D89" s="31"/>
      <c r="E89" s="32">
        <v>0</v>
      </c>
      <c r="F89" s="32">
        <v>0</v>
      </c>
      <c r="G89" s="32">
        <v>0</v>
      </c>
      <c r="H89" s="32">
        <v>0</v>
      </c>
      <c r="I89" s="32">
        <v>0</v>
      </c>
      <c r="J89" s="32">
        <v>0</v>
      </c>
      <c r="K89" s="32">
        <v>0</v>
      </c>
      <c r="L89" s="32">
        <v>0</v>
      </c>
      <c r="M89" s="32">
        <v>0</v>
      </c>
      <c r="N89" s="32">
        <v>0</v>
      </c>
      <c r="O89" s="31" t="s">
        <v>223</v>
      </c>
      <c r="P89" s="33" t="s">
        <v>221</v>
      </c>
      <c r="Q89" s="34" t="s">
        <v>222</v>
      </c>
    </row>
    <row r="90" spans="1:17" ht="40.5" x14ac:dyDescent="0.25">
      <c r="A90" s="29"/>
      <c r="B90" s="30"/>
      <c r="C90" s="31"/>
      <c r="D90" s="31"/>
      <c r="E90" s="32">
        <v>0</v>
      </c>
      <c r="F90" s="32">
        <v>0</v>
      </c>
      <c r="G90" s="32">
        <v>0</v>
      </c>
      <c r="H90" s="32">
        <v>0</v>
      </c>
      <c r="I90" s="32">
        <v>0</v>
      </c>
      <c r="J90" s="32">
        <v>0</v>
      </c>
      <c r="K90" s="32">
        <v>0</v>
      </c>
      <c r="L90" s="32">
        <v>0</v>
      </c>
      <c r="M90" s="32">
        <v>0</v>
      </c>
      <c r="N90" s="32">
        <v>0</v>
      </c>
      <c r="O90" s="31" t="s">
        <v>224</v>
      </c>
      <c r="P90" s="33" t="s">
        <v>221</v>
      </c>
      <c r="Q90" s="34" t="s">
        <v>123</v>
      </c>
    </row>
    <row r="91" spans="1:17" ht="40.5" x14ac:dyDescent="0.25">
      <c r="A91" s="22" t="s">
        <v>225</v>
      </c>
      <c r="B91" s="23" t="s">
        <v>226</v>
      </c>
      <c r="C91" s="24"/>
      <c r="D91" s="24"/>
      <c r="E91" s="28">
        <v>0</v>
      </c>
      <c r="F91" s="28">
        <v>0</v>
      </c>
      <c r="G91" s="28">
        <v>0</v>
      </c>
      <c r="H91" s="28">
        <v>0</v>
      </c>
      <c r="I91" s="28">
        <v>0</v>
      </c>
      <c r="J91" s="28">
        <v>0</v>
      </c>
      <c r="K91" s="28">
        <v>0</v>
      </c>
      <c r="L91" s="28">
        <v>0</v>
      </c>
      <c r="M91" s="28">
        <v>0</v>
      </c>
      <c r="N91" s="28">
        <v>0</v>
      </c>
      <c r="O91" s="24"/>
      <c r="P91" s="26"/>
      <c r="Q91" s="27"/>
    </row>
    <row r="92" spans="1:17" ht="40.5" x14ac:dyDescent="0.25">
      <c r="A92" s="22" t="s">
        <v>227</v>
      </c>
      <c r="B92" s="23" t="s">
        <v>228</v>
      </c>
      <c r="C92" s="24"/>
      <c r="D92" s="24"/>
      <c r="E92" s="28">
        <v>0</v>
      </c>
      <c r="F92" s="28">
        <v>0</v>
      </c>
      <c r="G92" s="28">
        <v>0</v>
      </c>
      <c r="H92" s="28">
        <v>0</v>
      </c>
      <c r="I92" s="28">
        <v>0</v>
      </c>
      <c r="J92" s="28">
        <v>0</v>
      </c>
      <c r="K92" s="28">
        <v>0</v>
      </c>
      <c r="L92" s="28">
        <v>0</v>
      </c>
      <c r="M92" s="28">
        <v>0</v>
      </c>
      <c r="N92" s="28">
        <v>0</v>
      </c>
      <c r="O92" s="24"/>
      <c r="P92" s="26"/>
      <c r="Q92" s="27"/>
    </row>
    <row r="93" spans="1:17" ht="40.5" x14ac:dyDescent="0.25">
      <c r="A93" s="22" t="s">
        <v>229</v>
      </c>
      <c r="B93" s="23" t="s">
        <v>230</v>
      </c>
      <c r="C93" s="24"/>
      <c r="D93" s="24"/>
      <c r="E93" s="28">
        <v>0</v>
      </c>
      <c r="F93" s="28">
        <v>0</v>
      </c>
      <c r="G93" s="28">
        <v>0</v>
      </c>
      <c r="H93" s="28">
        <v>0</v>
      </c>
      <c r="I93" s="28">
        <v>0</v>
      </c>
      <c r="J93" s="28">
        <v>0</v>
      </c>
      <c r="K93" s="28">
        <v>0</v>
      </c>
      <c r="L93" s="28">
        <v>0</v>
      </c>
      <c r="M93" s="28">
        <v>0</v>
      </c>
      <c r="N93" s="28">
        <v>0</v>
      </c>
      <c r="O93" s="24"/>
      <c r="P93" s="26"/>
      <c r="Q93" s="27"/>
    </row>
    <row r="94" spans="1:17" ht="121.5" x14ac:dyDescent="0.25">
      <c r="A94" s="22" t="s">
        <v>231</v>
      </c>
      <c r="B94" s="23" t="s">
        <v>232</v>
      </c>
      <c r="C94" s="24" t="s">
        <v>179</v>
      </c>
      <c r="D94" s="24" t="s">
        <v>233</v>
      </c>
      <c r="E94" s="25">
        <f>SUM(E95:E95)+250</f>
        <v>250</v>
      </c>
      <c r="F94" s="25">
        <f>SUM(F95:F95)+250</f>
        <v>250</v>
      </c>
      <c r="G94" s="25">
        <f t="shared" ref="G94:N94" si="30">SUM(G95:G95)</f>
        <v>0</v>
      </c>
      <c r="H94" s="25">
        <f t="shared" si="30"/>
        <v>0</v>
      </c>
      <c r="I94" s="25">
        <f t="shared" si="30"/>
        <v>0</v>
      </c>
      <c r="J94" s="25">
        <f t="shared" si="30"/>
        <v>0</v>
      </c>
      <c r="K94" s="25">
        <f t="shared" si="30"/>
        <v>0</v>
      </c>
      <c r="L94" s="25">
        <f t="shared" si="30"/>
        <v>0</v>
      </c>
      <c r="M94" s="25">
        <f t="shared" si="30"/>
        <v>0</v>
      </c>
      <c r="N94" s="25">
        <f t="shared" si="30"/>
        <v>0</v>
      </c>
      <c r="O94" s="24" t="s">
        <v>234</v>
      </c>
      <c r="P94" s="26" t="s">
        <v>31</v>
      </c>
      <c r="Q94" s="27" t="s">
        <v>38</v>
      </c>
    </row>
    <row r="95" spans="1:17" ht="40.5" x14ac:dyDescent="0.25">
      <c r="A95" s="22" t="s">
        <v>235</v>
      </c>
      <c r="B95" s="23" t="s">
        <v>236</v>
      </c>
      <c r="C95" s="24"/>
      <c r="D95" s="24"/>
      <c r="E95" s="28">
        <v>0</v>
      </c>
      <c r="F95" s="28">
        <v>0</v>
      </c>
      <c r="G95" s="28">
        <v>0</v>
      </c>
      <c r="H95" s="28">
        <v>0</v>
      </c>
      <c r="I95" s="28">
        <v>0</v>
      </c>
      <c r="J95" s="28">
        <v>0</v>
      </c>
      <c r="K95" s="28">
        <v>0</v>
      </c>
      <c r="L95" s="28">
        <v>0</v>
      </c>
      <c r="M95" s="28">
        <v>0</v>
      </c>
      <c r="N95" s="28">
        <v>0</v>
      </c>
      <c r="O95" s="24"/>
      <c r="P95" s="26"/>
      <c r="Q95" s="27"/>
    </row>
    <row r="96" spans="1:17" ht="81" x14ac:dyDescent="0.25">
      <c r="A96" s="22" t="s">
        <v>237</v>
      </c>
      <c r="B96" s="23" t="s">
        <v>238</v>
      </c>
      <c r="C96" s="24"/>
      <c r="D96" s="24" t="s">
        <v>233</v>
      </c>
      <c r="E96" s="25">
        <f>SUM(E97:E97)+65476</f>
        <v>65476</v>
      </c>
      <c r="F96" s="25">
        <f>SUM(F97:F97)+12754</f>
        <v>12754</v>
      </c>
      <c r="G96" s="25">
        <f>SUM(G97:G97)</f>
        <v>0</v>
      </c>
      <c r="H96" s="25">
        <f>SUM(H97:H97)</f>
        <v>0</v>
      </c>
      <c r="I96" s="25">
        <f>SUM(I97:I97)</f>
        <v>0</v>
      </c>
      <c r="J96" s="25">
        <f>SUM(J97:J97)</f>
        <v>0</v>
      </c>
      <c r="K96" s="25">
        <f>SUM(K97:K97)</f>
        <v>0</v>
      </c>
      <c r="L96" s="25">
        <f>SUM(L97:L97)+52722</f>
        <v>52722</v>
      </c>
      <c r="M96" s="25">
        <f>SUM(M97:M97)</f>
        <v>0</v>
      </c>
      <c r="N96" s="25">
        <f>SUM(N97:N97)</f>
        <v>0</v>
      </c>
      <c r="O96" s="24" t="s">
        <v>239</v>
      </c>
      <c r="P96" s="26" t="s">
        <v>31</v>
      </c>
      <c r="Q96" s="27" t="s">
        <v>38</v>
      </c>
    </row>
    <row r="97" spans="1:17" ht="40.5" x14ac:dyDescent="0.25">
      <c r="A97" s="22" t="s">
        <v>240</v>
      </c>
      <c r="B97" s="23" t="s">
        <v>241</v>
      </c>
      <c r="C97" s="24"/>
      <c r="D97" s="24"/>
      <c r="E97" s="28">
        <v>0</v>
      </c>
      <c r="F97" s="28">
        <v>0</v>
      </c>
      <c r="G97" s="28">
        <v>0</v>
      </c>
      <c r="H97" s="28">
        <v>0</v>
      </c>
      <c r="I97" s="28">
        <v>0</v>
      </c>
      <c r="J97" s="28">
        <v>0</v>
      </c>
      <c r="K97" s="28">
        <v>0</v>
      </c>
      <c r="L97" s="28">
        <v>0</v>
      </c>
      <c r="M97" s="28">
        <v>0</v>
      </c>
      <c r="N97" s="28">
        <v>0</v>
      </c>
      <c r="O97" s="24"/>
      <c r="P97" s="26"/>
      <c r="Q97" s="27"/>
    </row>
    <row r="98" spans="1:17" ht="81" x14ac:dyDescent="0.25">
      <c r="A98" s="22" t="s">
        <v>242</v>
      </c>
      <c r="B98" s="23" t="s">
        <v>243</v>
      </c>
      <c r="C98" s="24"/>
      <c r="D98" s="24" t="s">
        <v>233</v>
      </c>
      <c r="E98" s="25">
        <f>SUM(E99:E99)+62772</f>
        <v>62772</v>
      </c>
      <c r="F98" s="25">
        <f>SUM(F99:F99)+12555</f>
        <v>12555</v>
      </c>
      <c r="G98" s="25">
        <f>SUM(G99:G99)</f>
        <v>0</v>
      </c>
      <c r="H98" s="25">
        <f>SUM(H99:H99)</f>
        <v>0</v>
      </c>
      <c r="I98" s="25">
        <f>SUM(I99:I99)</f>
        <v>0</v>
      </c>
      <c r="J98" s="25">
        <f>SUM(J99:J99)</f>
        <v>0</v>
      </c>
      <c r="K98" s="25">
        <f>SUM(K99:K99)</f>
        <v>0</v>
      </c>
      <c r="L98" s="25">
        <f>SUM(L99:L99)+50217</f>
        <v>50217</v>
      </c>
      <c r="M98" s="25">
        <f>SUM(M99:M99)</f>
        <v>0</v>
      </c>
      <c r="N98" s="25">
        <f>SUM(N99:N99)</f>
        <v>0</v>
      </c>
      <c r="O98" s="24" t="s">
        <v>239</v>
      </c>
      <c r="P98" s="26" t="s">
        <v>31</v>
      </c>
      <c r="Q98" s="27" t="s">
        <v>38</v>
      </c>
    </row>
    <row r="99" spans="1:17" ht="40.5" x14ac:dyDescent="0.25">
      <c r="A99" s="22" t="s">
        <v>244</v>
      </c>
      <c r="B99" s="23" t="s">
        <v>241</v>
      </c>
      <c r="C99" s="24"/>
      <c r="D99" s="24"/>
      <c r="E99" s="28">
        <v>0</v>
      </c>
      <c r="F99" s="28">
        <v>0</v>
      </c>
      <c r="G99" s="28">
        <v>0</v>
      </c>
      <c r="H99" s="28">
        <v>0</v>
      </c>
      <c r="I99" s="28">
        <v>0</v>
      </c>
      <c r="J99" s="28">
        <v>0</v>
      </c>
      <c r="K99" s="28">
        <v>0</v>
      </c>
      <c r="L99" s="28">
        <v>0</v>
      </c>
      <c r="M99" s="28">
        <v>0</v>
      </c>
      <c r="N99" s="28">
        <v>0</v>
      </c>
      <c r="O99" s="24"/>
      <c r="P99" s="26"/>
      <c r="Q99" s="27"/>
    </row>
    <row r="100" spans="1:17" ht="81" x14ac:dyDescent="0.25">
      <c r="A100" s="22" t="s">
        <v>245</v>
      </c>
      <c r="B100" s="23" t="s">
        <v>246</v>
      </c>
      <c r="C100" s="24"/>
      <c r="D100" s="24" t="s">
        <v>233</v>
      </c>
      <c r="E100" s="25">
        <f>SUM(E101:E101)+28394</f>
        <v>28394</v>
      </c>
      <c r="F100" s="25">
        <f>SUM(F101:F101)+5679</f>
        <v>5679</v>
      </c>
      <c r="G100" s="25">
        <f>SUM(G101:G101)</f>
        <v>0</v>
      </c>
      <c r="H100" s="25">
        <f>SUM(H101:H101)</f>
        <v>0</v>
      </c>
      <c r="I100" s="25">
        <f>SUM(I101:I101)</f>
        <v>0</v>
      </c>
      <c r="J100" s="25">
        <f>SUM(J101:J101)</f>
        <v>0</v>
      </c>
      <c r="K100" s="25">
        <f>SUM(K101:K101)</f>
        <v>0</v>
      </c>
      <c r="L100" s="25">
        <f>SUM(L101:L101)+22715</f>
        <v>22715</v>
      </c>
      <c r="M100" s="25">
        <f>SUM(M101:M101)</f>
        <v>0</v>
      </c>
      <c r="N100" s="25">
        <f>SUM(N101:N101)</f>
        <v>0</v>
      </c>
      <c r="O100" s="24" t="s">
        <v>239</v>
      </c>
      <c r="P100" s="26" t="s">
        <v>31</v>
      </c>
      <c r="Q100" s="27" t="s">
        <v>38</v>
      </c>
    </row>
    <row r="101" spans="1:17" ht="40.5" x14ac:dyDescent="0.25">
      <c r="A101" s="22" t="s">
        <v>247</v>
      </c>
      <c r="B101" s="23" t="s">
        <v>248</v>
      </c>
      <c r="C101" s="24"/>
      <c r="D101" s="24"/>
      <c r="E101" s="28">
        <v>0</v>
      </c>
      <c r="F101" s="28">
        <v>0</v>
      </c>
      <c r="G101" s="28">
        <v>0</v>
      </c>
      <c r="H101" s="28">
        <v>0</v>
      </c>
      <c r="I101" s="28">
        <v>0</v>
      </c>
      <c r="J101" s="28">
        <v>0</v>
      </c>
      <c r="K101" s="28">
        <v>0</v>
      </c>
      <c r="L101" s="28">
        <v>0</v>
      </c>
      <c r="M101" s="28">
        <v>0</v>
      </c>
      <c r="N101" s="28">
        <v>0</v>
      </c>
      <c r="O101" s="24"/>
      <c r="P101" s="26"/>
      <c r="Q101" s="27"/>
    </row>
    <row r="102" spans="1:17" ht="81" x14ac:dyDescent="0.25">
      <c r="A102" s="22" t="s">
        <v>249</v>
      </c>
      <c r="B102" s="23" t="s">
        <v>250</v>
      </c>
      <c r="C102" s="24"/>
      <c r="D102" s="24" t="s">
        <v>233</v>
      </c>
      <c r="E102" s="25">
        <f>SUM(E103:E103)+30693</f>
        <v>30693</v>
      </c>
      <c r="F102" s="25">
        <f>SUM(F103:F103)+6139</f>
        <v>6139</v>
      </c>
      <c r="G102" s="25">
        <f>SUM(G103:G103)</f>
        <v>0</v>
      </c>
      <c r="H102" s="25">
        <f>SUM(H103:H103)</f>
        <v>0</v>
      </c>
      <c r="I102" s="25">
        <f>SUM(I103:I103)</f>
        <v>0</v>
      </c>
      <c r="J102" s="25">
        <f>SUM(J103:J103)</f>
        <v>0</v>
      </c>
      <c r="K102" s="25">
        <f>SUM(K103:K103)</f>
        <v>0</v>
      </c>
      <c r="L102" s="25">
        <f>SUM(L103:L103)+24554</f>
        <v>24554</v>
      </c>
      <c r="M102" s="25">
        <f>SUM(M103:M103)</f>
        <v>0</v>
      </c>
      <c r="N102" s="25">
        <f>SUM(N103:N103)</f>
        <v>0</v>
      </c>
      <c r="O102" s="24" t="s">
        <v>239</v>
      </c>
      <c r="P102" s="26" t="s">
        <v>31</v>
      </c>
      <c r="Q102" s="27" t="s">
        <v>38</v>
      </c>
    </row>
    <row r="103" spans="1:17" ht="40.5" x14ac:dyDescent="0.25">
      <c r="A103" s="22" t="s">
        <v>251</v>
      </c>
      <c r="B103" s="23" t="s">
        <v>241</v>
      </c>
      <c r="C103" s="24"/>
      <c r="D103" s="24"/>
      <c r="E103" s="28">
        <v>0</v>
      </c>
      <c r="F103" s="28">
        <v>0</v>
      </c>
      <c r="G103" s="28">
        <v>0</v>
      </c>
      <c r="H103" s="28">
        <v>0</v>
      </c>
      <c r="I103" s="28">
        <v>0</v>
      </c>
      <c r="J103" s="28">
        <v>0</v>
      </c>
      <c r="K103" s="28">
        <v>0</v>
      </c>
      <c r="L103" s="28">
        <v>0</v>
      </c>
      <c r="M103" s="28">
        <v>0</v>
      </c>
      <c r="N103" s="28">
        <v>0</v>
      </c>
      <c r="O103" s="24"/>
      <c r="P103" s="26"/>
      <c r="Q103" s="27"/>
    </row>
    <row r="104" spans="1:17" ht="81" x14ac:dyDescent="0.25">
      <c r="A104" s="22" t="s">
        <v>252</v>
      </c>
      <c r="B104" s="23" t="s">
        <v>253</v>
      </c>
      <c r="C104" s="24"/>
      <c r="D104" s="24" t="s">
        <v>233</v>
      </c>
      <c r="E104" s="25">
        <f>SUM(E105:E105)+92736</f>
        <v>92736</v>
      </c>
      <c r="F104" s="25">
        <f>SUM(F105:F105)+18547</f>
        <v>18547</v>
      </c>
      <c r="G104" s="25">
        <f>SUM(G105:G105)</f>
        <v>0</v>
      </c>
      <c r="H104" s="25">
        <f>SUM(H105:H105)</f>
        <v>0</v>
      </c>
      <c r="I104" s="25">
        <f>SUM(I105:I105)</f>
        <v>0</v>
      </c>
      <c r="J104" s="25">
        <f>SUM(J105:J105)</f>
        <v>0</v>
      </c>
      <c r="K104" s="25">
        <f>SUM(K105:K105)</f>
        <v>0</v>
      </c>
      <c r="L104" s="25">
        <f>SUM(L105:L105)+74189</f>
        <v>74189</v>
      </c>
      <c r="M104" s="25">
        <f>SUM(M105:M105)</f>
        <v>0</v>
      </c>
      <c r="N104" s="25">
        <f>SUM(N105:N105)</f>
        <v>0</v>
      </c>
      <c r="O104" s="24" t="s">
        <v>239</v>
      </c>
      <c r="P104" s="26" t="s">
        <v>31</v>
      </c>
      <c r="Q104" s="27" t="s">
        <v>38</v>
      </c>
    </row>
    <row r="105" spans="1:17" ht="40.5" x14ac:dyDescent="0.25">
      <c r="A105" s="22" t="s">
        <v>254</v>
      </c>
      <c r="B105" s="23" t="s">
        <v>241</v>
      </c>
      <c r="C105" s="24"/>
      <c r="D105" s="24"/>
      <c r="E105" s="28">
        <v>0</v>
      </c>
      <c r="F105" s="28">
        <v>0</v>
      </c>
      <c r="G105" s="28">
        <v>0</v>
      </c>
      <c r="H105" s="28">
        <v>0</v>
      </c>
      <c r="I105" s="28">
        <v>0</v>
      </c>
      <c r="J105" s="28">
        <v>0</v>
      </c>
      <c r="K105" s="28">
        <v>0</v>
      </c>
      <c r="L105" s="28">
        <v>0</v>
      </c>
      <c r="M105" s="28">
        <v>0</v>
      </c>
      <c r="N105" s="28">
        <v>0</v>
      </c>
      <c r="O105" s="24"/>
      <c r="P105" s="26"/>
      <c r="Q105" s="27"/>
    </row>
    <row r="106" spans="1:17" ht="81" x14ac:dyDescent="0.25">
      <c r="A106" s="22" t="s">
        <v>255</v>
      </c>
      <c r="B106" s="23" t="s">
        <v>256</v>
      </c>
      <c r="C106" s="24"/>
      <c r="D106" s="24" t="s">
        <v>233</v>
      </c>
      <c r="E106" s="25">
        <f t="shared" ref="E106:N106" si="31">SUM(E107:E107)</f>
        <v>0</v>
      </c>
      <c r="F106" s="25">
        <f t="shared" si="31"/>
        <v>0</v>
      </c>
      <c r="G106" s="25">
        <f t="shared" si="31"/>
        <v>0</v>
      </c>
      <c r="H106" s="25">
        <f t="shared" si="31"/>
        <v>0</v>
      </c>
      <c r="I106" s="25">
        <f t="shared" si="31"/>
        <v>0</v>
      </c>
      <c r="J106" s="25">
        <f t="shared" si="31"/>
        <v>0</v>
      </c>
      <c r="K106" s="25">
        <f t="shared" si="31"/>
        <v>0</v>
      </c>
      <c r="L106" s="25">
        <f t="shared" si="31"/>
        <v>0</v>
      </c>
      <c r="M106" s="25">
        <f t="shared" si="31"/>
        <v>0</v>
      </c>
      <c r="N106" s="25">
        <f t="shared" si="31"/>
        <v>0</v>
      </c>
      <c r="O106" s="24" t="s">
        <v>239</v>
      </c>
      <c r="P106" s="26" t="s">
        <v>31</v>
      </c>
      <c r="Q106" s="27" t="s">
        <v>123</v>
      </c>
    </row>
    <row r="107" spans="1:17" ht="40.5" x14ac:dyDescent="0.25">
      <c r="A107" s="22" t="s">
        <v>257</v>
      </c>
      <c r="B107" s="23" t="s">
        <v>241</v>
      </c>
      <c r="C107" s="24"/>
      <c r="D107" s="24"/>
      <c r="E107" s="28">
        <v>0</v>
      </c>
      <c r="F107" s="28">
        <v>0</v>
      </c>
      <c r="G107" s="28">
        <v>0</v>
      </c>
      <c r="H107" s="28">
        <v>0</v>
      </c>
      <c r="I107" s="28">
        <v>0</v>
      </c>
      <c r="J107" s="28">
        <v>0</v>
      </c>
      <c r="K107" s="28">
        <v>0</v>
      </c>
      <c r="L107" s="28">
        <v>0</v>
      </c>
      <c r="M107" s="28">
        <v>0</v>
      </c>
      <c r="N107" s="28">
        <v>0</v>
      </c>
      <c r="O107" s="24"/>
      <c r="P107" s="26"/>
      <c r="Q107" s="27"/>
    </row>
    <row r="108" spans="1:17" ht="40.5" x14ac:dyDescent="0.25">
      <c r="A108" s="16" t="s">
        <v>258</v>
      </c>
      <c r="B108" s="17" t="s">
        <v>259</v>
      </c>
      <c r="C108" s="18"/>
      <c r="D108" s="18"/>
      <c r="E108" s="19">
        <f t="shared" ref="E108:N108" si="32">E109+E111</f>
        <v>15000</v>
      </c>
      <c r="F108" s="19">
        <f t="shared" si="32"/>
        <v>15000</v>
      </c>
      <c r="G108" s="19">
        <f t="shared" si="32"/>
        <v>0</v>
      </c>
      <c r="H108" s="19">
        <f t="shared" si="32"/>
        <v>0</v>
      </c>
      <c r="I108" s="19">
        <f t="shared" si="32"/>
        <v>0</v>
      </c>
      <c r="J108" s="19">
        <f t="shared" si="32"/>
        <v>0</v>
      </c>
      <c r="K108" s="19">
        <f t="shared" si="32"/>
        <v>0</v>
      </c>
      <c r="L108" s="19">
        <f t="shared" si="32"/>
        <v>0</v>
      </c>
      <c r="M108" s="19">
        <f t="shared" si="32"/>
        <v>0</v>
      </c>
      <c r="N108" s="19">
        <f t="shared" si="32"/>
        <v>0</v>
      </c>
      <c r="O108" s="18"/>
      <c r="P108" s="20"/>
      <c r="Q108" s="21"/>
    </row>
    <row r="109" spans="1:17" ht="40.5" x14ac:dyDescent="0.25">
      <c r="A109" s="22" t="s">
        <v>260</v>
      </c>
      <c r="B109" s="23" t="s">
        <v>261</v>
      </c>
      <c r="C109" s="24" t="s">
        <v>179</v>
      </c>
      <c r="D109" s="24" t="s">
        <v>262</v>
      </c>
      <c r="E109" s="25">
        <f>SUM(E110:E110)+10000</f>
        <v>10000</v>
      </c>
      <c r="F109" s="25">
        <f>SUM(F110:F110)+10000</f>
        <v>10000</v>
      </c>
      <c r="G109" s="25">
        <f t="shared" ref="G109:N109" si="33">SUM(G110:G110)</f>
        <v>0</v>
      </c>
      <c r="H109" s="25">
        <f t="shared" si="33"/>
        <v>0</v>
      </c>
      <c r="I109" s="25">
        <f t="shared" si="33"/>
        <v>0</v>
      </c>
      <c r="J109" s="25">
        <f t="shared" si="33"/>
        <v>0</v>
      </c>
      <c r="K109" s="25">
        <f t="shared" si="33"/>
        <v>0</v>
      </c>
      <c r="L109" s="25">
        <f t="shared" si="33"/>
        <v>0</v>
      </c>
      <c r="M109" s="25">
        <f t="shared" si="33"/>
        <v>0</v>
      </c>
      <c r="N109" s="25">
        <f t="shared" si="33"/>
        <v>0</v>
      </c>
      <c r="O109" s="24" t="s">
        <v>263</v>
      </c>
      <c r="P109" s="26" t="s">
        <v>31</v>
      </c>
      <c r="Q109" s="27" t="s">
        <v>38</v>
      </c>
    </row>
    <row r="110" spans="1:17" ht="40.5" x14ac:dyDescent="0.25">
      <c r="A110" s="22" t="s">
        <v>264</v>
      </c>
      <c r="B110" s="23" t="s">
        <v>265</v>
      </c>
      <c r="C110" s="24"/>
      <c r="D110" s="24"/>
      <c r="E110" s="28">
        <v>0</v>
      </c>
      <c r="F110" s="28">
        <v>0</v>
      </c>
      <c r="G110" s="28">
        <v>0</v>
      </c>
      <c r="H110" s="28">
        <v>0</v>
      </c>
      <c r="I110" s="28">
        <v>0</v>
      </c>
      <c r="J110" s="28">
        <v>0</v>
      </c>
      <c r="K110" s="28">
        <v>0</v>
      </c>
      <c r="L110" s="28">
        <v>0</v>
      </c>
      <c r="M110" s="28">
        <v>0</v>
      </c>
      <c r="N110" s="28">
        <v>0</v>
      </c>
      <c r="O110" s="24"/>
      <c r="P110" s="26"/>
      <c r="Q110" s="27"/>
    </row>
    <row r="111" spans="1:17" ht="40.5" x14ac:dyDescent="0.25">
      <c r="A111" s="22" t="s">
        <v>266</v>
      </c>
      <c r="B111" s="23" t="s">
        <v>267</v>
      </c>
      <c r="C111" s="24" t="s">
        <v>179</v>
      </c>
      <c r="D111" s="24" t="s">
        <v>268</v>
      </c>
      <c r="E111" s="25">
        <f>SUM(E112:E112)+5000</f>
        <v>5000</v>
      </c>
      <c r="F111" s="25">
        <f>SUM(F112:F112)+5000</f>
        <v>5000</v>
      </c>
      <c r="G111" s="25">
        <f t="shared" ref="G111:N111" si="34">SUM(G112:G112)</f>
        <v>0</v>
      </c>
      <c r="H111" s="25">
        <f t="shared" si="34"/>
        <v>0</v>
      </c>
      <c r="I111" s="25">
        <f t="shared" si="34"/>
        <v>0</v>
      </c>
      <c r="J111" s="25">
        <f t="shared" si="34"/>
        <v>0</v>
      </c>
      <c r="K111" s="25">
        <f t="shared" si="34"/>
        <v>0</v>
      </c>
      <c r="L111" s="25">
        <f t="shared" si="34"/>
        <v>0</v>
      </c>
      <c r="M111" s="25">
        <f t="shared" si="34"/>
        <v>0</v>
      </c>
      <c r="N111" s="25">
        <f t="shared" si="34"/>
        <v>0</v>
      </c>
      <c r="O111" s="24" t="s">
        <v>269</v>
      </c>
      <c r="P111" s="26" t="s">
        <v>31</v>
      </c>
      <c r="Q111" s="27" t="s">
        <v>38</v>
      </c>
    </row>
    <row r="112" spans="1:17" ht="40.5" x14ac:dyDescent="0.25">
      <c r="A112" s="22" t="s">
        <v>270</v>
      </c>
      <c r="B112" s="23" t="s">
        <v>271</v>
      </c>
      <c r="C112" s="24"/>
      <c r="D112" s="24"/>
      <c r="E112" s="28">
        <v>0</v>
      </c>
      <c r="F112" s="28">
        <v>0</v>
      </c>
      <c r="G112" s="28">
        <v>0</v>
      </c>
      <c r="H112" s="28">
        <v>0</v>
      </c>
      <c r="I112" s="28">
        <v>0</v>
      </c>
      <c r="J112" s="28">
        <v>0</v>
      </c>
      <c r="K112" s="28">
        <v>0</v>
      </c>
      <c r="L112" s="28">
        <v>0</v>
      </c>
      <c r="M112" s="28">
        <v>0</v>
      </c>
      <c r="N112" s="28">
        <v>0</v>
      </c>
      <c r="O112" s="24"/>
      <c r="P112" s="26"/>
      <c r="Q112" s="27"/>
    </row>
    <row r="113" spans="1:17" ht="40.5" x14ac:dyDescent="0.25">
      <c r="A113" s="10" t="s">
        <v>272</v>
      </c>
      <c r="B113" s="11" t="s">
        <v>273</v>
      </c>
      <c r="C113" s="12"/>
      <c r="D113" s="12"/>
      <c r="E113" s="13">
        <f t="shared" ref="E113:N113" si="35">E114+E117</f>
        <v>0</v>
      </c>
      <c r="F113" s="13">
        <f t="shared" si="35"/>
        <v>0</v>
      </c>
      <c r="G113" s="13">
        <f t="shared" si="35"/>
        <v>0</v>
      </c>
      <c r="H113" s="13">
        <f t="shared" si="35"/>
        <v>0</v>
      </c>
      <c r="I113" s="13">
        <f t="shared" si="35"/>
        <v>0</v>
      </c>
      <c r="J113" s="13">
        <f t="shared" si="35"/>
        <v>0</v>
      </c>
      <c r="K113" s="13">
        <f t="shared" si="35"/>
        <v>0</v>
      </c>
      <c r="L113" s="13">
        <f t="shared" si="35"/>
        <v>0</v>
      </c>
      <c r="M113" s="13">
        <f t="shared" si="35"/>
        <v>0</v>
      </c>
      <c r="N113" s="13">
        <f t="shared" si="35"/>
        <v>0</v>
      </c>
      <c r="O113" s="12"/>
      <c r="P113" s="14"/>
      <c r="Q113" s="15"/>
    </row>
    <row r="114" spans="1:17" ht="40.5" x14ac:dyDescent="0.25">
      <c r="A114" s="16" t="s">
        <v>274</v>
      </c>
      <c r="B114" s="17" t="s">
        <v>275</v>
      </c>
      <c r="C114" s="18"/>
      <c r="D114" s="18"/>
      <c r="E114" s="19">
        <f t="shared" ref="E114:N115" si="36">SUM(E115:E115)</f>
        <v>0</v>
      </c>
      <c r="F114" s="19">
        <f t="shared" si="36"/>
        <v>0</v>
      </c>
      <c r="G114" s="19">
        <f t="shared" si="36"/>
        <v>0</v>
      </c>
      <c r="H114" s="19">
        <f t="shared" si="36"/>
        <v>0</v>
      </c>
      <c r="I114" s="19">
        <f t="shared" si="36"/>
        <v>0</v>
      </c>
      <c r="J114" s="19">
        <f t="shared" si="36"/>
        <v>0</v>
      </c>
      <c r="K114" s="19">
        <f t="shared" si="36"/>
        <v>0</v>
      </c>
      <c r="L114" s="19">
        <f t="shared" si="36"/>
        <v>0</v>
      </c>
      <c r="M114" s="19">
        <f t="shared" si="36"/>
        <v>0</v>
      </c>
      <c r="N114" s="19">
        <f t="shared" si="36"/>
        <v>0</v>
      </c>
      <c r="O114" s="18"/>
      <c r="P114" s="20"/>
      <c r="Q114" s="21"/>
    </row>
    <row r="115" spans="1:17" ht="40.5" x14ac:dyDescent="0.25">
      <c r="A115" s="22" t="s">
        <v>276</v>
      </c>
      <c r="B115" s="23" t="s">
        <v>277</v>
      </c>
      <c r="C115" s="24" t="s">
        <v>179</v>
      </c>
      <c r="D115" s="24" t="s">
        <v>193</v>
      </c>
      <c r="E115" s="25">
        <f t="shared" si="36"/>
        <v>0</v>
      </c>
      <c r="F115" s="25">
        <f t="shared" si="36"/>
        <v>0</v>
      </c>
      <c r="G115" s="25">
        <f t="shared" si="36"/>
        <v>0</v>
      </c>
      <c r="H115" s="25">
        <f t="shared" si="36"/>
        <v>0</v>
      </c>
      <c r="I115" s="25">
        <f t="shared" si="36"/>
        <v>0</v>
      </c>
      <c r="J115" s="25">
        <f t="shared" si="36"/>
        <v>0</v>
      </c>
      <c r="K115" s="25">
        <f t="shared" si="36"/>
        <v>0</v>
      </c>
      <c r="L115" s="25">
        <f t="shared" si="36"/>
        <v>0</v>
      </c>
      <c r="M115" s="25">
        <f t="shared" si="36"/>
        <v>0</v>
      </c>
      <c r="N115" s="25">
        <f t="shared" si="36"/>
        <v>0</v>
      </c>
      <c r="O115" s="24" t="s">
        <v>278</v>
      </c>
      <c r="P115" s="26" t="s">
        <v>31</v>
      </c>
      <c r="Q115" s="27" t="s">
        <v>123</v>
      </c>
    </row>
    <row r="116" spans="1:17" x14ac:dyDescent="0.25">
      <c r="A116" s="22" t="s">
        <v>279</v>
      </c>
      <c r="B116" s="23" t="s">
        <v>280</v>
      </c>
      <c r="C116" s="24"/>
      <c r="D116" s="24"/>
      <c r="E116" s="28">
        <v>0</v>
      </c>
      <c r="F116" s="28">
        <v>0</v>
      </c>
      <c r="G116" s="28">
        <v>0</v>
      </c>
      <c r="H116" s="28">
        <v>0</v>
      </c>
      <c r="I116" s="28">
        <v>0</v>
      </c>
      <c r="J116" s="28">
        <v>0</v>
      </c>
      <c r="K116" s="28">
        <v>0</v>
      </c>
      <c r="L116" s="28">
        <v>0</v>
      </c>
      <c r="M116" s="28">
        <v>0</v>
      </c>
      <c r="N116" s="28">
        <v>0</v>
      </c>
      <c r="O116" s="24"/>
      <c r="P116" s="26"/>
      <c r="Q116" s="27"/>
    </row>
    <row r="117" spans="1:17" ht="40.5" x14ac:dyDescent="0.25">
      <c r="A117" s="16" t="s">
        <v>281</v>
      </c>
      <c r="B117" s="17" t="s">
        <v>282</v>
      </c>
      <c r="C117" s="18"/>
      <c r="D117" s="18"/>
      <c r="E117" s="19">
        <f t="shared" ref="E117:N118" si="37">SUM(E118:E118)</f>
        <v>0</v>
      </c>
      <c r="F117" s="19">
        <f t="shared" si="37"/>
        <v>0</v>
      </c>
      <c r="G117" s="19">
        <f t="shared" si="37"/>
        <v>0</v>
      </c>
      <c r="H117" s="19">
        <f t="shared" si="37"/>
        <v>0</v>
      </c>
      <c r="I117" s="19">
        <f t="shared" si="37"/>
        <v>0</v>
      </c>
      <c r="J117" s="19">
        <f t="shared" si="37"/>
        <v>0</v>
      </c>
      <c r="K117" s="19">
        <f t="shared" si="37"/>
        <v>0</v>
      </c>
      <c r="L117" s="19">
        <f t="shared" si="37"/>
        <v>0</v>
      </c>
      <c r="M117" s="19">
        <f t="shared" si="37"/>
        <v>0</v>
      </c>
      <c r="N117" s="19">
        <f t="shared" si="37"/>
        <v>0</v>
      </c>
      <c r="O117" s="18"/>
      <c r="P117" s="20"/>
      <c r="Q117" s="21"/>
    </row>
    <row r="118" spans="1:17" ht="40.5" x14ac:dyDescent="0.25">
      <c r="A118" s="22" t="s">
        <v>283</v>
      </c>
      <c r="B118" s="23" t="s">
        <v>284</v>
      </c>
      <c r="C118" s="24" t="s">
        <v>179</v>
      </c>
      <c r="D118" s="24" t="s">
        <v>193</v>
      </c>
      <c r="E118" s="25">
        <f t="shared" si="37"/>
        <v>0</v>
      </c>
      <c r="F118" s="25">
        <f t="shared" si="37"/>
        <v>0</v>
      </c>
      <c r="G118" s="25">
        <f t="shared" si="37"/>
        <v>0</v>
      </c>
      <c r="H118" s="25">
        <f t="shared" si="37"/>
        <v>0</v>
      </c>
      <c r="I118" s="25">
        <f t="shared" si="37"/>
        <v>0</v>
      </c>
      <c r="J118" s="25">
        <f t="shared" si="37"/>
        <v>0</v>
      </c>
      <c r="K118" s="25">
        <f t="shared" si="37"/>
        <v>0</v>
      </c>
      <c r="L118" s="25">
        <f t="shared" si="37"/>
        <v>0</v>
      </c>
      <c r="M118" s="25">
        <f t="shared" si="37"/>
        <v>0</v>
      </c>
      <c r="N118" s="25">
        <f t="shared" si="37"/>
        <v>0</v>
      </c>
      <c r="O118" s="24" t="s">
        <v>285</v>
      </c>
      <c r="P118" s="26" t="s">
        <v>31</v>
      </c>
      <c r="Q118" s="27" t="s">
        <v>123</v>
      </c>
    </row>
    <row r="119" spans="1:17" ht="40.5" x14ac:dyDescent="0.25">
      <c r="A119" s="22" t="s">
        <v>286</v>
      </c>
      <c r="B119" s="23" t="s">
        <v>287</v>
      </c>
      <c r="C119" s="24"/>
      <c r="D119" s="24"/>
      <c r="E119" s="28">
        <v>0</v>
      </c>
      <c r="F119" s="28">
        <v>0</v>
      </c>
      <c r="G119" s="28">
        <v>0</v>
      </c>
      <c r="H119" s="28">
        <v>0</v>
      </c>
      <c r="I119" s="28">
        <v>0</v>
      </c>
      <c r="J119" s="28">
        <v>0</v>
      </c>
      <c r="K119" s="28">
        <v>0</v>
      </c>
      <c r="L119" s="28">
        <v>0</v>
      </c>
      <c r="M119" s="28">
        <v>0</v>
      </c>
      <c r="N119" s="28">
        <v>0</v>
      </c>
      <c r="O119" s="24"/>
      <c r="P119" s="26"/>
      <c r="Q119" s="27"/>
    </row>
    <row r="120" spans="1:17" ht="40.5" x14ac:dyDescent="0.25">
      <c r="A120" s="10" t="s">
        <v>288</v>
      </c>
      <c r="B120" s="11" t="s">
        <v>289</v>
      </c>
      <c r="C120" s="12"/>
      <c r="D120" s="12"/>
      <c r="E120" s="13">
        <f t="shared" ref="E120:N120" si="38">E121+E144</f>
        <v>466962</v>
      </c>
      <c r="F120" s="13">
        <f t="shared" si="38"/>
        <v>40000</v>
      </c>
      <c r="G120" s="13">
        <f t="shared" si="38"/>
        <v>0</v>
      </c>
      <c r="H120" s="13">
        <f t="shared" si="38"/>
        <v>0</v>
      </c>
      <c r="I120" s="13">
        <f t="shared" si="38"/>
        <v>0</v>
      </c>
      <c r="J120" s="13">
        <f t="shared" si="38"/>
        <v>53243</v>
      </c>
      <c r="K120" s="13">
        <f t="shared" si="38"/>
        <v>373719</v>
      </c>
      <c r="L120" s="13">
        <f t="shared" si="38"/>
        <v>0</v>
      </c>
      <c r="M120" s="13">
        <f t="shared" si="38"/>
        <v>0</v>
      </c>
      <c r="N120" s="13">
        <f t="shared" si="38"/>
        <v>0</v>
      </c>
      <c r="O120" s="12"/>
      <c r="P120" s="14"/>
      <c r="Q120" s="15"/>
    </row>
    <row r="121" spans="1:17" ht="60.75" x14ac:dyDescent="0.25">
      <c r="A121" s="16" t="s">
        <v>290</v>
      </c>
      <c r="B121" s="17" t="s">
        <v>291</v>
      </c>
      <c r="C121" s="18"/>
      <c r="D121" s="18" t="s">
        <v>233</v>
      </c>
      <c r="E121" s="19">
        <f t="shared" ref="E121:N121" si="39">E122+E132+E142</f>
        <v>400000</v>
      </c>
      <c r="F121" s="19">
        <f t="shared" si="39"/>
        <v>40000</v>
      </c>
      <c r="G121" s="19">
        <f t="shared" si="39"/>
        <v>0</v>
      </c>
      <c r="H121" s="19">
        <f t="shared" si="39"/>
        <v>0</v>
      </c>
      <c r="I121" s="19">
        <f t="shared" si="39"/>
        <v>0</v>
      </c>
      <c r="J121" s="19">
        <f t="shared" si="39"/>
        <v>25000</v>
      </c>
      <c r="K121" s="19">
        <f t="shared" si="39"/>
        <v>335000</v>
      </c>
      <c r="L121" s="19">
        <f t="shared" si="39"/>
        <v>0</v>
      </c>
      <c r="M121" s="19">
        <f t="shared" si="39"/>
        <v>0</v>
      </c>
      <c r="N121" s="19">
        <f t="shared" si="39"/>
        <v>0</v>
      </c>
      <c r="O121" s="18"/>
      <c r="P121" s="20"/>
      <c r="Q121" s="21"/>
    </row>
    <row r="122" spans="1:17" ht="60.75" x14ac:dyDescent="0.25">
      <c r="A122" s="22" t="s">
        <v>292</v>
      </c>
      <c r="B122" s="23" t="s">
        <v>293</v>
      </c>
      <c r="C122" s="24" t="s">
        <v>179</v>
      </c>
      <c r="D122" s="24" t="s">
        <v>219</v>
      </c>
      <c r="E122" s="25">
        <f>SUM(E123:E131)+295000</f>
        <v>295000</v>
      </c>
      <c r="F122" s="25">
        <f>SUM(F123:F131)+40000</f>
        <v>40000</v>
      </c>
      <c r="G122" s="25">
        <f>SUM(G123:G131)</f>
        <v>0</v>
      </c>
      <c r="H122" s="25">
        <f>SUM(H123:H131)</f>
        <v>0</v>
      </c>
      <c r="I122" s="25">
        <f>SUM(I123:I131)</f>
        <v>0</v>
      </c>
      <c r="J122" s="25">
        <f>SUM(J123:J131)</f>
        <v>0</v>
      </c>
      <c r="K122" s="25">
        <f>SUM(K123:K131)+255000</f>
        <v>255000</v>
      </c>
      <c r="L122" s="25">
        <f>SUM(L123:L131)</f>
        <v>0</v>
      </c>
      <c r="M122" s="25">
        <f>SUM(M123:M131)</f>
        <v>0</v>
      </c>
      <c r="N122" s="25">
        <f>SUM(N123:N131)</f>
        <v>0</v>
      </c>
      <c r="O122" s="24" t="s">
        <v>224</v>
      </c>
      <c r="P122" s="26" t="s">
        <v>31</v>
      </c>
      <c r="Q122" s="27" t="s">
        <v>294</v>
      </c>
    </row>
    <row r="123" spans="1:17" x14ac:dyDescent="0.25">
      <c r="A123" s="29"/>
      <c r="B123" s="30"/>
      <c r="C123" s="31"/>
      <c r="D123" s="31"/>
      <c r="E123" s="32">
        <v>0</v>
      </c>
      <c r="F123" s="32">
        <v>0</v>
      </c>
      <c r="G123" s="32">
        <v>0</v>
      </c>
      <c r="H123" s="32">
        <v>0</v>
      </c>
      <c r="I123" s="32">
        <v>0</v>
      </c>
      <c r="J123" s="32">
        <v>0</v>
      </c>
      <c r="K123" s="32">
        <v>0</v>
      </c>
      <c r="L123" s="32">
        <v>0</v>
      </c>
      <c r="M123" s="32">
        <v>0</v>
      </c>
      <c r="N123" s="32">
        <v>0</v>
      </c>
      <c r="O123" s="31" t="s">
        <v>201</v>
      </c>
      <c r="P123" s="33" t="s">
        <v>31</v>
      </c>
      <c r="Q123" s="34" t="s">
        <v>92</v>
      </c>
    </row>
    <row r="124" spans="1:17" x14ac:dyDescent="0.25">
      <c r="A124" s="29"/>
      <c r="B124" s="30"/>
      <c r="C124" s="31"/>
      <c r="D124" s="31"/>
      <c r="E124" s="32">
        <v>0</v>
      </c>
      <c r="F124" s="32">
        <v>0</v>
      </c>
      <c r="G124" s="32">
        <v>0</v>
      </c>
      <c r="H124" s="32">
        <v>0</v>
      </c>
      <c r="I124" s="32">
        <v>0</v>
      </c>
      <c r="J124" s="32">
        <v>0</v>
      </c>
      <c r="K124" s="32">
        <v>0</v>
      </c>
      <c r="L124" s="32">
        <v>0</v>
      </c>
      <c r="M124" s="32">
        <v>0</v>
      </c>
      <c r="N124" s="32">
        <v>0</v>
      </c>
      <c r="O124" s="31" t="s">
        <v>220</v>
      </c>
      <c r="P124" s="33" t="s">
        <v>221</v>
      </c>
      <c r="Q124" s="34" t="s">
        <v>294</v>
      </c>
    </row>
    <row r="125" spans="1:17" ht="40.5" x14ac:dyDescent="0.25">
      <c r="A125" s="29"/>
      <c r="B125" s="30"/>
      <c r="C125" s="31"/>
      <c r="D125" s="31"/>
      <c r="E125" s="32">
        <v>0</v>
      </c>
      <c r="F125" s="32">
        <v>0</v>
      </c>
      <c r="G125" s="32">
        <v>0</v>
      </c>
      <c r="H125" s="32">
        <v>0</v>
      </c>
      <c r="I125" s="32">
        <v>0</v>
      </c>
      <c r="J125" s="32">
        <v>0</v>
      </c>
      <c r="K125" s="32">
        <v>0</v>
      </c>
      <c r="L125" s="32">
        <v>0</v>
      </c>
      <c r="M125" s="32">
        <v>0</v>
      </c>
      <c r="N125" s="32">
        <v>0</v>
      </c>
      <c r="O125" s="31" t="s">
        <v>223</v>
      </c>
      <c r="P125" s="33" t="s">
        <v>221</v>
      </c>
      <c r="Q125" s="34" t="s">
        <v>68</v>
      </c>
    </row>
    <row r="126" spans="1:17" x14ac:dyDescent="0.25">
      <c r="A126" s="29"/>
      <c r="B126" s="30"/>
      <c r="C126" s="31"/>
      <c r="D126" s="31"/>
      <c r="E126" s="32">
        <v>0</v>
      </c>
      <c r="F126" s="32">
        <v>0</v>
      </c>
      <c r="G126" s="32">
        <v>0</v>
      </c>
      <c r="H126" s="32">
        <v>0</v>
      </c>
      <c r="I126" s="32">
        <v>0</v>
      </c>
      <c r="J126" s="32">
        <v>0</v>
      </c>
      <c r="K126" s="32">
        <v>0</v>
      </c>
      <c r="L126" s="32">
        <v>0</v>
      </c>
      <c r="M126" s="32">
        <v>0</v>
      </c>
      <c r="N126" s="32">
        <v>0</v>
      </c>
      <c r="O126" s="31" t="s">
        <v>295</v>
      </c>
      <c r="P126" s="33" t="s">
        <v>31</v>
      </c>
      <c r="Q126" s="34" t="s">
        <v>92</v>
      </c>
    </row>
    <row r="127" spans="1:17" x14ac:dyDescent="0.25">
      <c r="A127" s="22" t="s">
        <v>296</v>
      </c>
      <c r="B127" s="23" t="s">
        <v>297</v>
      </c>
      <c r="C127" s="24"/>
      <c r="D127" s="24"/>
      <c r="E127" s="28">
        <v>0</v>
      </c>
      <c r="F127" s="28">
        <v>0</v>
      </c>
      <c r="G127" s="28">
        <v>0</v>
      </c>
      <c r="H127" s="28">
        <v>0</v>
      </c>
      <c r="I127" s="28">
        <v>0</v>
      </c>
      <c r="J127" s="28">
        <v>0</v>
      </c>
      <c r="K127" s="28">
        <v>0</v>
      </c>
      <c r="L127" s="28">
        <v>0</v>
      </c>
      <c r="M127" s="28">
        <v>0</v>
      </c>
      <c r="N127" s="28">
        <v>0</v>
      </c>
      <c r="O127" s="24"/>
      <c r="P127" s="26"/>
      <c r="Q127" s="27"/>
    </row>
    <row r="128" spans="1:17" ht="40.5" x14ac:dyDescent="0.25">
      <c r="A128" s="22" t="s">
        <v>298</v>
      </c>
      <c r="B128" s="23" t="s">
        <v>299</v>
      </c>
      <c r="C128" s="24"/>
      <c r="D128" s="24"/>
      <c r="E128" s="28">
        <v>0</v>
      </c>
      <c r="F128" s="28">
        <v>0</v>
      </c>
      <c r="G128" s="28">
        <v>0</v>
      </c>
      <c r="H128" s="28">
        <v>0</v>
      </c>
      <c r="I128" s="28">
        <v>0</v>
      </c>
      <c r="J128" s="28">
        <v>0</v>
      </c>
      <c r="K128" s="28">
        <v>0</v>
      </c>
      <c r="L128" s="28">
        <v>0</v>
      </c>
      <c r="M128" s="28">
        <v>0</v>
      </c>
      <c r="N128" s="28">
        <v>0</v>
      </c>
      <c r="O128" s="24"/>
      <c r="P128" s="26"/>
      <c r="Q128" s="27"/>
    </row>
    <row r="129" spans="1:17" x14ac:dyDescent="0.25">
      <c r="A129" s="22" t="s">
        <v>300</v>
      </c>
      <c r="B129" s="23" t="s">
        <v>301</v>
      </c>
      <c r="C129" s="24"/>
      <c r="D129" s="24"/>
      <c r="E129" s="28">
        <v>0</v>
      </c>
      <c r="F129" s="28">
        <v>0</v>
      </c>
      <c r="G129" s="28">
        <v>0</v>
      </c>
      <c r="H129" s="28">
        <v>0</v>
      </c>
      <c r="I129" s="28">
        <v>0</v>
      </c>
      <c r="J129" s="28">
        <v>0</v>
      </c>
      <c r="K129" s="28">
        <v>0</v>
      </c>
      <c r="L129" s="28">
        <v>0</v>
      </c>
      <c r="M129" s="28">
        <v>0</v>
      </c>
      <c r="N129" s="28">
        <v>0</v>
      </c>
      <c r="O129" s="24"/>
      <c r="P129" s="26"/>
      <c r="Q129" s="27"/>
    </row>
    <row r="130" spans="1:17" x14ac:dyDescent="0.25">
      <c r="A130" s="22" t="s">
        <v>302</v>
      </c>
      <c r="B130" s="23" t="s">
        <v>303</v>
      </c>
      <c r="C130" s="24"/>
      <c r="D130" s="24"/>
      <c r="E130" s="28">
        <v>0</v>
      </c>
      <c r="F130" s="28">
        <v>0</v>
      </c>
      <c r="G130" s="28">
        <v>0</v>
      </c>
      <c r="H130" s="28">
        <v>0</v>
      </c>
      <c r="I130" s="28">
        <v>0</v>
      </c>
      <c r="J130" s="28">
        <v>0</v>
      </c>
      <c r="K130" s="28">
        <v>0</v>
      </c>
      <c r="L130" s="28">
        <v>0</v>
      </c>
      <c r="M130" s="28">
        <v>0</v>
      </c>
      <c r="N130" s="28">
        <v>0</v>
      </c>
      <c r="O130" s="24"/>
      <c r="P130" s="26"/>
      <c r="Q130" s="27"/>
    </row>
    <row r="131" spans="1:17" ht="40.5" x14ac:dyDescent="0.25">
      <c r="A131" s="22" t="s">
        <v>304</v>
      </c>
      <c r="B131" s="23" t="s">
        <v>1411</v>
      </c>
      <c r="C131" s="24"/>
      <c r="D131" s="24"/>
      <c r="E131" s="28">
        <v>0</v>
      </c>
      <c r="F131" s="28">
        <v>0</v>
      </c>
      <c r="G131" s="28">
        <v>0</v>
      </c>
      <c r="H131" s="28">
        <v>0</v>
      </c>
      <c r="I131" s="28">
        <v>0</v>
      </c>
      <c r="J131" s="28">
        <v>0</v>
      </c>
      <c r="K131" s="28">
        <v>0</v>
      </c>
      <c r="L131" s="28">
        <v>0</v>
      </c>
      <c r="M131" s="28">
        <v>0</v>
      </c>
      <c r="N131" s="28">
        <v>0</v>
      </c>
      <c r="O131" s="24"/>
      <c r="P131" s="26"/>
      <c r="Q131" s="27"/>
    </row>
    <row r="132" spans="1:17" ht="60.75" x14ac:dyDescent="0.25">
      <c r="A132" s="22" t="s">
        <v>305</v>
      </c>
      <c r="B132" s="23" t="s">
        <v>306</v>
      </c>
      <c r="C132" s="24" t="s">
        <v>179</v>
      </c>
      <c r="D132" s="24" t="s">
        <v>219</v>
      </c>
      <c r="E132" s="25">
        <f>SUM(E133:E141)+5000</f>
        <v>5000</v>
      </c>
      <c r="F132" s="25">
        <f>SUM(F133:F141)</f>
        <v>0</v>
      </c>
      <c r="G132" s="25">
        <f>SUM(G133:G141)</f>
        <v>0</v>
      </c>
      <c r="H132" s="25">
        <f>SUM(H133:H141)</f>
        <v>0</v>
      </c>
      <c r="I132" s="25">
        <f>SUM(I133:I141)</f>
        <v>0</v>
      </c>
      <c r="J132" s="25">
        <f>SUM(J133:J141)+5000</f>
        <v>5000</v>
      </c>
      <c r="K132" s="25">
        <f>SUM(K133:K141)</f>
        <v>0</v>
      </c>
      <c r="L132" s="25">
        <f>SUM(L133:L141)</f>
        <v>0</v>
      </c>
      <c r="M132" s="25">
        <f>SUM(M133:M141)</f>
        <v>0</v>
      </c>
      <c r="N132" s="25">
        <f>SUM(N133:N141)</f>
        <v>0</v>
      </c>
      <c r="O132" s="24" t="s">
        <v>201</v>
      </c>
      <c r="P132" s="26" t="s">
        <v>221</v>
      </c>
      <c r="Q132" s="27" t="s">
        <v>38</v>
      </c>
    </row>
    <row r="133" spans="1:17" x14ac:dyDescent="0.25">
      <c r="A133" s="29"/>
      <c r="B133" s="30"/>
      <c r="C133" s="31"/>
      <c r="D133" s="31"/>
      <c r="E133" s="32">
        <v>0</v>
      </c>
      <c r="F133" s="32">
        <v>0</v>
      </c>
      <c r="G133" s="32">
        <v>0</v>
      </c>
      <c r="H133" s="32">
        <v>0</v>
      </c>
      <c r="I133" s="32">
        <v>0</v>
      </c>
      <c r="J133" s="32">
        <v>0</v>
      </c>
      <c r="K133" s="32">
        <v>0</v>
      </c>
      <c r="L133" s="32">
        <v>0</v>
      </c>
      <c r="M133" s="32">
        <v>0</v>
      </c>
      <c r="N133" s="32">
        <v>0</v>
      </c>
      <c r="O133" s="31" t="s">
        <v>220</v>
      </c>
      <c r="P133" s="33" t="s">
        <v>221</v>
      </c>
      <c r="Q133" s="34" t="s">
        <v>68</v>
      </c>
    </row>
    <row r="134" spans="1:17" ht="40.5" x14ac:dyDescent="0.25">
      <c r="A134" s="29"/>
      <c r="B134" s="30"/>
      <c r="C134" s="31"/>
      <c r="D134" s="31"/>
      <c r="E134" s="32">
        <v>0</v>
      </c>
      <c r="F134" s="32">
        <v>0</v>
      </c>
      <c r="G134" s="32">
        <v>0</v>
      </c>
      <c r="H134" s="32">
        <v>0</v>
      </c>
      <c r="I134" s="32">
        <v>0</v>
      </c>
      <c r="J134" s="32">
        <v>0</v>
      </c>
      <c r="K134" s="32">
        <v>0</v>
      </c>
      <c r="L134" s="32">
        <v>0</v>
      </c>
      <c r="M134" s="32">
        <v>0</v>
      </c>
      <c r="N134" s="32">
        <v>0</v>
      </c>
      <c r="O134" s="31" t="s">
        <v>223</v>
      </c>
      <c r="P134" s="33" t="s">
        <v>221</v>
      </c>
      <c r="Q134" s="34" t="s">
        <v>68</v>
      </c>
    </row>
    <row r="135" spans="1:17" x14ac:dyDescent="0.25">
      <c r="A135" s="29"/>
      <c r="B135" s="30"/>
      <c r="C135" s="31"/>
      <c r="D135" s="31"/>
      <c r="E135" s="32">
        <v>0</v>
      </c>
      <c r="F135" s="32">
        <v>0</v>
      </c>
      <c r="G135" s="32">
        <v>0</v>
      </c>
      <c r="H135" s="32">
        <v>0</v>
      </c>
      <c r="I135" s="32">
        <v>0</v>
      </c>
      <c r="J135" s="32">
        <v>0</v>
      </c>
      <c r="K135" s="32">
        <v>0</v>
      </c>
      <c r="L135" s="32">
        <v>0</v>
      </c>
      <c r="M135" s="32">
        <v>0</v>
      </c>
      <c r="N135" s="32">
        <v>0</v>
      </c>
      <c r="O135" s="31" t="s">
        <v>295</v>
      </c>
      <c r="P135" s="33" t="s">
        <v>31</v>
      </c>
      <c r="Q135" s="34" t="s">
        <v>38</v>
      </c>
    </row>
    <row r="136" spans="1:17" ht="40.5" x14ac:dyDescent="0.25">
      <c r="A136" s="29"/>
      <c r="B136" s="30"/>
      <c r="C136" s="31"/>
      <c r="D136" s="31"/>
      <c r="E136" s="32">
        <v>0</v>
      </c>
      <c r="F136" s="32">
        <v>0</v>
      </c>
      <c r="G136" s="32">
        <v>0</v>
      </c>
      <c r="H136" s="32">
        <v>0</v>
      </c>
      <c r="I136" s="32">
        <v>0</v>
      </c>
      <c r="J136" s="32">
        <v>0</v>
      </c>
      <c r="K136" s="32">
        <v>0</v>
      </c>
      <c r="L136" s="32">
        <v>0</v>
      </c>
      <c r="M136" s="32">
        <v>0</v>
      </c>
      <c r="N136" s="32">
        <v>0</v>
      </c>
      <c r="O136" s="31" t="s">
        <v>224</v>
      </c>
      <c r="P136" s="33" t="s">
        <v>221</v>
      </c>
      <c r="Q136" s="34" t="s">
        <v>68</v>
      </c>
    </row>
    <row r="137" spans="1:17" ht="81" x14ac:dyDescent="0.25">
      <c r="A137" s="22" t="s">
        <v>307</v>
      </c>
      <c r="B137" s="23" t="s">
        <v>308</v>
      </c>
      <c r="C137" s="24"/>
      <c r="D137" s="24"/>
      <c r="E137" s="28">
        <v>0</v>
      </c>
      <c r="F137" s="28">
        <v>0</v>
      </c>
      <c r="G137" s="28">
        <v>0</v>
      </c>
      <c r="H137" s="28">
        <v>0</v>
      </c>
      <c r="I137" s="28">
        <v>0</v>
      </c>
      <c r="J137" s="28">
        <v>0</v>
      </c>
      <c r="K137" s="28">
        <v>0</v>
      </c>
      <c r="L137" s="28">
        <v>0</v>
      </c>
      <c r="M137" s="28">
        <v>0</v>
      </c>
      <c r="N137" s="28">
        <v>0</v>
      </c>
      <c r="O137" s="24"/>
      <c r="P137" s="26"/>
      <c r="Q137" s="27"/>
    </row>
    <row r="138" spans="1:17" ht="40.5" x14ac:dyDescent="0.25">
      <c r="A138" s="22" t="s">
        <v>309</v>
      </c>
      <c r="B138" s="23" t="s">
        <v>310</v>
      </c>
      <c r="C138" s="24"/>
      <c r="D138" s="24"/>
      <c r="E138" s="28">
        <v>0</v>
      </c>
      <c r="F138" s="28">
        <v>0</v>
      </c>
      <c r="G138" s="28">
        <v>0</v>
      </c>
      <c r="H138" s="28">
        <v>0</v>
      </c>
      <c r="I138" s="28">
        <v>0</v>
      </c>
      <c r="J138" s="28">
        <v>0</v>
      </c>
      <c r="K138" s="28">
        <v>0</v>
      </c>
      <c r="L138" s="28">
        <v>0</v>
      </c>
      <c r="M138" s="28">
        <v>0</v>
      </c>
      <c r="N138" s="28">
        <v>0</v>
      </c>
      <c r="O138" s="24"/>
      <c r="P138" s="26"/>
      <c r="Q138" s="27"/>
    </row>
    <row r="139" spans="1:17" x14ac:dyDescent="0.25">
      <c r="A139" s="22" t="s">
        <v>311</v>
      </c>
      <c r="B139" s="23" t="s">
        <v>312</v>
      </c>
      <c r="C139" s="24"/>
      <c r="D139" s="24"/>
      <c r="E139" s="28">
        <v>0</v>
      </c>
      <c r="F139" s="28">
        <v>0</v>
      </c>
      <c r="G139" s="28">
        <v>0</v>
      </c>
      <c r="H139" s="28">
        <v>0</v>
      </c>
      <c r="I139" s="28">
        <v>0</v>
      </c>
      <c r="J139" s="28">
        <v>0</v>
      </c>
      <c r="K139" s="28">
        <v>0</v>
      </c>
      <c r="L139" s="28">
        <v>0</v>
      </c>
      <c r="M139" s="28">
        <v>0</v>
      </c>
      <c r="N139" s="28">
        <v>0</v>
      </c>
      <c r="O139" s="24"/>
      <c r="P139" s="26"/>
      <c r="Q139" s="27"/>
    </row>
    <row r="140" spans="1:17" x14ac:dyDescent="0.25">
      <c r="A140" s="22" t="s">
        <v>313</v>
      </c>
      <c r="B140" s="23" t="s">
        <v>314</v>
      </c>
      <c r="C140" s="24"/>
      <c r="D140" s="24"/>
      <c r="E140" s="28">
        <v>0</v>
      </c>
      <c r="F140" s="28">
        <v>0</v>
      </c>
      <c r="G140" s="28">
        <v>0</v>
      </c>
      <c r="H140" s="28">
        <v>0</v>
      </c>
      <c r="I140" s="28">
        <v>0</v>
      </c>
      <c r="J140" s="28">
        <v>0</v>
      </c>
      <c r="K140" s="28">
        <v>0</v>
      </c>
      <c r="L140" s="28">
        <v>0</v>
      </c>
      <c r="M140" s="28">
        <v>0</v>
      </c>
      <c r="N140" s="28">
        <v>0</v>
      </c>
      <c r="O140" s="24"/>
      <c r="P140" s="26"/>
      <c r="Q140" s="27"/>
    </row>
    <row r="141" spans="1:17" ht="40.5" x14ac:dyDescent="0.25">
      <c r="A141" s="22" t="s">
        <v>315</v>
      </c>
      <c r="B141" s="23" t="s">
        <v>316</v>
      </c>
      <c r="C141" s="24"/>
      <c r="D141" s="24"/>
      <c r="E141" s="28">
        <v>0</v>
      </c>
      <c r="F141" s="28">
        <v>0</v>
      </c>
      <c r="G141" s="28">
        <v>0</v>
      </c>
      <c r="H141" s="28">
        <v>0</v>
      </c>
      <c r="I141" s="28">
        <v>0</v>
      </c>
      <c r="J141" s="28">
        <v>0</v>
      </c>
      <c r="K141" s="28">
        <v>0</v>
      </c>
      <c r="L141" s="28">
        <v>0</v>
      </c>
      <c r="M141" s="28">
        <v>0</v>
      </c>
      <c r="N141" s="28">
        <v>0</v>
      </c>
      <c r="O141" s="24"/>
      <c r="P141" s="26"/>
      <c r="Q141" s="27"/>
    </row>
    <row r="142" spans="1:17" ht="81" x14ac:dyDescent="0.25">
      <c r="A142" s="22" t="s">
        <v>317</v>
      </c>
      <c r="B142" s="23" t="s">
        <v>318</v>
      </c>
      <c r="C142" s="24"/>
      <c r="D142" s="24" t="s">
        <v>233</v>
      </c>
      <c r="E142" s="25">
        <f>SUM(E143:E143)+100000</f>
        <v>100000</v>
      </c>
      <c r="F142" s="25">
        <f>SUM(F143:F143)</f>
        <v>0</v>
      </c>
      <c r="G142" s="25">
        <f>SUM(G143:G143)</f>
        <v>0</v>
      </c>
      <c r="H142" s="25">
        <f>SUM(H143:H143)</f>
        <v>0</v>
      </c>
      <c r="I142" s="25">
        <f>SUM(I143:I143)</f>
        <v>0</v>
      </c>
      <c r="J142" s="25">
        <f>SUM(J143:J143)+20000</f>
        <v>20000</v>
      </c>
      <c r="K142" s="25">
        <f>SUM(K143:K143)+80000</f>
        <v>80000</v>
      </c>
      <c r="L142" s="25">
        <f>SUM(L143:L143)</f>
        <v>0</v>
      </c>
      <c r="M142" s="25">
        <f>SUM(M143:M143)</f>
        <v>0</v>
      </c>
      <c r="N142" s="25">
        <f>SUM(N143:N143)</f>
        <v>0</v>
      </c>
      <c r="O142" s="24" t="s">
        <v>319</v>
      </c>
      <c r="P142" s="26" t="s">
        <v>31</v>
      </c>
      <c r="Q142" s="27" t="s">
        <v>38</v>
      </c>
    </row>
    <row r="143" spans="1:17" ht="40.5" x14ac:dyDescent="0.25">
      <c r="A143" s="22" t="s">
        <v>320</v>
      </c>
      <c r="B143" s="23" t="s">
        <v>321</v>
      </c>
      <c r="C143" s="24"/>
      <c r="D143" s="24"/>
      <c r="E143" s="28">
        <v>0</v>
      </c>
      <c r="F143" s="28">
        <v>0</v>
      </c>
      <c r="G143" s="28">
        <v>0</v>
      </c>
      <c r="H143" s="28">
        <v>0</v>
      </c>
      <c r="I143" s="28">
        <v>0</v>
      </c>
      <c r="J143" s="28">
        <v>0</v>
      </c>
      <c r="K143" s="28">
        <v>0</v>
      </c>
      <c r="L143" s="28">
        <v>0</v>
      </c>
      <c r="M143" s="28">
        <v>0</v>
      </c>
      <c r="N143" s="28">
        <v>0</v>
      </c>
      <c r="O143" s="24"/>
      <c r="P143" s="26"/>
      <c r="Q143" s="27"/>
    </row>
    <row r="144" spans="1:17" ht="58.5" customHeight="1" x14ac:dyDescent="0.25">
      <c r="A144" s="16" t="s">
        <v>322</v>
      </c>
      <c r="B144" s="17" t="s">
        <v>323</v>
      </c>
      <c r="C144" s="18"/>
      <c r="D144" s="18"/>
      <c r="E144" s="19">
        <f t="shared" ref="E144:N144" si="40">SUM(E145:E145)</f>
        <v>66962</v>
      </c>
      <c r="F144" s="19">
        <f t="shared" si="40"/>
        <v>0</v>
      </c>
      <c r="G144" s="19">
        <f t="shared" si="40"/>
        <v>0</v>
      </c>
      <c r="H144" s="19">
        <f t="shared" si="40"/>
        <v>0</v>
      </c>
      <c r="I144" s="19">
        <f t="shared" si="40"/>
        <v>0</v>
      </c>
      <c r="J144" s="19">
        <f t="shared" si="40"/>
        <v>28243</v>
      </c>
      <c r="K144" s="19">
        <f t="shared" si="40"/>
        <v>38719</v>
      </c>
      <c r="L144" s="19">
        <f t="shared" si="40"/>
        <v>0</v>
      </c>
      <c r="M144" s="19">
        <f t="shared" si="40"/>
        <v>0</v>
      </c>
      <c r="N144" s="19">
        <f t="shared" si="40"/>
        <v>0</v>
      </c>
      <c r="O144" s="18"/>
      <c r="P144" s="20"/>
      <c r="Q144" s="21"/>
    </row>
    <row r="145" spans="1:17" ht="81" x14ac:dyDescent="0.25">
      <c r="A145" s="22" t="s">
        <v>324</v>
      </c>
      <c r="B145" s="23" t="s">
        <v>325</v>
      </c>
      <c r="C145" s="24" t="s">
        <v>179</v>
      </c>
      <c r="D145" s="24" t="s">
        <v>187</v>
      </c>
      <c r="E145" s="25">
        <f>SUM(E146:E146)+66962</f>
        <v>66962</v>
      </c>
      <c r="F145" s="25">
        <f>SUM(F146:F146)</f>
        <v>0</v>
      </c>
      <c r="G145" s="25">
        <f>SUM(G146:G146)</f>
        <v>0</v>
      </c>
      <c r="H145" s="25">
        <f>SUM(H146:H146)</f>
        <v>0</v>
      </c>
      <c r="I145" s="25">
        <f>SUM(I146:I146)</f>
        <v>0</v>
      </c>
      <c r="J145" s="25">
        <f>SUM(J146:J146)+28243</f>
        <v>28243</v>
      </c>
      <c r="K145" s="25">
        <f>SUM(K146:K146)+38719</f>
        <v>38719</v>
      </c>
      <c r="L145" s="25">
        <f>SUM(L146:L146)</f>
        <v>0</v>
      </c>
      <c r="M145" s="25">
        <f>SUM(M146:M146)</f>
        <v>0</v>
      </c>
      <c r="N145" s="25">
        <f>SUM(N146:N146)</f>
        <v>0</v>
      </c>
      <c r="O145" s="24" t="s">
        <v>326</v>
      </c>
      <c r="P145" s="26" t="s">
        <v>327</v>
      </c>
      <c r="Q145" s="27" t="s">
        <v>328</v>
      </c>
    </row>
    <row r="146" spans="1:17" ht="40.5" x14ac:dyDescent="0.25">
      <c r="A146" s="22" t="s">
        <v>329</v>
      </c>
      <c r="B146" s="23" t="s">
        <v>330</v>
      </c>
      <c r="C146" s="24"/>
      <c r="D146" s="24"/>
      <c r="E146" s="28">
        <v>0</v>
      </c>
      <c r="F146" s="28">
        <v>0</v>
      </c>
      <c r="G146" s="28">
        <v>0</v>
      </c>
      <c r="H146" s="28">
        <v>0</v>
      </c>
      <c r="I146" s="28">
        <v>0</v>
      </c>
      <c r="J146" s="28">
        <v>0</v>
      </c>
      <c r="K146" s="28">
        <v>0</v>
      </c>
      <c r="L146" s="28">
        <v>0</v>
      </c>
      <c r="M146" s="28">
        <v>0</v>
      </c>
      <c r="N146" s="28">
        <v>0</v>
      </c>
      <c r="O146" s="24"/>
      <c r="P146" s="26"/>
      <c r="Q146" s="27"/>
    </row>
    <row r="147" spans="1:17" ht="40.5" x14ac:dyDescent="0.25">
      <c r="A147" s="10" t="s">
        <v>331</v>
      </c>
      <c r="B147" s="11" t="s">
        <v>332</v>
      </c>
      <c r="C147" s="12"/>
      <c r="D147" s="12" t="s">
        <v>193</v>
      </c>
      <c r="E147" s="13">
        <f t="shared" ref="E147:N147" si="41">SUM(E148:E148)</f>
        <v>352970</v>
      </c>
      <c r="F147" s="13">
        <f t="shared" si="41"/>
        <v>70594</v>
      </c>
      <c r="G147" s="13">
        <f t="shared" si="41"/>
        <v>0</v>
      </c>
      <c r="H147" s="13">
        <f t="shared" si="41"/>
        <v>0</v>
      </c>
      <c r="I147" s="13">
        <f t="shared" si="41"/>
        <v>0</v>
      </c>
      <c r="J147" s="13">
        <f t="shared" si="41"/>
        <v>0</v>
      </c>
      <c r="K147" s="13">
        <f t="shared" si="41"/>
        <v>240020</v>
      </c>
      <c r="L147" s="13">
        <f t="shared" si="41"/>
        <v>42356</v>
      </c>
      <c r="M147" s="13">
        <f t="shared" si="41"/>
        <v>0</v>
      </c>
      <c r="N147" s="13">
        <f t="shared" si="41"/>
        <v>0</v>
      </c>
      <c r="O147" s="12"/>
      <c r="P147" s="14"/>
      <c r="Q147" s="15"/>
    </row>
    <row r="148" spans="1:17" ht="81" x14ac:dyDescent="0.25">
      <c r="A148" s="16" t="s">
        <v>333</v>
      </c>
      <c r="B148" s="17" t="s">
        <v>334</v>
      </c>
      <c r="C148" s="18"/>
      <c r="D148" s="18"/>
      <c r="E148" s="19">
        <f t="shared" ref="E148:N148" si="42">E149+E151+E153+E155+E158</f>
        <v>352970</v>
      </c>
      <c r="F148" s="19">
        <f t="shared" si="42"/>
        <v>70594</v>
      </c>
      <c r="G148" s="19">
        <f t="shared" si="42"/>
        <v>0</v>
      </c>
      <c r="H148" s="19">
        <f t="shared" si="42"/>
        <v>0</v>
      </c>
      <c r="I148" s="19">
        <f t="shared" si="42"/>
        <v>0</v>
      </c>
      <c r="J148" s="19">
        <f t="shared" si="42"/>
        <v>0</v>
      </c>
      <c r="K148" s="19">
        <f t="shared" si="42"/>
        <v>240020</v>
      </c>
      <c r="L148" s="19">
        <f t="shared" si="42"/>
        <v>42356</v>
      </c>
      <c r="M148" s="19">
        <f t="shared" si="42"/>
        <v>0</v>
      </c>
      <c r="N148" s="19">
        <f t="shared" si="42"/>
        <v>0</v>
      </c>
      <c r="O148" s="18"/>
      <c r="P148" s="20"/>
      <c r="Q148" s="21"/>
    </row>
    <row r="149" spans="1:17" ht="81" x14ac:dyDescent="0.25">
      <c r="A149" s="22" t="s">
        <v>335</v>
      </c>
      <c r="B149" s="23" t="s">
        <v>336</v>
      </c>
      <c r="C149" s="24" t="s">
        <v>337</v>
      </c>
      <c r="D149" s="24" t="s">
        <v>338</v>
      </c>
      <c r="E149" s="25">
        <f t="shared" ref="E149:N149" si="43">SUM(E150:E150)</f>
        <v>0</v>
      </c>
      <c r="F149" s="25">
        <f t="shared" si="43"/>
        <v>0</v>
      </c>
      <c r="G149" s="25">
        <f t="shared" si="43"/>
        <v>0</v>
      </c>
      <c r="H149" s="25">
        <f t="shared" si="43"/>
        <v>0</v>
      </c>
      <c r="I149" s="25">
        <f t="shared" si="43"/>
        <v>0</v>
      </c>
      <c r="J149" s="25">
        <f t="shared" si="43"/>
        <v>0</v>
      </c>
      <c r="K149" s="25">
        <f t="shared" si="43"/>
        <v>0</v>
      </c>
      <c r="L149" s="25">
        <f t="shared" si="43"/>
        <v>0</v>
      </c>
      <c r="M149" s="25">
        <f t="shared" si="43"/>
        <v>0</v>
      </c>
      <c r="N149" s="25">
        <f t="shared" si="43"/>
        <v>0</v>
      </c>
      <c r="O149" s="24" t="s">
        <v>339</v>
      </c>
      <c r="P149" s="26" t="s">
        <v>327</v>
      </c>
      <c r="Q149" s="27" t="s">
        <v>340</v>
      </c>
    </row>
    <row r="150" spans="1:17" ht="101.25" x14ac:dyDescent="0.25">
      <c r="A150" s="22" t="s">
        <v>341</v>
      </c>
      <c r="B150" s="23" t="s">
        <v>342</v>
      </c>
      <c r="C150" s="24"/>
      <c r="D150" s="24"/>
      <c r="E150" s="28">
        <v>0</v>
      </c>
      <c r="F150" s="28">
        <v>0</v>
      </c>
      <c r="G150" s="28">
        <v>0</v>
      </c>
      <c r="H150" s="28">
        <v>0</v>
      </c>
      <c r="I150" s="28">
        <v>0</v>
      </c>
      <c r="J150" s="28">
        <v>0</v>
      </c>
      <c r="K150" s="28">
        <v>0</v>
      </c>
      <c r="L150" s="28">
        <v>0</v>
      </c>
      <c r="M150" s="28">
        <v>0</v>
      </c>
      <c r="N150" s="28">
        <v>0</v>
      </c>
      <c r="O150" s="24"/>
      <c r="P150" s="26"/>
      <c r="Q150" s="27"/>
    </row>
    <row r="151" spans="1:17" ht="101.25" x14ac:dyDescent="0.25">
      <c r="A151" s="22" t="s">
        <v>343</v>
      </c>
      <c r="B151" s="23" t="s">
        <v>344</v>
      </c>
      <c r="C151" s="24" t="s">
        <v>337</v>
      </c>
      <c r="D151" s="24" t="s">
        <v>338</v>
      </c>
      <c r="E151" s="25">
        <f t="shared" ref="E151:N151" si="44">SUM(E152:E152)</f>
        <v>0</v>
      </c>
      <c r="F151" s="25">
        <f t="shared" si="44"/>
        <v>0</v>
      </c>
      <c r="G151" s="25">
        <f t="shared" si="44"/>
        <v>0</v>
      </c>
      <c r="H151" s="25">
        <f t="shared" si="44"/>
        <v>0</v>
      </c>
      <c r="I151" s="25">
        <f t="shared" si="44"/>
        <v>0</v>
      </c>
      <c r="J151" s="25">
        <f t="shared" si="44"/>
        <v>0</v>
      </c>
      <c r="K151" s="25">
        <f t="shared" si="44"/>
        <v>0</v>
      </c>
      <c r="L151" s="25">
        <f t="shared" si="44"/>
        <v>0</v>
      </c>
      <c r="M151" s="25">
        <f t="shared" si="44"/>
        <v>0</v>
      </c>
      <c r="N151" s="25">
        <f t="shared" si="44"/>
        <v>0</v>
      </c>
      <c r="O151" s="24" t="s">
        <v>345</v>
      </c>
      <c r="P151" s="26" t="s">
        <v>327</v>
      </c>
      <c r="Q151" s="27" t="s">
        <v>346</v>
      </c>
    </row>
    <row r="152" spans="1:17" ht="101.25" x14ac:dyDescent="0.25">
      <c r="A152" s="22" t="s">
        <v>347</v>
      </c>
      <c r="B152" s="23" t="s">
        <v>348</v>
      </c>
      <c r="C152" s="24"/>
      <c r="D152" s="24"/>
      <c r="E152" s="28">
        <v>0</v>
      </c>
      <c r="F152" s="28">
        <v>0</v>
      </c>
      <c r="G152" s="28">
        <v>0</v>
      </c>
      <c r="H152" s="28">
        <v>0</v>
      </c>
      <c r="I152" s="28">
        <v>0</v>
      </c>
      <c r="J152" s="28">
        <v>0</v>
      </c>
      <c r="K152" s="28">
        <v>0</v>
      </c>
      <c r="L152" s="28">
        <v>0</v>
      </c>
      <c r="M152" s="28">
        <v>0</v>
      </c>
      <c r="N152" s="28">
        <v>0</v>
      </c>
      <c r="O152" s="24"/>
      <c r="P152" s="26"/>
      <c r="Q152" s="27"/>
    </row>
    <row r="153" spans="1:17" ht="101.25" x14ac:dyDescent="0.25">
      <c r="A153" s="22" t="s">
        <v>349</v>
      </c>
      <c r="B153" s="23" t="s">
        <v>350</v>
      </c>
      <c r="C153" s="24" t="s">
        <v>337</v>
      </c>
      <c r="D153" s="24" t="s">
        <v>338</v>
      </c>
      <c r="E153" s="25">
        <f t="shared" ref="E153:N153" si="45">SUM(E154:E154)</f>
        <v>0</v>
      </c>
      <c r="F153" s="25">
        <f t="shared" si="45"/>
        <v>0</v>
      </c>
      <c r="G153" s="25">
        <f t="shared" si="45"/>
        <v>0</v>
      </c>
      <c r="H153" s="25">
        <f t="shared" si="45"/>
        <v>0</v>
      </c>
      <c r="I153" s="25">
        <f t="shared" si="45"/>
        <v>0</v>
      </c>
      <c r="J153" s="25">
        <f t="shared" si="45"/>
        <v>0</v>
      </c>
      <c r="K153" s="25">
        <f t="shared" si="45"/>
        <v>0</v>
      </c>
      <c r="L153" s="25">
        <f t="shared" si="45"/>
        <v>0</v>
      </c>
      <c r="M153" s="25">
        <f t="shared" si="45"/>
        <v>0</v>
      </c>
      <c r="N153" s="25">
        <f t="shared" si="45"/>
        <v>0</v>
      </c>
      <c r="O153" s="24" t="s">
        <v>339</v>
      </c>
      <c r="P153" s="26" t="s">
        <v>31</v>
      </c>
      <c r="Q153" s="27" t="s">
        <v>351</v>
      </c>
    </row>
    <row r="154" spans="1:17" ht="101.25" x14ac:dyDescent="0.25">
      <c r="A154" s="22" t="s">
        <v>352</v>
      </c>
      <c r="B154" s="23" t="s">
        <v>353</v>
      </c>
      <c r="C154" s="24"/>
      <c r="D154" s="24"/>
      <c r="E154" s="28">
        <v>0</v>
      </c>
      <c r="F154" s="28">
        <v>0</v>
      </c>
      <c r="G154" s="28">
        <v>0</v>
      </c>
      <c r="H154" s="28">
        <v>0</v>
      </c>
      <c r="I154" s="28">
        <v>0</v>
      </c>
      <c r="J154" s="28">
        <v>0</v>
      </c>
      <c r="K154" s="28">
        <v>0</v>
      </c>
      <c r="L154" s="28">
        <v>0</v>
      </c>
      <c r="M154" s="28">
        <v>0</v>
      </c>
      <c r="N154" s="28">
        <v>0</v>
      </c>
      <c r="O154" s="24"/>
      <c r="P154" s="26"/>
      <c r="Q154" s="27"/>
    </row>
    <row r="155" spans="1:17" ht="81" x14ac:dyDescent="0.25">
      <c r="A155" s="22" t="s">
        <v>354</v>
      </c>
      <c r="B155" s="23" t="s">
        <v>355</v>
      </c>
      <c r="C155" s="24" t="s">
        <v>337</v>
      </c>
      <c r="D155" s="24" t="s">
        <v>338</v>
      </c>
      <c r="E155" s="25">
        <f>SUM(E156:E157)+176485</f>
        <v>176485</v>
      </c>
      <c r="F155" s="25">
        <f>SUM(F156:F157)+35297</f>
        <v>35297</v>
      </c>
      <c r="G155" s="25">
        <f>SUM(G156:G157)</f>
        <v>0</v>
      </c>
      <c r="H155" s="25">
        <f>SUM(H156:H157)</f>
        <v>0</v>
      </c>
      <c r="I155" s="25">
        <f>SUM(I156:I157)</f>
        <v>0</v>
      </c>
      <c r="J155" s="25">
        <f>SUM(J156:J157)</f>
        <v>0</v>
      </c>
      <c r="K155" s="25">
        <f>SUM(K156:K157)+120010</f>
        <v>120010</v>
      </c>
      <c r="L155" s="25">
        <f>SUM(L156:L157)+21178</f>
        <v>21178</v>
      </c>
      <c r="M155" s="25">
        <f>SUM(M156:M157)</f>
        <v>0</v>
      </c>
      <c r="N155" s="25">
        <f>SUM(N156:N157)</f>
        <v>0</v>
      </c>
      <c r="O155" s="24" t="s">
        <v>356</v>
      </c>
      <c r="P155" s="26" t="s">
        <v>31</v>
      </c>
      <c r="Q155" s="27" t="s">
        <v>357</v>
      </c>
    </row>
    <row r="156" spans="1:17" ht="40.5" x14ac:dyDescent="0.25">
      <c r="A156" s="22" t="s">
        <v>358</v>
      </c>
      <c r="B156" s="23" t="s">
        <v>359</v>
      </c>
      <c r="C156" s="24"/>
      <c r="D156" s="24"/>
      <c r="E156" s="28">
        <v>0</v>
      </c>
      <c r="F156" s="28">
        <v>0</v>
      </c>
      <c r="G156" s="28">
        <v>0</v>
      </c>
      <c r="H156" s="28">
        <v>0</v>
      </c>
      <c r="I156" s="28">
        <v>0</v>
      </c>
      <c r="J156" s="28">
        <v>0</v>
      </c>
      <c r="K156" s="28">
        <v>0</v>
      </c>
      <c r="L156" s="28">
        <v>0</v>
      </c>
      <c r="M156" s="28">
        <v>0</v>
      </c>
      <c r="N156" s="28">
        <v>0</v>
      </c>
      <c r="O156" s="24"/>
      <c r="P156" s="26"/>
      <c r="Q156" s="27"/>
    </row>
    <row r="157" spans="1:17" ht="40.5" x14ac:dyDescent="0.25">
      <c r="A157" s="22" t="s">
        <v>360</v>
      </c>
      <c r="B157" s="23" t="s">
        <v>361</v>
      </c>
      <c r="C157" s="24"/>
      <c r="D157" s="24"/>
      <c r="E157" s="28">
        <v>0</v>
      </c>
      <c r="F157" s="28">
        <v>0</v>
      </c>
      <c r="G157" s="28">
        <v>0</v>
      </c>
      <c r="H157" s="28">
        <v>0</v>
      </c>
      <c r="I157" s="28">
        <v>0</v>
      </c>
      <c r="J157" s="28">
        <v>0</v>
      </c>
      <c r="K157" s="28">
        <v>0</v>
      </c>
      <c r="L157" s="28">
        <v>0</v>
      </c>
      <c r="M157" s="28">
        <v>0</v>
      </c>
      <c r="N157" s="28">
        <v>0</v>
      </c>
      <c r="O157" s="24"/>
      <c r="P157" s="26"/>
      <c r="Q157" s="27"/>
    </row>
    <row r="158" spans="1:17" ht="81" x14ac:dyDescent="0.25">
      <c r="A158" s="22" t="s">
        <v>362</v>
      </c>
      <c r="B158" s="23" t="s">
        <v>363</v>
      </c>
      <c r="C158" s="24" t="s">
        <v>337</v>
      </c>
      <c r="D158" s="24" t="s">
        <v>338</v>
      </c>
      <c r="E158" s="25">
        <f>SUM(E159:E160)+176485</f>
        <v>176485</v>
      </c>
      <c r="F158" s="25">
        <f>SUM(F159:F160)+35297</f>
        <v>35297</v>
      </c>
      <c r="G158" s="25">
        <f>SUM(G159:G160)</f>
        <v>0</v>
      </c>
      <c r="H158" s="25">
        <f>SUM(H159:H160)</f>
        <v>0</v>
      </c>
      <c r="I158" s="25">
        <f>SUM(I159:I160)</f>
        <v>0</v>
      </c>
      <c r="J158" s="25">
        <f>SUM(J159:J160)</f>
        <v>0</v>
      </c>
      <c r="K158" s="25">
        <f>SUM(K159:K160)+120010</f>
        <v>120010</v>
      </c>
      <c r="L158" s="25">
        <f>SUM(L159:L160)+21178</f>
        <v>21178</v>
      </c>
      <c r="M158" s="25">
        <f>SUM(M159:M160)</f>
        <v>0</v>
      </c>
      <c r="N158" s="25">
        <f>SUM(N159:N160)</f>
        <v>0</v>
      </c>
      <c r="O158" s="24" t="s">
        <v>356</v>
      </c>
      <c r="P158" s="26" t="s">
        <v>31</v>
      </c>
      <c r="Q158" s="27" t="s">
        <v>364</v>
      </c>
    </row>
    <row r="159" spans="1:17" ht="40.5" x14ac:dyDescent="0.25">
      <c r="A159" s="22" t="s">
        <v>365</v>
      </c>
      <c r="B159" s="23" t="s">
        <v>366</v>
      </c>
      <c r="C159" s="24"/>
      <c r="D159" s="24"/>
      <c r="E159" s="28">
        <v>0</v>
      </c>
      <c r="F159" s="28">
        <v>0</v>
      </c>
      <c r="G159" s="28">
        <v>0</v>
      </c>
      <c r="H159" s="28">
        <v>0</v>
      </c>
      <c r="I159" s="28">
        <v>0</v>
      </c>
      <c r="J159" s="28">
        <v>0</v>
      </c>
      <c r="K159" s="28">
        <v>0</v>
      </c>
      <c r="L159" s="28">
        <v>0</v>
      </c>
      <c r="M159" s="28">
        <v>0</v>
      </c>
      <c r="N159" s="28">
        <v>0</v>
      </c>
      <c r="O159" s="24"/>
      <c r="P159" s="26"/>
      <c r="Q159" s="27"/>
    </row>
    <row r="160" spans="1:17" ht="40.5" x14ac:dyDescent="0.25">
      <c r="A160" s="22" t="s">
        <v>367</v>
      </c>
      <c r="B160" s="23" t="s">
        <v>368</v>
      </c>
      <c r="C160" s="24"/>
      <c r="D160" s="24"/>
      <c r="E160" s="28">
        <v>0</v>
      </c>
      <c r="F160" s="28">
        <v>0</v>
      </c>
      <c r="G160" s="28">
        <v>0</v>
      </c>
      <c r="H160" s="28">
        <v>0</v>
      </c>
      <c r="I160" s="28">
        <v>0</v>
      </c>
      <c r="J160" s="28">
        <v>0</v>
      </c>
      <c r="K160" s="28">
        <v>0</v>
      </c>
      <c r="L160" s="28">
        <v>0</v>
      </c>
      <c r="M160" s="28">
        <v>0</v>
      </c>
      <c r="N160" s="28">
        <v>0</v>
      </c>
      <c r="O160" s="24"/>
      <c r="P160" s="26"/>
      <c r="Q160" s="27"/>
    </row>
    <row r="161" spans="1:17" ht="60.75" x14ac:dyDescent="0.25">
      <c r="A161" s="10" t="s">
        <v>369</v>
      </c>
      <c r="B161" s="11" t="s">
        <v>370</v>
      </c>
      <c r="C161" s="12"/>
      <c r="D161" s="12"/>
      <c r="E161" s="13">
        <f t="shared" ref="E161:N161" si="46">E162+E171</f>
        <v>2155738</v>
      </c>
      <c r="F161" s="13">
        <f t="shared" si="46"/>
        <v>46378</v>
      </c>
      <c r="G161" s="13">
        <f t="shared" si="46"/>
        <v>0</v>
      </c>
      <c r="H161" s="13">
        <f t="shared" si="46"/>
        <v>0</v>
      </c>
      <c r="I161" s="13">
        <f t="shared" si="46"/>
        <v>0</v>
      </c>
      <c r="J161" s="13">
        <f t="shared" si="46"/>
        <v>330756</v>
      </c>
      <c r="K161" s="13">
        <f t="shared" si="46"/>
        <v>1671693</v>
      </c>
      <c r="L161" s="13">
        <f t="shared" si="46"/>
        <v>106911</v>
      </c>
      <c r="M161" s="13">
        <f t="shared" si="46"/>
        <v>0</v>
      </c>
      <c r="N161" s="13">
        <f t="shared" si="46"/>
        <v>0</v>
      </c>
      <c r="O161" s="12"/>
      <c r="P161" s="14"/>
      <c r="Q161" s="15"/>
    </row>
    <row r="162" spans="1:17" ht="60.75" x14ac:dyDescent="0.25">
      <c r="A162" s="16" t="s">
        <v>371</v>
      </c>
      <c r="B162" s="17" t="s">
        <v>372</v>
      </c>
      <c r="C162" s="18"/>
      <c r="D162" s="18"/>
      <c r="E162" s="19">
        <f t="shared" ref="E162:N162" si="47">E163+E165+E167</f>
        <v>1351797</v>
      </c>
      <c r="F162" s="19">
        <f t="shared" si="47"/>
        <v>0</v>
      </c>
      <c r="G162" s="19">
        <f t="shared" si="47"/>
        <v>0</v>
      </c>
      <c r="H162" s="19">
        <f t="shared" si="47"/>
        <v>0</v>
      </c>
      <c r="I162" s="19">
        <f t="shared" si="47"/>
        <v>0</v>
      </c>
      <c r="J162" s="19">
        <f t="shared" si="47"/>
        <v>106911</v>
      </c>
      <c r="K162" s="19">
        <f t="shared" si="47"/>
        <v>1137975</v>
      </c>
      <c r="L162" s="19">
        <f t="shared" si="47"/>
        <v>106911</v>
      </c>
      <c r="M162" s="19">
        <f t="shared" si="47"/>
        <v>0</v>
      </c>
      <c r="N162" s="19">
        <f t="shared" si="47"/>
        <v>0</v>
      </c>
      <c r="O162" s="18"/>
      <c r="P162" s="20"/>
      <c r="Q162" s="21"/>
    </row>
    <row r="163" spans="1:17" ht="60.75" x14ac:dyDescent="0.25">
      <c r="A163" s="22" t="s">
        <v>373</v>
      </c>
      <c r="B163" s="23" t="s">
        <v>374</v>
      </c>
      <c r="C163" s="24" t="s">
        <v>179</v>
      </c>
      <c r="D163" s="24" t="s">
        <v>375</v>
      </c>
      <c r="E163" s="25">
        <f>SUM(E164:E164)+208347</f>
        <v>208347</v>
      </c>
      <c r="F163" s="25">
        <f>SUM(F164:F164)</f>
        <v>0</v>
      </c>
      <c r="G163" s="25">
        <f>SUM(G164:G164)</f>
        <v>0</v>
      </c>
      <c r="H163" s="25">
        <f>SUM(H164:H164)</f>
        <v>0</v>
      </c>
      <c r="I163" s="25">
        <f>SUM(I164:I164)</f>
        <v>0</v>
      </c>
      <c r="J163" s="25">
        <f>SUM(J164:J164)+20616</f>
        <v>20616</v>
      </c>
      <c r="K163" s="25">
        <f>SUM(K164:K164)+167115</f>
        <v>167115</v>
      </c>
      <c r="L163" s="25">
        <f>SUM(L164:L164)+20616</f>
        <v>20616</v>
      </c>
      <c r="M163" s="25">
        <f>SUM(M164:M164)</f>
        <v>0</v>
      </c>
      <c r="N163" s="25">
        <f>SUM(N164:N164)</f>
        <v>0</v>
      </c>
      <c r="O163" s="24" t="s">
        <v>376</v>
      </c>
      <c r="P163" s="26" t="s">
        <v>31</v>
      </c>
      <c r="Q163" s="27" t="s">
        <v>74</v>
      </c>
    </row>
    <row r="164" spans="1:17" ht="121.5" x14ac:dyDescent="0.25">
      <c r="A164" s="22" t="s">
        <v>377</v>
      </c>
      <c r="B164" s="23" t="s">
        <v>378</v>
      </c>
      <c r="C164" s="24"/>
      <c r="D164" s="24"/>
      <c r="E164" s="28">
        <v>0</v>
      </c>
      <c r="F164" s="28">
        <v>0</v>
      </c>
      <c r="G164" s="28">
        <v>0</v>
      </c>
      <c r="H164" s="28">
        <v>0</v>
      </c>
      <c r="I164" s="28">
        <v>0</v>
      </c>
      <c r="J164" s="28">
        <v>0</v>
      </c>
      <c r="K164" s="28">
        <v>0</v>
      </c>
      <c r="L164" s="28">
        <v>0</v>
      </c>
      <c r="M164" s="28">
        <v>0</v>
      </c>
      <c r="N164" s="28">
        <v>0</v>
      </c>
      <c r="O164" s="24"/>
      <c r="P164" s="26"/>
      <c r="Q164" s="27"/>
    </row>
    <row r="165" spans="1:17" ht="60.75" x14ac:dyDescent="0.25">
      <c r="A165" s="22" t="s">
        <v>379</v>
      </c>
      <c r="B165" s="23" t="s">
        <v>380</v>
      </c>
      <c r="C165" s="24" t="s">
        <v>179</v>
      </c>
      <c r="D165" s="24" t="s">
        <v>199</v>
      </c>
      <c r="E165" s="25">
        <f>SUM(E166:E166)+849650</f>
        <v>849650</v>
      </c>
      <c r="F165" s="25">
        <f>SUM(F166:F166)</f>
        <v>0</v>
      </c>
      <c r="G165" s="25">
        <f>SUM(G166:G166)</f>
        <v>0</v>
      </c>
      <c r="H165" s="25">
        <f>SUM(H166:H166)</f>
        <v>0</v>
      </c>
      <c r="I165" s="25">
        <f>SUM(I166:I166)</f>
        <v>0</v>
      </c>
      <c r="J165" s="25">
        <f>SUM(J166:J166)+63795</f>
        <v>63795</v>
      </c>
      <c r="K165" s="25">
        <f>SUM(K166:K166)+722060</f>
        <v>722060</v>
      </c>
      <c r="L165" s="25">
        <f>SUM(L166:L166)+63795</f>
        <v>63795</v>
      </c>
      <c r="M165" s="25">
        <f>SUM(M166:M166)</f>
        <v>0</v>
      </c>
      <c r="N165" s="25">
        <f>SUM(N166:N166)</f>
        <v>0</v>
      </c>
      <c r="O165" s="24" t="s">
        <v>381</v>
      </c>
      <c r="P165" s="26" t="s">
        <v>31</v>
      </c>
      <c r="Q165" s="27" t="s">
        <v>38</v>
      </c>
    </row>
    <row r="166" spans="1:17" x14ac:dyDescent="0.25">
      <c r="A166" s="22" t="s">
        <v>382</v>
      </c>
      <c r="B166" s="23" t="s">
        <v>383</v>
      </c>
      <c r="C166" s="24"/>
      <c r="D166" s="24"/>
      <c r="E166" s="28">
        <v>0</v>
      </c>
      <c r="F166" s="28">
        <v>0</v>
      </c>
      <c r="G166" s="28">
        <v>0</v>
      </c>
      <c r="H166" s="28">
        <v>0</v>
      </c>
      <c r="I166" s="28">
        <v>0</v>
      </c>
      <c r="J166" s="28">
        <v>0</v>
      </c>
      <c r="K166" s="28">
        <v>0</v>
      </c>
      <c r="L166" s="28">
        <v>0</v>
      </c>
      <c r="M166" s="28">
        <v>0</v>
      </c>
      <c r="N166" s="28">
        <v>0</v>
      </c>
      <c r="O166" s="24"/>
      <c r="P166" s="26"/>
      <c r="Q166" s="27"/>
    </row>
    <row r="167" spans="1:17" ht="60.75" x14ac:dyDescent="0.25">
      <c r="A167" s="22" t="s">
        <v>384</v>
      </c>
      <c r="B167" s="23" t="s">
        <v>385</v>
      </c>
      <c r="C167" s="24" t="s">
        <v>179</v>
      </c>
      <c r="D167" s="24" t="s">
        <v>199</v>
      </c>
      <c r="E167" s="25">
        <f>SUM(E168:E170)+293800</f>
        <v>293800</v>
      </c>
      <c r="F167" s="25">
        <f>SUM(F168:F170)</f>
        <v>0</v>
      </c>
      <c r="G167" s="25">
        <f>SUM(G168:G170)</f>
        <v>0</v>
      </c>
      <c r="H167" s="25">
        <f>SUM(H168:H170)</f>
        <v>0</v>
      </c>
      <c r="I167" s="25">
        <f>SUM(I168:I170)</f>
        <v>0</v>
      </c>
      <c r="J167" s="25">
        <f>SUM(J168:J170)+22500</f>
        <v>22500</v>
      </c>
      <c r="K167" s="25">
        <f>SUM(K168:K170)+248800</f>
        <v>248800</v>
      </c>
      <c r="L167" s="25">
        <f>SUM(L168:L170)+22500</f>
        <v>22500</v>
      </c>
      <c r="M167" s="25">
        <f>SUM(M168:M170)</f>
        <v>0</v>
      </c>
      <c r="N167" s="25">
        <f>SUM(N168:N170)</f>
        <v>0</v>
      </c>
      <c r="O167" s="24" t="s">
        <v>201</v>
      </c>
      <c r="P167" s="26" t="s">
        <v>31</v>
      </c>
      <c r="Q167" s="27" t="s">
        <v>38</v>
      </c>
    </row>
    <row r="168" spans="1:17" x14ac:dyDescent="0.25">
      <c r="A168" s="29"/>
      <c r="B168" s="30"/>
      <c r="C168" s="31"/>
      <c r="D168" s="31"/>
      <c r="E168" s="32">
        <v>0</v>
      </c>
      <c r="F168" s="32">
        <v>0</v>
      </c>
      <c r="G168" s="32">
        <v>0</v>
      </c>
      <c r="H168" s="32">
        <v>0</v>
      </c>
      <c r="I168" s="32">
        <v>0</v>
      </c>
      <c r="J168" s="32">
        <v>0</v>
      </c>
      <c r="K168" s="32">
        <v>0</v>
      </c>
      <c r="L168" s="32">
        <v>0</v>
      </c>
      <c r="M168" s="32">
        <v>0</v>
      </c>
      <c r="N168" s="32">
        <v>0</v>
      </c>
      <c r="O168" s="31" t="s">
        <v>200</v>
      </c>
      <c r="P168" s="33" t="s">
        <v>31</v>
      </c>
      <c r="Q168" s="34" t="s">
        <v>74</v>
      </c>
    </row>
    <row r="169" spans="1:17" ht="81" x14ac:dyDescent="0.25">
      <c r="A169" s="22" t="s">
        <v>386</v>
      </c>
      <c r="B169" s="23" t="s">
        <v>387</v>
      </c>
      <c r="C169" s="24"/>
      <c r="D169" s="24"/>
      <c r="E169" s="28">
        <v>0</v>
      </c>
      <c r="F169" s="28">
        <v>0</v>
      </c>
      <c r="G169" s="28">
        <v>0</v>
      </c>
      <c r="H169" s="28">
        <v>0</v>
      </c>
      <c r="I169" s="28">
        <v>0</v>
      </c>
      <c r="J169" s="28">
        <v>0</v>
      </c>
      <c r="K169" s="28">
        <v>0</v>
      </c>
      <c r="L169" s="28">
        <v>0</v>
      </c>
      <c r="M169" s="28">
        <v>0</v>
      </c>
      <c r="N169" s="28">
        <v>0</v>
      </c>
      <c r="O169" s="24"/>
      <c r="P169" s="26"/>
      <c r="Q169" s="27"/>
    </row>
    <row r="170" spans="1:17" x14ac:dyDescent="0.25">
      <c r="A170" s="22" t="s">
        <v>388</v>
      </c>
      <c r="B170" s="23" t="s">
        <v>383</v>
      </c>
      <c r="C170" s="24"/>
      <c r="D170" s="24"/>
      <c r="E170" s="28">
        <v>0</v>
      </c>
      <c r="F170" s="28">
        <v>0</v>
      </c>
      <c r="G170" s="28">
        <v>0</v>
      </c>
      <c r="H170" s="28">
        <v>0</v>
      </c>
      <c r="I170" s="28">
        <v>0</v>
      </c>
      <c r="J170" s="28">
        <v>0</v>
      </c>
      <c r="K170" s="28">
        <v>0</v>
      </c>
      <c r="L170" s="28">
        <v>0</v>
      </c>
      <c r="M170" s="28">
        <v>0</v>
      </c>
      <c r="N170" s="28">
        <v>0</v>
      </c>
      <c r="O170" s="24"/>
      <c r="P170" s="26"/>
      <c r="Q170" s="27"/>
    </row>
    <row r="171" spans="1:17" ht="60.75" x14ac:dyDescent="0.25">
      <c r="A171" s="16" t="s">
        <v>389</v>
      </c>
      <c r="B171" s="17" t="s">
        <v>390</v>
      </c>
      <c r="C171" s="18"/>
      <c r="D171" s="18"/>
      <c r="E171" s="19">
        <f t="shared" ref="E171:N171" si="48">E172+E174+E177+E181+E183+E185+E188</f>
        <v>803941</v>
      </c>
      <c r="F171" s="19">
        <f t="shared" si="48"/>
        <v>46378</v>
      </c>
      <c r="G171" s="19">
        <f t="shared" si="48"/>
        <v>0</v>
      </c>
      <c r="H171" s="19">
        <f t="shared" si="48"/>
        <v>0</v>
      </c>
      <c r="I171" s="19">
        <f t="shared" si="48"/>
        <v>0</v>
      </c>
      <c r="J171" s="19">
        <f t="shared" si="48"/>
        <v>223845</v>
      </c>
      <c r="K171" s="19">
        <f t="shared" si="48"/>
        <v>533718</v>
      </c>
      <c r="L171" s="19">
        <f t="shared" si="48"/>
        <v>0</v>
      </c>
      <c r="M171" s="19">
        <f t="shared" si="48"/>
        <v>0</v>
      </c>
      <c r="N171" s="19">
        <f t="shared" si="48"/>
        <v>0</v>
      </c>
      <c r="O171" s="18"/>
      <c r="P171" s="20"/>
      <c r="Q171" s="21"/>
    </row>
    <row r="172" spans="1:17" ht="60.75" x14ac:dyDescent="0.25">
      <c r="A172" s="22" t="s">
        <v>391</v>
      </c>
      <c r="B172" s="23" t="s">
        <v>392</v>
      </c>
      <c r="C172" s="24" t="s">
        <v>179</v>
      </c>
      <c r="D172" s="24" t="s">
        <v>193</v>
      </c>
      <c r="E172" s="25">
        <f>SUM(E173:E173)+49527</f>
        <v>49527</v>
      </c>
      <c r="F172" s="25">
        <f>SUM(F173:F173)</f>
        <v>0</v>
      </c>
      <c r="G172" s="25">
        <f>SUM(G173:G173)</f>
        <v>0</v>
      </c>
      <c r="H172" s="25">
        <f>SUM(H173:H173)</f>
        <v>0</v>
      </c>
      <c r="I172" s="25">
        <f>SUM(I173:I173)</f>
        <v>0</v>
      </c>
      <c r="J172" s="25">
        <f>SUM(J173:J173)+19223</f>
        <v>19223</v>
      </c>
      <c r="K172" s="25">
        <f>SUM(K173:K173)+30304</f>
        <v>30304</v>
      </c>
      <c r="L172" s="25">
        <f>SUM(L173:L173)</f>
        <v>0</v>
      </c>
      <c r="M172" s="25">
        <f>SUM(M173:M173)</f>
        <v>0</v>
      </c>
      <c r="N172" s="25">
        <f>SUM(N173:N173)</f>
        <v>0</v>
      </c>
      <c r="O172" s="24" t="s">
        <v>393</v>
      </c>
      <c r="P172" s="26" t="s">
        <v>31</v>
      </c>
      <c r="Q172" s="27" t="s">
        <v>38</v>
      </c>
    </row>
    <row r="173" spans="1:17" x14ac:dyDescent="0.25">
      <c r="A173" s="22" t="s">
        <v>394</v>
      </c>
      <c r="B173" s="23" t="s">
        <v>395</v>
      </c>
      <c r="C173" s="24"/>
      <c r="D173" s="24"/>
      <c r="E173" s="28">
        <v>0</v>
      </c>
      <c r="F173" s="28">
        <v>0</v>
      </c>
      <c r="G173" s="28">
        <v>0</v>
      </c>
      <c r="H173" s="28">
        <v>0</v>
      </c>
      <c r="I173" s="28">
        <v>0</v>
      </c>
      <c r="J173" s="28">
        <v>0</v>
      </c>
      <c r="K173" s="28">
        <v>0</v>
      </c>
      <c r="L173" s="28">
        <v>0</v>
      </c>
      <c r="M173" s="28">
        <v>0</v>
      </c>
      <c r="N173" s="28">
        <v>0</v>
      </c>
      <c r="O173" s="24"/>
      <c r="P173" s="26"/>
      <c r="Q173" s="27"/>
    </row>
    <row r="174" spans="1:17" ht="60.75" x14ac:dyDescent="0.25">
      <c r="A174" s="22" t="s">
        <v>396</v>
      </c>
      <c r="B174" s="23" t="s">
        <v>397</v>
      </c>
      <c r="C174" s="24" t="s">
        <v>179</v>
      </c>
      <c r="D174" s="24" t="s">
        <v>199</v>
      </c>
      <c r="E174" s="25">
        <f>SUM(E175:E176)+131550</f>
        <v>131550</v>
      </c>
      <c r="F174" s="25">
        <f>SUM(F175:F176)</f>
        <v>0</v>
      </c>
      <c r="G174" s="25">
        <f>SUM(G175:G176)</f>
        <v>0</v>
      </c>
      <c r="H174" s="25">
        <f>SUM(H175:H176)</f>
        <v>0</v>
      </c>
      <c r="I174" s="25">
        <f>SUM(I175:I176)</f>
        <v>0</v>
      </c>
      <c r="J174" s="25">
        <f>SUM(J175:J176)+51000</f>
        <v>51000</v>
      </c>
      <c r="K174" s="25">
        <f>SUM(K175:K176)+80550</f>
        <v>80550</v>
      </c>
      <c r="L174" s="25">
        <f>SUM(L175:L176)</f>
        <v>0</v>
      </c>
      <c r="M174" s="25">
        <f>SUM(M175:M176)</f>
        <v>0</v>
      </c>
      <c r="N174" s="25">
        <f>SUM(N175:N176)</f>
        <v>0</v>
      </c>
      <c r="O174" s="24" t="s">
        <v>200</v>
      </c>
      <c r="P174" s="26" t="s">
        <v>31</v>
      </c>
      <c r="Q174" s="27" t="s">
        <v>38</v>
      </c>
    </row>
    <row r="175" spans="1:17" ht="139.5" customHeight="1" x14ac:dyDescent="0.25">
      <c r="A175" s="22" t="s">
        <v>398</v>
      </c>
      <c r="B175" s="23" t="s">
        <v>399</v>
      </c>
      <c r="C175" s="24"/>
      <c r="D175" s="24"/>
      <c r="E175" s="28">
        <v>0</v>
      </c>
      <c r="F175" s="28">
        <v>0</v>
      </c>
      <c r="G175" s="28">
        <v>0</v>
      </c>
      <c r="H175" s="28">
        <v>0</v>
      </c>
      <c r="I175" s="28">
        <v>0</v>
      </c>
      <c r="J175" s="28">
        <v>0</v>
      </c>
      <c r="K175" s="28">
        <v>0</v>
      </c>
      <c r="L175" s="28">
        <v>0</v>
      </c>
      <c r="M175" s="28">
        <v>0</v>
      </c>
      <c r="N175" s="28">
        <v>0</v>
      </c>
      <c r="O175" s="24"/>
      <c r="P175" s="26"/>
      <c r="Q175" s="27"/>
    </row>
    <row r="176" spans="1:17" x14ac:dyDescent="0.25">
      <c r="A176" s="22" t="s">
        <v>400</v>
      </c>
      <c r="B176" s="23" t="s">
        <v>401</v>
      </c>
      <c r="C176" s="24"/>
      <c r="D176" s="24"/>
      <c r="E176" s="28">
        <v>0</v>
      </c>
      <c r="F176" s="28">
        <v>0</v>
      </c>
      <c r="G176" s="28">
        <v>0</v>
      </c>
      <c r="H176" s="28">
        <v>0</v>
      </c>
      <c r="I176" s="28">
        <v>0</v>
      </c>
      <c r="J176" s="28">
        <v>0</v>
      </c>
      <c r="K176" s="28">
        <v>0</v>
      </c>
      <c r="L176" s="28">
        <v>0</v>
      </c>
      <c r="M176" s="28">
        <v>0</v>
      </c>
      <c r="N176" s="28">
        <v>0</v>
      </c>
      <c r="O176" s="24"/>
      <c r="P176" s="26"/>
      <c r="Q176" s="27"/>
    </row>
    <row r="177" spans="1:17" ht="60.75" x14ac:dyDescent="0.25">
      <c r="A177" s="22" t="s">
        <v>402</v>
      </c>
      <c r="B177" s="23" t="s">
        <v>403</v>
      </c>
      <c r="C177" s="24" t="s">
        <v>179</v>
      </c>
      <c r="D177" s="24" t="s">
        <v>199</v>
      </c>
      <c r="E177" s="25">
        <f>SUM(E178:E180)+134124</f>
        <v>134124</v>
      </c>
      <c r="F177" s="25">
        <f>SUM(F178:F180)</f>
        <v>0</v>
      </c>
      <c r="G177" s="25">
        <f>SUM(G178:G180)</f>
        <v>0</v>
      </c>
      <c r="H177" s="25">
        <f>SUM(H178:H180)</f>
        <v>0</v>
      </c>
      <c r="I177" s="25">
        <f>SUM(I178:I180)</f>
        <v>0</v>
      </c>
      <c r="J177" s="25">
        <f>SUM(J178:J180)+45000</f>
        <v>45000</v>
      </c>
      <c r="K177" s="25">
        <f>SUM(K178:K180)+89124</f>
        <v>89124</v>
      </c>
      <c r="L177" s="25">
        <f>SUM(L178:L180)</f>
        <v>0</v>
      </c>
      <c r="M177" s="25">
        <f>SUM(M178:M180)</f>
        <v>0</v>
      </c>
      <c r="N177" s="25">
        <f>SUM(N178:N180)</f>
        <v>0</v>
      </c>
      <c r="O177" s="24" t="s">
        <v>201</v>
      </c>
      <c r="P177" s="26" t="s">
        <v>31</v>
      </c>
      <c r="Q177" s="27" t="s">
        <v>92</v>
      </c>
    </row>
    <row r="178" spans="1:17" x14ac:dyDescent="0.25">
      <c r="A178" s="29"/>
      <c r="B178" s="30"/>
      <c r="C178" s="31"/>
      <c r="D178" s="31"/>
      <c r="E178" s="32">
        <v>0</v>
      </c>
      <c r="F178" s="32">
        <v>0</v>
      </c>
      <c r="G178" s="32">
        <v>0</v>
      </c>
      <c r="H178" s="32">
        <v>0</v>
      </c>
      <c r="I178" s="32">
        <v>0</v>
      </c>
      <c r="J178" s="32">
        <v>0</v>
      </c>
      <c r="K178" s="32">
        <v>0</v>
      </c>
      <c r="L178" s="32">
        <v>0</v>
      </c>
      <c r="M178" s="32">
        <v>0</v>
      </c>
      <c r="N178" s="32">
        <v>0</v>
      </c>
      <c r="O178" s="31" t="s">
        <v>200</v>
      </c>
      <c r="P178" s="33" t="s">
        <v>31</v>
      </c>
      <c r="Q178" s="34" t="s">
        <v>38</v>
      </c>
    </row>
    <row r="179" spans="1:17" x14ac:dyDescent="0.25">
      <c r="A179" s="22" t="s">
        <v>404</v>
      </c>
      <c r="B179" s="23" t="s">
        <v>303</v>
      </c>
      <c r="C179" s="24"/>
      <c r="D179" s="24"/>
      <c r="E179" s="28">
        <v>0</v>
      </c>
      <c r="F179" s="28">
        <v>0</v>
      </c>
      <c r="G179" s="28">
        <v>0</v>
      </c>
      <c r="H179" s="28">
        <v>0</v>
      </c>
      <c r="I179" s="28">
        <v>0</v>
      </c>
      <c r="J179" s="28">
        <v>0</v>
      </c>
      <c r="K179" s="28">
        <v>0</v>
      </c>
      <c r="L179" s="28">
        <v>0</v>
      </c>
      <c r="M179" s="28">
        <v>0</v>
      </c>
      <c r="N179" s="28">
        <v>0</v>
      </c>
      <c r="O179" s="24"/>
      <c r="P179" s="26"/>
      <c r="Q179" s="27"/>
    </row>
    <row r="180" spans="1:17" x14ac:dyDescent="0.25">
      <c r="A180" s="22" t="s">
        <v>405</v>
      </c>
      <c r="B180" s="23" t="s">
        <v>401</v>
      </c>
      <c r="C180" s="24"/>
      <c r="D180" s="24"/>
      <c r="E180" s="28">
        <v>0</v>
      </c>
      <c r="F180" s="28">
        <v>0</v>
      </c>
      <c r="G180" s="28">
        <v>0</v>
      </c>
      <c r="H180" s="28">
        <v>0</v>
      </c>
      <c r="I180" s="28">
        <v>0</v>
      </c>
      <c r="J180" s="28">
        <v>0</v>
      </c>
      <c r="K180" s="28">
        <v>0</v>
      </c>
      <c r="L180" s="28">
        <v>0</v>
      </c>
      <c r="M180" s="28">
        <v>0</v>
      </c>
      <c r="N180" s="28">
        <v>0</v>
      </c>
      <c r="O180" s="24"/>
      <c r="P180" s="26"/>
      <c r="Q180" s="27"/>
    </row>
    <row r="181" spans="1:17" ht="60.75" x14ac:dyDescent="0.25">
      <c r="A181" s="22" t="s">
        <v>406</v>
      </c>
      <c r="B181" s="23" t="s">
        <v>407</v>
      </c>
      <c r="C181" s="24" t="s">
        <v>179</v>
      </c>
      <c r="D181" s="24" t="s">
        <v>375</v>
      </c>
      <c r="E181" s="25">
        <f>SUM(E182:E182)+182884</f>
        <v>182884</v>
      </c>
      <c r="F181" s="25">
        <f>SUM(F182:F182)+45000</f>
        <v>45000</v>
      </c>
      <c r="G181" s="25">
        <f>SUM(G182:G182)</f>
        <v>0</v>
      </c>
      <c r="H181" s="25">
        <f>SUM(H182:H182)</f>
        <v>0</v>
      </c>
      <c r="I181" s="25">
        <f>SUM(I182:I182)</f>
        <v>0</v>
      </c>
      <c r="J181" s="25">
        <f>SUM(J182:J182)</f>
        <v>0</v>
      </c>
      <c r="K181" s="25">
        <f>SUM(K182:K182)+137884</f>
        <v>137884</v>
      </c>
      <c r="L181" s="25">
        <f>SUM(L182:L182)</f>
        <v>0</v>
      </c>
      <c r="M181" s="25">
        <f>SUM(M182:M182)</f>
        <v>0</v>
      </c>
      <c r="N181" s="25">
        <f>SUM(N182:N182)</f>
        <v>0</v>
      </c>
      <c r="O181" s="24" t="s">
        <v>408</v>
      </c>
      <c r="P181" s="26" t="s">
        <v>31</v>
      </c>
      <c r="Q181" s="27" t="s">
        <v>38</v>
      </c>
    </row>
    <row r="182" spans="1:17" ht="81" x14ac:dyDescent="0.25">
      <c r="A182" s="22" t="s">
        <v>409</v>
      </c>
      <c r="B182" s="23" t="s">
        <v>410</v>
      </c>
      <c r="C182" s="24"/>
      <c r="D182" s="24"/>
      <c r="E182" s="28">
        <v>0</v>
      </c>
      <c r="F182" s="28">
        <v>0</v>
      </c>
      <c r="G182" s="28">
        <v>0</v>
      </c>
      <c r="H182" s="28">
        <v>0</v>
      </c>
      <c r="I182" s="28">
        <v>0</v>
      </c>
      <c r="J182" s="28">
        <v>0</v>
      </c>
      <c r="K182" s="28">
        <v>0</v>
      </c>
      <c r="L182" s="28">
        <v>0</v>
      </c>
      <c r="M182" s="28">
        <v>0</v>
      </c>
      <c r="N182" s="28">
        <v>0</v>
      </c>
      <c r="O182" s="24"/>
      <c r="P182" s="26"/>
      <c r="Q182" s="27"/>
    </row>
    <row r="183" spans="1:17" ht="60.75" x14ac:dyDescent="0.25">
      <c r="A183" s="22" t="s">
        <v>411</v>
      </c>
      <c r="B183" s="23" t="s">
        <v>412</v>
      </c>
      <c r="C183" s="24" t="s">
        <v>179</v>
      </c>
      <c r="D183" s="24" t="s">
        <v>375</v>
      </c>
      <c r="E183" s="25">
        <f>SUM(E184:E184)+164688</f>
        <v>164688</v>
      </c>
      <c r="F183" s="25">
        <f>SUM(F184:F184)</f>
        <v>0</v>
      </c>
      <c r="G183" s="25">
        <f>SUM(G184:G184)</f>
        <v>0</v>
      </c>
      <c r="H183" s="25">
        <f>SUM(H184:H184)</f>
        <v>0</v>
      </c>
      <c r="I183" s="25">
        <f>SUM(I184:I184)</f>
        <v>0</v>
      </c>
      <c r="J183" s="25">
        <f>SUM(J184:J184)+70000</f>
        <v>70000</v>
      </c>
      <c r="K183" s="25">
        <f>SUM(K184:K184)+94688</f>
        <v>94688</v>
      </c>
      <c r="L183" s="25">
        <f>SUM(L184:L184)</f>
        <v>0</v>
      </c>
      <c r="M183" s="25">
        <f>SUM(M184:M184)</f>
        <v>0</v>
      </c>
      <c r="N183" s="25">
        <f>SUM(N184:N184)</f>
        <v>0</v>
      </c>
      <c r="O183" s="24" t="s">
        <v>381</v>
      </c>
      <c r="P183" s="26" t="s">
        <v>31</v>
      </c>
      <c r="Q183" s="27" t="s">
        <v>38</v>
      </c>
    </row>
    <row r="184" spans="1:17" x14ac:dyDescent="0.25">
      <c r="A184" s="22" t="s">
        <v>413</v>
      </c>
      <c r="B184" s="23" t="s">
        <v>401</v>
      </c>
      <c r="C184" s="24"/>
      <c r="D184" s="24"/>
      <c r="E184" s="28">
        <v>0</v>
      </c>
      <c r="F184" s="28">
        <v>0</v>
      </c>
      <c r="G184" s="28">
        <v>0</v>
      </c>
      <c r="H184" s="28">
        <v>0</v>
      </c>
      <c r="I184" s="28">
        <v>0</v>
      </c>
      <c r="J184" s="28">
        <v>0</v>
      </c>
      <c r="K184" s="28">
        <v>0</v>
      </c>
      <c r="L184" s="28">
        <v>0</v>
      </c>
      <c r="M184" s="28">
        <v>0</v>
      </c>
      <c r="N184" s="28">
        <v>0</v>
      </c>
      <c r="O184" s="24"/>
      <c r="P184" s="26"/>
      <c r="Q184" s="27"/>
    </row>
    <row r="185" spans="1:17" ht="60.75" x14ac:dyDescent="0.25">
      <c r="A185" s="22" t="s">
        <v>414</v>
      </c>
      <c r="B185" s="23" t="s">
        <v>415</v>
      </c>
      <c r="C185" s="24"/>
      <c r="D185" s="24" t="s">
        <v>375</v>
      </c>
      <c r="E185" s="25">
        <f>SUM(E186:E187)+141168</f>
        <v>141168</v>
      </c>
      <c r="F185" s="25">
        <f>SUM(F186:F187)+1378</f>
        <v>1378</v>
      </c>
      <c r="G185" s="25">
        <f>SUM(G186:G187)</f>
        <v>0</v>
      </c>
      <c r="H185" s="25">
        <f>SUM(H186:H187)</f>
        <v>0</v>
      </c>
      <c r="I185" s="25">
        <f>SUM(I186:I187)</f>
        <v>0</v>
      </c>
      <c r="J185" s="25">
        <f>SUM(J186:J187)+38622</f>
        <v>38622</v>
      </c>
      <c r="K185" s="25">
        <f>SUM(K186:K187)+101168</f>
        <v>101168</v>
      </c>
      <c r="L185" s="25">
        <f>SUM(L186:L187)</f>
        <v>0</v>
      </c>
      <c r="M185" s="25">
        <f>SUM(M186:M187)</f>
        <v>0</v>
      </c>
      <c r="N185" s="25">
        <f>SUM(N186:N187)</f>
        <v>0</v>
      </c>
      <c r="O185" s="24" t="s">
        <v>416</v>
      </c>
      <c r="P185" s="26" t="s">
        <v>31</v>
      </c>
      <c r="Q185" s="27" t="s">
        <v>38</v>
      </c>
    </row>
    <row r="186" spans="1:17" x14ac:dyDescent="0.25">
      <c r="A186" s="29"/>
      <c r="B186" s="30"/>
      <c r="C186" s="31"/>
      <c r="D186" s="31"/>
      <c r="E186" s="32">
        <v>0</v>
      </c>
      <c r="F186" s="32">
        <v>0</v>
      </c>
      <c r="G186" s="32">
        <v>0</v>
      </c>
      <c r="H186" s="32">
        <v>0</v>
      </c>
      <c r="I186" s="32">
        <v>0</v>
      </c>
      <c r="J186" s="32">
        <v>0</v>
      </c>
      <c r="K186" s="32">
        <v>0</v>
      </c>
      <c r="L186" s="32">
        <v>0</v>
      </c>
      <c r="M186" s="32">
        <v>0</v>
      </c>
      <c r="N186" s="32">
        <v>0</v>
      </c>
      <c r="O186" s="31" t="s">
        <v>201</v>
      </c>
      <c r="P186" s="33" t="s">
        <v>31</v>
      </c>
      <c r="Q186" s="34" t="s">
        <v>38</v>
      </c>
    </row>
    <row r="187" spans="1:17" x14ac:dyDescent="0.25">
      <c r="A187" s="22" t="s">
        <v>417</v>
      </c>
      <c r="B187" s="23" t="s">
        <v>401</v>
      </c>
      <c r="C187" s="24"/>
      <c r="D187" s="24"/>
      <c r="E187" s="28">
        <v>0</v>
      </c>
      <c r="F187" s="28">
        <v>0</v>
      </c>
      <c r="G187" s="28">
        <v>0</v>
      </c>
      <c r="H187" s="28">
        <v>0</v>
      </c>
      <c r="I187" s="28">
        <v>0</v>
      </c>
      <c r="J187" s="28">
        <v>0</v>
      </c>
      <c r="K187" s="28">
        <v>0</v>
      </c>
      <c r="L187" s="28">
        <v>0</v>
      </c>
      <c r="M187" s="28">
        <v>0</v>
      </c>
      <c r="N187" s="28">
        <v>0</v>
      </c>
      <c r="O187" s="24"/>
      <c r="P187" s="26"/>
      <c r="Q187" s="27"/>
    </row>
    <row r="188" spans="1:17" ht="60.75" x14ac:dyDescent="0.25">
      <c r="A188" s="22" t="s">
        <v>418</v>
      </c>
      <c r="B188" s="23" t="s">
        <v>419</v>
      </c>
      <c r="C188" s="24" t="s">
        <v>179</v>
      </c>
      <c r="D188" s="24" t="s">
        <v>199</v>
      </c>
      <c r="E188" s="25">
        <f t="shared" ref="E188:N188" si="49">SUM(E189:E189)</f>
        <v>0</v>
      </c>
      <c r="F188" s="25">
        <f t="shared" si="49"/>
        <v>0</v>
      </c>
      <c r="G188" s="25">
        <f t="shared" si="49"/>
        <v>0</v>
      </c>
      <c r="H188" s="25">
        <f t="shared" si="49"/>
        <v>0</v>
      </c>
      <c r="I188" s="25">
        <f t="shared" si="49"/>
        <v>0</v>
      </c>
      <c r="J188" s="25">
        <f t="shared" si="49"/>
        <v>0</v>
      </c>
      <c r="K188" s="25">
        <f t="shared" si="49"/>
        <v>0</v>
      </c>
      <c r="L188" s="25">
        <f t="shared" si="49"/>
        <v>0</v>
      </c>
      <c r="M188" s="25">
        <f t="shared" si="49"/>
        <v>0</v>
      </c>
      <c r="N188" s="25">
        <f t="shared" si="49"/>
        <v>0</v>
      </c>
      <c r="O188" s="24"/>
      <c r="P188" s="26"/>
      <c r="Q188" s="27"/>
    </row>
    <row r="189" spans="1:17" x14ac:dyDescent="0.25">
      <c r="A189" s="22" t="s">
        <v>420</v>
      </c>
      <c r="B189" s="23" t="s">
        <v>401</v>
      </c>
      <c r="C189" s="24"/>
      <c r="D189" s="24"/>
      <c r="E189" s="28">
        <v>0</v>
      </c>
      <c r="F189" s="28">
        <v>0</v>
      </c>
      <c r="G189" s="28">
        <v>0</v>
      </c>
      <c r="H189" s="28">
        <v>0</v>
      </c>
      <c r="I189" s="28">
        <v>0</v>
      </c>
      <c r="J189" s="28">
        <v>0</v>
      </c>
      <c r="K189" s="28">
        <v>0</v>
      </c>
      <c r="L189" s="28">
        <v>0</v>
      </c>
      <c r="M189" s="28">
        <v>0</v>
      </c>
      <c r="N189" s="28">
        <v>0</v>
      </c>
      <c r="O189" s="24"/>
      <c r="P189" s="26"/>
      <c r="Q189" s="27"/>
    </row>
    <row r="190" spans="1:17" x14ac:dyDescent="0.25">
      <c r="A190" s="10" t="s">
        <v>421</v>
      </c>
      <c r="B190" s="11" t="s">
        <v>422</v>
      </c>
      <c r="C190" s="12"/>
      <c r="D190" s="12"/>
      <c r="E190" s="13">
        <f t="shared" ref="E190:N191" si="50">SUM(E191:E191)</f>
        <v>260680</v>
      </c>
      <c r="F190" s="13">
        <f t="shared" si="50"/>
        <v>0</v>
      </c>
      <c r="G190" s="13">
        <f t="shared" si="50"/>
        <v>0</v>
      </c>
      <c r="H190" s="13">
        <f t="shared" si="50"/>
        <v>0</v>
      </c>
      <c r="I190" s="13">
        <f t="shared" si="50"/>
        <v>0</v>
      </c>
      <c r="J190" s="13">
        <f t="shared" si="50"/>
        <v>200000</v>
      </c>
      <c r="K190" s="13">
        <f t="shared" si="50"/>
        <v>55820</v>
      </c>
      <c r="L190" s="13">
        <f t="shared" si="50"/>
        <v>4860</v>
      </c>
      <c r="M190" s="13">
        <f t="shared" si="50"/>
        <v>0</v>
      </c>
      <c r="N190" s="13">
        <f t="shared" si="50"/>
        <v>0</v>
      </c>
      <c r="O190" s="12"/>
      <c r="P190" s="14"/>
      <c r="Q190" s="15"/>
    </row>
    <row r="191" spans="1:17" ht="60.75" x14ac:dyDescent="0.25">
      <c r="A191" s="16" t="s">
        <v>423</v>
      </c>
      <c r="B191" s="17" t="s">
        <v>424</v>
      </c>
      <c r="C191" s="18"/>
      <c r="D191" s="18"/>
      <c r="E191" s="19">
        <f t="shared" si="50"/>
        <v>260680</v>
      </c>
      <c r="F191" s="19">
        <f t="shared" si="50"/>
        <v>0</v>
      </c>
      <c r="G191" s="19">
        <f t="shared" si="50"/>
        <v>0</v>
      </c>
      <c r="H191" s="19">
        <f t="shared" si="50"/>
        <v>0</v>
      </c>
      <c r="I191" s="19">
        <f t="shared" si="50"/>
        <v>0</v>
      </c>
      <c r="J191" s="19">
        <f t="shared" si="50"/>
        <v>200000</v>
      </c>
      <c r="K191" s="19">
        <f t="shared" si="50"/>
        <v>55820</v>
      </c>
      <c r="L191" s="19">
        <f t="shared" si="50"/>
        <v>4860</v>
      </c>
      <c r="M191" s="19">
        <f t="shared" si="50"/>
        <v>0</v>
      </c>
      <c r="N191" s="19">
        <f t="shared" si="50"/>
        <v>0</v>
      </c>
      <c r="O191" s="18"/>
      <c r="P191" s="20"/>
      <c r="Q191" s="21"/>
    </row>
    <row r="192" spans="1:17" ht="60.75" x14ac:dyDescent="0.25">
      <c r="A192" s="22" t="s">
        <v>425</v>
      </c>
      <c r="B192" s="23" t="s">
        <v>426</v>
      </c>
      <c r="C192" s="24" t="s">
        <v>179</v>
      </c>
      <c r="D192" s="24" t="s">
        <v>427</v>
      </c>
      <c r="E192" s="25">
        <f>SUM(E193:E193)+260680</f>
        <v>260680</v>
      </c>
      <c r="F192" s="25">
        <f>SUM(F193:F193)</f>
        <v>0</v>
      </c>
      <c r="G192" s="25">
        <f>SUM(G193:G193)</f>
        <v>0</v>
      </c>
      <c r="H192" s="25">
        <f>SUM(H193:H193)</f>
        <v>0</v>
      </c>
      <c r="I192" s="25">
        <f>SUM(I193:I193)</f>
        <v>0</v>
      </c>
      <c r="J192" s="25">
        <f>SUM(J193:J193)+200000</f>
        <v>200000</v>
      </c>
      <c r="K192" s="25">
        <f>SUM(K193:K193)+55820</f>
        <v>55820</v>
      </c>
      <c r="L192" s="25">
        <f>SUM(L193:L193)+4860</f>
        <v>4860</v>
      </c>
      <c r="M192" s="25">
        <f>SUM(M193:M193)</f>
        <v>0</v>
      </c>
      <c r="N192" s="25">
        <f>SUM(N193:N193)</f>
        <v>0</v>
      </c>
      <c r="O192" s="24" t="s">
        <v>428</v>
      </c>
      <c r="P192" s="26" t="s">
        <v>429</v>
      </c>
      <c r="Q192" s="27" t="s">
        <v>92</v>
      </c>
    </row>
    <row r="193" spans="1:17" ht="40.5" x14ac:dyDescent="0.25">
      <c r="A193" s="22" t="s">
        <v>430</v>
      </c>
      <c r="B193" s="23" t="s">
        <v>431</v>
      </c>
      <c r="C193" s="24"/>
      <c r="D193" s="24"/>
      <c r="E193" s="28">
        <v>0</v>
      </c>
      <c r="F193" s="28">
        <v>0</v>
      </c>
      <c r="G193" s="28">
        <v>0</v>
      </c>
      <c r="H193" s="28">
        <v>0</v>
      </c>
      <c r="I193" s="28">
        <v>0</v>
      </c>
      <c r="J193" s="28">
        <v>0</v>
      </c>
      <c r="K193" s="28">
        <v>0</v>
      </c>
      <c r="L193" s="28">
        <v>0</v>
      </c>
      <c r="M193" s="28">
        <v>0</v>
      </c>
      <c r="N193" s="28">
        <v>0</v>
      </c>
      <c r="O193" s="24"/>
      <c r="P193" s="26"/>
      <c r="Q193" s="27"/>
    </row>
    <row r="194" spans="1:17" ht="40.5" x14ac:dyDescent="0.25">
      <c r="A194" s="10" t="s">
        <v>432</v>
      </c>
      <c r="B194" s="11" t="s">
        <v>433</v>
      </c>
      <c r="C194" s="12"/>
      <c r="D194" s="12"/>
      <c r="E194" s="13">
        <f t="shared" ref="E194:N195" si="51">SUM(E195:E195)</f>
        <v>96000</v>
      </c>
      <c r="F194" s="13">
        <f t="shared" si="51"/>
        <v>0</v>
      </c>
      <c r="G194" s="13">
        <f t="shared" si="51"/>
        <v>0</v>
      </c>
      <c r="H194" s="13">
        <f t="shared" si="51"/>
        <v>0</v>
      </c>
      <c r="I194" s="13">
        <f t="shared" si="51"/>
        <v>0</v>
      </c>
      <c r="J194" s="13">
        <f t="shared" si="51"/>
        <v>36000</v>
      </c>
      <c r="K194" s="13">
        <f t="shared" si="51"/>
        <v>60000</v>
      </c>
      <c r="L194" s="13">
        <f t="shared" si="51"/>
        <v>0</v>
      </c>
      <c r="M194" s="13">
        <f t="shared" si="51"/>
        <v>0</v>
      </c>
      <c r="N194" s="13">
        <f t="shared" si="51"/>
        <v>0</v>
      </c>
      <c r="O194" s="12"/>
      <c r="P194" s="14"/>
      <c r="Q194" s="15"/>
    </row>
    <row r="195" spans="1:17" ht="60.75" x14ac:dyDescent="0.25">
      <c r="A195" s="16" t="s">
        <v>434</v>
      </c>
      <c r="B195" s="17" t="s">
        <v>435</v>
      </c>
      <c r="C195" s="18"/>
      <c r="D195" s="18"/>
      <c r="E195" s="19">
        <f t="shared" si="51"/>
        <v>96000</v>
      </c>
      <c r="F195" s="19">
        <f t="shared" si="51"/>
        <v>0</v>
      </c>
      <c r="G195" s="19">
        <f t="shared" si="51"/>
        <v>0</v>
      </c>
      <c r="H195" s="19">
        <f t="shared" si="51"/>
        <v>0</v>
      </c>
      <c r="I195" s="19">
        <f t="shared" si="51"/>
        <v>0</v>
      </c>
      <c r="J195" s="19">
        <f t="shared" si="51"/>
        <v>36000</v>
      </c>
      <c r="K195" s="19">
        <f t="shared" si="51"/>
        <v>60000</v>
      </c>
      <c r="L195" s="19">
        <f t="shared" si="51"/>
        <v>0</v>
      </c>
      <c r="M195" s="19">
        <f t="shared" si="51"/>
        <v>0</v>
      </c>
      <c r="N195" s="19">
        <f t="shared" si="51"/>
        <v>0</v>
      </c>
      <c r="O195" s="18"/>
      <c r="P195" s="20"/>
      <c r="Q195" s="21"/>
    </row>
    <row r="196" spans="1:17" ht="60.75" x14ac:dyDescent="0.25">
      <c r="A196" s="22" t="s">
        <v>436</v>
      </c>
      <c r="B196" s="23" t="s">
        <v>437</v>
      </c>
      <c r="C196" s="24" t="s">
        <v>179</v>
      </c>
      <c r="D196" s="24" t="s">
        <v>427</v>
      </c>
      <c r="E196" s="25">
        <f>SUM(E197:E197)+96000</f>
        <v>96000</v>
      </c>
      <c r="F196" s="25">
        <f>SUM(F197:F197)</f>
        <v>0</v>
      </c>
      <c r="G196" s="25">
        <f>SUM(G197:G197)</f>
        <v>0</v>
      </c>
      <c r="H196" s="25">
        <f>SUM(H197:H197)</f>
        <v>0</v>
      </c>
      <c r="I196" s="25">
        <f>SUM(I197:I197)</f>
        <v>0</v>
      </c>
      <c r="J196" s="25">
        <f>SUM(J197:J197)+36000</f>
        <v>36000</v>
      </c>
      <c r="K196" s="25">
        <f>SUM(K197:K197)+60000</f>
        <v>60000</v>
      </c>
      <c r="L196" s="25">
        <f>SUM(L197:L197)</f>
        <v>0</v>
      </c>
      <c r="M196" s="25">
        <f>SUM(M197:M197)</f>
        <v>0</v>
      </c>
      <c r="N196" s="25">
        <f>SUM(N197:N197)</f>
        <v>0</v>
      </c>
      <c r="O196" s="24" t="s">
        <v>428</v>
      </c>
      <c r="P196" s="26" t="s">
        <v>429</v>
      </c>
      <c r="Q196" s="27" t="s">
        <v>38</v>
      </c>
    </row>
    <row r="197" spans="1:17" ht="40.5" x14ac:dyDescent="0.25">
      <c r="A197" s="22" t="s">
        <v>438</v>
      </c>
      <c r="B197" s="23" t="s">
        <v>439</v>
      </c>
      <c r="C197" s="24"/>
      <c r="D197" s="24"/>
      <c r="E197" s="28">
        <v>0</v>
      </c>
      <c r="F197" s="28">
        <v>0</v>
      </c>
      <c r="G197" s="28">
        <v>0</v>
      </c>
      <c r="H197" s="28">
        <v>0</v>
      </c>
      <c r="I197" s="28">
        <v>0</v>
      </c>
      <c r="J197" s="28">
        <v>0</v>
      </c>
      <c r="K197" s="28">
        <v>0</v>
      </c>
      <c r="L197" s="28">
        <v>0</v>
      </c>
      <c r="M197" s="28">
        <v>0</v>
      </c>
      <c r="N197" s="28">
        <v>0</v>
      </c>
      <c r="O197" s="24"/>
      <c r="P197" s="26"/>
      <c r="Q197" s="27"/>
    </row>
    <row r="198" spans="1:17" ht="60.75" x14ac:dyDescent="0.25">
      <c r="A198" s="10" t="s">
        <v>440</v>
      </c>
      <c r="B198" s="11" t="s">
        <v>441</v>
      </c>
      <c r="C198" s="12"/>
      <c r="D198" s="12"/>
      <c r="E198" s="13">
        <f t="shared" ref="E198:N198" si="52">SUM(E199:E199)</f>
        <v>195862</v>
      </c>
      <c r="F198" s="13">
        <f t="shared" si="52"/>
        <v>16914</v>
      </c>
      <c r="G198" s="13">
        <f t="shared" si="52"/>
        <v>0</v>
      </c>
      <c r="H198" s="13">
        <f t="shared" si="52"/>
        <v>0</v>
      </c>
      <c r="I198" s="13">
        <f t="shared" si="52"/>
        <v>0</v>
      </c>
      <c r="J198" s="13">
        <f t="shared" si="52"/>
        <v>0</v>
      </c>
      <c r="K198" s="13">
        <f t="shared" si="52"/>
        <v>164375</v>
      </c>
      <c r="L198" s="13">
        <f t="shared" si="52"/>
        <v>14573</v>
      </c>
      <c r="M198" s="13">
        <f t="shared" si="52"/>
        <v>0</v>
      </c>
      <c r="N198" s="13">
        <f t="shared" si="52"/>
        <v>0</v>
      </c>
      <c r="O198" s="12"/>
      <c r="P198" s="14"/>
      <c r="Q198" s="15"/>
    </row>
    <row r="199" spans="1:17" ht="40.5" x14ac:dyDescent="0.25">
      <c r="A199" s="16" t="s">
        <v>442</v>
      </c>
      <c r="B199" s="17" t="s">
        <v>443</v>
      </c>
      <c r="C199" s="18"/>
      <c r="D199" s="18"/>
      <c r="E199" s="19">
        <f t="shared" ref="E199:N199" si="53">E200+E203+E205</f>
        <v>195862</v>
      </c>
      <c r="F199" s="19">
        <f t="shared" si="53"/>
        <v>16914</v>
      </c>
      <c r="G199" s="19">
        <f t="shared" si="53"/>
        <v>0</v>
      </c>
      <c r="H199" s="19">
        <f t="shared" si="53"/>
        <v>0</v>
      </c>
      <c r="I199" s="19">
        <f t="shared" si="53"/>
        <v>0</v>
      </c>
      <c r="J199" s="19">
        <f t="shared" si="53"/>
        <v>0</v>
      </c>
      <c r="K199" s="19">
        <f t="shared" si="53"/>
        <v>164375</v>
      </c>
      <c r="L199" s="19">
        <f t="shared" si="53"/>
        <v>14573</v>
      </c>
      <c r="M199" s="19">
        <f t="shared" si="53"/>
        <v>0</v>
      </c>
      <c r="N199" s="19">
        <f t="shared" si="53"/>
        <v>0</v>
      </c>
      <c r="O199" s="18"/>
      <c r="P199" s="20"/>
      <c r="Q199" s="21"/>
    </row>
    <row r="200" spans="1:17" ht="81" x14ac:dyDescent="0.25">
      <c r="A200" s="22" t="s">
        <v>444</v>
      </c>
      <c r="B200" s="23" t="s">
        <v>445</v>
      </c>
      <c r="C200" s="24" t="s">
        <v>179</v>
      </c>
      <c r="D200" s="24" t="s">
        <v>199</v>
      </c>
      <c r="E200" s="25">
        <f>SUM(E201:E202)+161920</f>
        <v>161920</v>
      </c>
      <c r="F200" s="25">
        <f>SUM(F201:F202)+12220</f>
        <v>12220</v>
      </c>
      <c r="G200" s="25">
        <f>SUM(G201:G202)</f>
        <v>0</v>
      </c>
      <c r="H200" s="25">
        <f>SUM(H201:H202)</f>
        <v>0</v>
      </c>
      <c r="I200" s="25">
        <f>SUM(I201:I202)</f>
        <v>0</v>
      </c>
      <c r="J200" s="25">
        <f>SUM(J201:J202)</f>
        <v>0</v>
      </c>
      <c r="K200" s="25">
        <f>SUM(K201:K202)+137500</f>
        <v>137500</v>
      </c>
      <c r="L200" s="25">
        <f>SUM(L201:L202)+12200</f>
        <v>12200</v>
      </c>
      <c r="M200" s="25">
        <f>SUM(M201:M202)</f>
        <v>0</v>
      </c>
      <c r="N200" s="25">
        <f>SUM(N201:N202)</f>
        <v>0</v>
      </c>
      <c r="O200" s="24" t="s">
        <v>446</v>
      </c>
      <c r="P200" s="26" t="s">
        <v>31</v>
      </c>
      <c r="Q200" s="27" t="s">
        <v>38</v>
      </c>
    </row>
    <row r="201" spans="1:17" ht="40.5" x14ac:dyDescent="0.25">
      <c r="A201" s="29"/>
      <c r="B201" s="30"/>
      <c r="C201" s="31"/>
      <c r="D201" s="31"/>
      <c r="E201" s="32">
        <v>0</v>
      </c>
      <c r="F201" s="32">
        <v>0</v>
      </c>
      <c r="G201" s="32">
        <v>0</v>
      </c>
      <c r="H201" s="32">
        <v>0</v>
      </c>
      <c r="I201" s="32">
        <v>0</v>
      </c>
      <c r="J201" s="32">
        <v>0</v>
      </c>
      <c r="K201" s="32">
        <v>0</v>
      </c>
      <c r="L201" s="32">
        <v>0</v>
      </c>
      <c r="M201" s="32">
        <v>0</v>
      </c>
      <c r="N201" s="32">
        <v>0</v>
      </c>
      <c r="O201" s="31" t="s">
        <v>447</v>
      </c>
      <c r="P201" s="33" t="s">
        <v>429</v>
      </c>
      <c r="Q201" s="34" t="s">
        <v>98</v>
      </c>
    </row>
    <row r="202" spans="1:17" ht="40.5" x14ac:dyDescent="0.25">
      <c r="A202" s="22" t="s">
        <v>448</v>
      </c>
      <c r="B202" s="23" t="s">
        <v>449</v>
      </c>
      <c r="C202" s="24"/>
      <c r="D202" s="24"/>
      <c r="E202" s="28">
        <v>0</v>
      </c>
      <c r="F202" s="28">
        <v>0</v>
      </c>
      <c r="G202" s="28">
        <v>0</v>
      </c>
      <c r="H202" s="28">
        <v>0</v>
      </c>
      <c r="I202" s="28">
        <v>0</v>
      </c>
      <c r="J202" s="28">
        <v>0</v>
      </c>
      <c r="K202" s="28">
        <v>0</v>
      </c>
      <c r="L202" s="28">
        <v>0</v>
      </c>
      <c r="M202" s="28">
        <v>0</v>
      </c>
      <c r="N202" s="28">
        <v>0</v>
      </c>
      <c r="O202" s="24"/>
      <c r="P202" s="26"/>
      <c r="Q202" s="27"/>
    </row>
    <row r="203" spans="1:17" ht="81" x14ac:dyDescent="0.25">
      <c r="A203" s="22" t="s">
        <v>450</v>
      </c>
      <c r="B203" s="23" t="s">
        <v>451</v>
      </c>
      <c r="C203" s="24" t="s">
        <v>179</v>
      </c>
      <c r="D203" s="24" t="s">
        <v>199</v>
      </c>
      <c r="E203" s="25">
        <f>SUM(E204:E204)+23642</f>
        <v>23642</v>
      </c>
      <c r="F203" s="25">
        <f>SUM(F204:F204)+3921</f>
        <v>3921</v>
      </c>
      <c r="G203" s="25">
        <f>SUM(G204:G204)</f>
        <v>0</v>
      </c>
      <c r="H203" s="25">
        <f>SUM(H204:H204)</f>
        <v>0</v>
      </c>
      <c r="I203" s="25">
        <f>SUM(I204:I204)</f>
        <v>0</v>
      </c>
      <c r="J203" s="25">
        <f>SUM(J204:J204)</f>
        <v>0</v>
      </c>
      <c r="K203" s="25">
        <f>SUM(K204:K204)+18121</f>
        <v>18121</v>
      </c>
      <c r="L203" s="25">
        <f>SUM(L204:L204)+1600</f>
        <v>1600</v>
      </c>
      <c r="M203" s="25">
        <f>SUM(M204:M204)</f>
        <v>0</v>
      </c>
      <c r="N203" s="25">
        <f>SUM(N204:N204)</f>
        <v>0</v>
      </c>
      <c r="O203" s="24" t="s">
        <v>452</v>
      </c>
      <c r="P203" s="26" t="s">
        <v>31</v>
      </c>
      <c r="Q203" s="27" t="s">
        <v>32</v>
      </c>
    </row>
    <row r="204" spans="1:17" ht="60.75" x14ac:dyDescent="0.25">
      <c r="A204" s="22" t="s">
        <v>453</v>
      </c>
      <c r="B204" s="23" t="s">
        <v>454</v>
      </c>
      <c r="C204" s="24"/>
      <c r="D204" s="24"/>
      <c r="E204" s="28">
        <v>0</v>
      </c>
      <c r="F204" s="28">
        <v>0</v>
      </c>
      <c r="G204" s="28">
        <v>0</v>
      </c>
      <c r="H204" s="28">
        <v>0</v>
      </c>
      <c r="I204" s="28">
        <v>0</v>
      </c>
      <c r="J204" s="28">
        <v>0</v>
      </c>
      <c r="K204" s="28">
        <v>0</v>
      </c>
      <c r="L204" s="28">
        <v>0</v>
      </c>
      <c r="M204" s="28">
        <v>0</v>
      </c>
      <c r="N204" s="28">
        <v>0</v>
      </c>
      <c r="O204" s="24"/>
      <c r="P204" s="26"/>
      <c r="Q204" s="27"/>
    </row>
    <row r="205" spans="1:17" ht="101.25" x14ac:dyDescent="0.25">
      <c r="A205" s="22" t="s">
        <v>455</v>
      </c>
      <c r="B205" s="23" t="s">
        <v>456</v>
      </c>
      <c r="C205" s="24" t="s">
        <v>179</v>
      </c>
      <c r="D205" s="24" t="s">
        <v>199</v>
      </c>
      <c r="E205" s="25">
        <f>SUM(E206:E206)+10300</f>
        <v>10300</v>
      </c>
      <c r="F205" s="25">
        <f>SUM(F206:F206)+773</f>
        <v>773</v>
      </c>
      <c r="G205" s="25">
        <f>SUM(G206:G206)</f>
        <v>0</v>
      </c>
      <c r="H205" s="25">
        <f>SUM(H206:H206)</f>
        <v>0</v>
      </c>
      <c r="I205" s="25">
        <f>SUM(I206:I206)</f>
        <v>0</v>
      </c>
      <c r="J205" s="25">
        <f>SUM(J206:J206)</f>
        <v>0</v>
      </c>
      <c r="K205" s="25">
        <f>SUM(K206:K206)+8754</f>
        <v>8754</v>
      </c>
      <c r="L205" s="25">
        <f>SUM(L206:L206)+773</f>
        <v>773</v>
      </c>
      <c r="M205" s="25">
        <f>SUM(M206:M206)</f>
        <v>0</v>
      </c>
      <c r="N205" s="25">
        <f>SUM(N206:N206)</f>
        <v>0</v>
      </c>
      <c r="O205" s="24" t="s">
        <v>457</v>
      </c>
      <c r="P205" s="26" t="s">
        <v>31</v>
      </c>
      <c r="Q205" s="27" t="s">
        <v>458</v>
      </c>
    </row>
    <row r="206" spans="1:17" ht="60.75" x14ac:dyDescent="0.25">
      <c r="A206" s="22" t="s">
        <v>459</v>
      </c>
      <c r="B206" s="23" t="s">
        <v>460</v>
      </c>
      <c r="C206" s="24"/>
      <c r="D206" s="24"/>
      <c r="E206" s="28">
        <v>0</v>
      </c>
      <c r="F206" s="28">
        <v>0</v>
      </c>
      <c r="G206" s="28">
        <v>0</v>
      </c>
      <c r="H206" s="28">
        <v>0</v>
      </c>
      <c r="I206" s="28">
        <v>0</v>
      </c>
      <c r="J206" s="28">
        <v>0</v>
      </c>
      <c r="K206" s="28">
        <v>0</v>
      </c>
      <c r="L206" s="28">
        <v>0</v>
      </c>
      <c r="M206" s="28">
        <v>0</v>
      </c>
      <c r="N206" s="28">
        <v>0</v>
      </c>
      <c r="O206" s="24"/>
      <c r="P206" s="26"/>
      <c r="Q206" s="27"/>
    </row>
    <row r="207" spans="1:17" ht="40.5" x14ac:dyDescent="0.25">
      <c r="A207" s="10" t="s">
        <v>461</v>
      </c>
      <c r="B207" s="11" t="s">
        <v>462</v>
      </c>
      <c r="C207" s="12"/>
      <c r="D207" s="12"/>
      <c r="E207" s="13">
        <f t="shared" ref="E207:N207" si="54">E208+E211</f>
        <v>212532</v>
      </c>
      <c r="F207" s="13">
        <f t="shared" si="54"/>
        <v>60000</v>
      </c>
      <c r="G207" s="13">
        <f t="shared" si="54"/>
        <v>0</v>
      </c>
      <c r="H207" s="13">
        <f t="shared" si="54"/>
        <v>0</v>
      </c>
      <c r="I207" s="13">
        <f t="shared" si="54"/>
        <v>0</v>
      </c>
      <c r="J207" s="13">
        <f t="shared" si="54"/>
        <v>0</v>
      </c>
      <c r="K207" s="13">
        <f t="shared" si="54"/>
        <v>133946</v>
      </c>
      <c r="L207" s="13">
        <f t="shared" si="54"/>
        <v>0</v>
      </c>
      <c r="M207" s="13">
        <f t="shared" si="54"/>
        <v>0</v>
      </c>
      <c r="N207" s="13">
        <f t="shared" si="54"/>
        <v>18586</v>
      </c>
      <c r="O207" s="12"/>
      <c r="P207" s="14"/>
      <c r="Q207" s="15"/>
    </row>
    <row r="208" spans="1:17" ht="63" customHeight="1" x14ac:dyDescent="0.25">
      <c r="A208" s="16" t="s">
        <v>463</v>
      </c>
      <c r="B208" s="17" t="s">
        <v>464</v>
      </c>
      <c r="C208" s="18"/>
      <c r="D208" s="18"/>
      <c r="E208" s="19">
        <f t="shared" ref="E208:N208" si="55">SUM(E209:E209)</f>
        <v>40000</v>
      </c>
      <c r="F208" s="19">
        <f t="shared" si="55"/>
        <v>40000</v>
      </c>
      <c r="G208" s="19">
        <f t="shared" si="55"/>
        <v>0</v>
      </c>
      <c r="H208" s="19">
        <f t="shared" si="55"/>
        <v>0</v>
      </c>
      <c r="I208" s="19">
        <f t="shared" si="55"/>
        <v>0</v>
      </c>
      <c r="J208" s="19">
        <f t="shared" si="55"/>
        <v>0</v>
      </c>
      <c r="K208" s="19">
        <f t="shared" si="55"/>
        <v>0</v>
      </c>
      <c r="L208" s="19">
        <f t="shared" si="55"/>
        <v>0</v>
      </c>
      <c r="M208" s="19">
        <f t="shared" si="55"/>
        <v>0</v>
      </c>
      <c r="N208" s="19">
        <f t="shared" si="55"/>
        <v>0</v>
      </c>
      <c r="O208" s="18"/>
      <c r="P208" s="20"/>
      <c r="Q208" s="21"/>
    </row>
    <row r="209" spans="1:17" ht="60.75" x14ac:dyDescent="0.25">
      <c r="A209" s="22" t="s">
        <v>465</v>
      </c>
      <c r="B209" s="23" t="s">
        <v>466</v>
      </c>
      <c r="C209" s="24" t="s">
        <v>179</v>
      </c>
      <c r="D209" s="24" t="s">
        <v>180</v>
      </c>
      <c r="E209" s="25">
        <f>SUM(E210:E210)+40000</f>
        <v>40000</v>
      </c>
      <c r="F209" s="25">
        <f>SUM(F210:F210)+40000</f>
        <v>40000</v>
      </c>
      <c r="G209" s="25">
        <f t="shared" ref="G209:N209" si="56">SUM(G210:G210)</f>
        <v>0</v>
      </c>
      <c r="H209" s="25">
        <f t="shared" si="56"/>
        <v>0</v>
      </c>
      <c r="I209" s="25">
        <f t="shared" si="56"/>
        <v>0</v>
      </c>
      <c r="J209" s="25">
        <f t="shared" si="56"/>
        <v>0</v>
      </c>
      <c r="K209" s="25">
        <f t="shared" si="56"/>
        <v>0</v>
      </c>
      <c r="L209" s="25">
        <f t="shared" si="56"/>
        <v>0</v>
      </c>
      <c r="M209" s="25">
        <f t="shared" si="56"/>
        <v>0</v>
      </c>
      <c r="N209" s="25">
        <f t="shared" si="56"/>
        <v>0</v>
      </c>
      <c r="O209" s="24" t="s">
        <v>467</v>
      </c>
      <c r="P209" s="26" t="s">
        <v>31</v>
      </c>
      <c r="Q209" s="27" t="s">
        <v>38</v>
      </c>
    </row>
    <row r="210" spans="1:17" ht="40.5" x14ac:dyDescent="0.25">
      <c r="A210" s="22" t="s">
        <v>468</v>
      </c>
      <c r="B210" s="23" t="s">
        <v>469</v>
      </c>
      <c r="C210" s="24"/>
      <c r="D210" s="24"/>
      <c r="E210" s="28">
        <v>0</v>
      </c>
      <c r="F210" s="28">
        <v>0</v>
      </c>
      <c r="G210" s="28">
        <v>0</v>
      </c>
      <c r="H210" s="28">
        <v>0</v>
      </c>
      <c r="I210" s="28">
        <v>0</v>
      </c>
      <c r="J210" s="28">
        <v>0</v>
      </c>
      <c r="K210" s="28">
        <v>0</v>
      </c>
      <c r="L210" s="28">
        <v>0</v>
      </c>
      <c r="M210" s="28">
        <v>0</v>
      </c>
      <c r="N210" s="28">
        <v>0</v>
      </c>
      <c r="O210" s="24"/>
      <c r="P210" s="26"/>
      <c r="Q210" s="27"/>
    </row>
    <row r="211" spans="1:17" ht="90" customHeight="1" x14ac:dyDescent="0.25">
      <c r="A211" s="16" t="s">
        <v>470</v>
      </c>
      <c r="B211" s="17" t="s">
        <v>471</v>
      </c>
      <c r="C211" s="18"/>
      <c r="D211" s="18"/>
      <c r="E211" s="19">
        <f t="shared" ref="E211:N211" si="57">E212+E214+E216</f>
        <v>172532</v>
      </c>
      <c r="F211" s="19">
        <f t="shared" si="57"/>
        <v>20000</v>
      </c>
      <c r="G211" s="19">
        <f t="shared" si="57"/>
        <v>0</v>
      </c>
      <c r="H211" s="19">
        <f t="shared" si="57"/>
        <v>0</v>
      </c>
      <c r="I211" s="19">
        <f t="shared" si="57"/>
        <v>0</v>
      </c>
      <c r="J211" s="19">
        <f t="shared" si="57"/>
        <v>0</v>
      </c>
      <c r="K211" s="19">
        <f t="shared" si="57"/>
        <v>133946</v>
      </c>
      <c r="L211" s="19">
        <f t="shared" si="57"/>
        <v>0</v>
      </c>
      <c r="M211" s="19">
        <f t="shared" si="57"/>
        <v>0</v>
      </c>
      <c r="N211" s="19">
        <f t="shared" si="57"/>
        <v>18586</v>
      </c>
      <c r="O211" s="18"/>
      <c r="P211" s="20"/>
      <c r="Q211" s="21"/>
    </row>
    <row r="212" spans="1:17" ht="40.5" x14ac:dyDescent="0.25">
      <c r="A212" s="22" t="s">
        <v>472</v>
      </c>
      <c r="B212" s="23" t="s">
        <v>473</v>
      </c>
      <c r="C212" s="24" t="s">
        <v>179</v>
      </c>
      <c r="D212" s="24" t="s">
        <v>193</v>
      </c>
      <c r="E212" s="25">
        <f>SUM(E213:E213)+137532</f>
        <v>137532</v>
      </c>
      <c r="F212" s="25">
        <f>SUM(F213:F213)</f>
        <v>0</v>
      </c>
      <c r="G212" s="25">
        <f>SUM(G213:G213)</f>
        <v>0</v>
      </c>
      <c r="H212" s="25">
        <f>SUM(H213:H213)</f>
        <v>0</v>
      </c>
      <c r="I212" s="25">
        <f>SUM(I213:I213)</f>
        <v>0</v>
      </c>
      <c r="J212" s="25">
        <f>SUM(J213:J213)</f>
        <v>0</v>
      </c>
      <c r="K212" s="25">
        <f>SUM(K213:K213)+118946</f>
        <v>118946</v>
      </c>
      <c r="L212" s="25">
        <f>SUM(L213:L213)</f>
        <v>0</v>
      </c>
      <c r="M212" s="25">
        <f>SUM(M213:M213)</f>
        <v>0</v>
      </c>
      <c r="N212" s="25">
        <f>SUM(N213:N213)+18586</f>
        <v>18586</v>
      </c>
      <c r="O212" s="24" t="s">
        <v>393</v>
      </c>
      <c r="P212" s="26" t="s">
        <v>31</v>
      </c>
      <c r="Q212" s="27" t="s">
        <v>38</v>
      </c>
    </row>
    <row r="213" spans="1:17" ht="60.75" x14ac:dyDescent="0.25">
      <c r="A213" s="22" t="s">
        <v>474</v>
      </c>
      <c r="B213" s="23" t="s">
        <v>475</v>
      </c>
      <c r="C213" s="24"/>
      <c r="D213" s="24"/>
      <c r="E213" s="28">
        <v>0</v>
      </c>
      <c r="F213" s="28">
        <v>0</v>
      </c>
      <c r="G213" s="28">
        <v>0</v>
      </c>
      <c r="H213" s="28">
        <v>0</v>
      </c>
      <c r="I213" s="28">
        <v>0</v>
      </c>
      <c r="J213" s="28">
        <v>0</v>
      </c>
      <c r="K213" s="28">
        <v>0</v>
      </c>
      <c r="L213" s="28">
        <v>0</v>
      </c>
      <c r="M213" s="28">
        <v>0</v>
      </c>
      <c r="N213" s="28">
        <v>0</v>
      </c>
      <c r="O213" s="24"/>
      <c r="P213" s="26"/>
      <c r="Q213" s="27"/>
    </row>
    <row r="214" spans="1:17" ht="40.5" x14ac:dyDescent="0.25">
      <c r="A214" s="22" t="s">
        <v>476</v>
      </c>
      <c r="B214" s="23" t="s">
        <v>477</v>
      </c>
      <c r="C214" s="24" t="s">
        <v>179</v>
      </c>
      <c r="D214" s="24" t="s">
        <v>193</v>
      </c>
      <c r="E214" s="25">
        <f>SUM(E215:E215)+15000</f>
        <v>15000</v>
      </c>
      <c r="F214" s="25">
        <f>SUM(F215:F215)</f>
        <v>0</v>
      </c>
      <c r="G214" s="25">
        <f>SUM(G215:G215)</f>
        <v>0</v>
      </c>
      <c r="H214" s="25">
        <f>SUM(H215:H215)</f>
        <v>0</v>
      </c>
      <c r="I214" s="25">
        <f>SUM(I215:I215)</f>
        <v>0</v>
      </c>
      <c r="J214" s="25">
        <f>SUM(J215:J215)</f>
        <v>0</v>
      </c>
      <c r="K214" s="25">
        <f>SUM(K215:K215)+15000</f>
        <v>15000</v>
      </c>
      <c r="L214" s="25">
        <f>SUM(L215:L215)</f>
        <v>0</v>
      </c>
      <c r="M214" s="25">
        <f>SUM(M215:M215)</f>
        <v>0</v>
      </c>
      <c r="N214" s="25">
        <f>SUM(N215:N215)</f>
        <v>0</v>
      </c>
      <c r="O214" s="24" t="s">
        <v>478</v>
      </c>
      <c r="P214" s="26" t="s">
        <v>31</v>
      </c>
      <c r="Q214" s="27" t="s">
        <v>171</v>
      </c>
    </row>
    <row r="215" spans="1:17" ht="40.5" x14ac:dyDescent="0.25">
      <c r="A215" s="22" t="s">
        <v>479</v>
      </c>
      <c r="B215" s="23" t="s">
        <v>480</v>
      </c>
      <c r="C215" s="24"/>
      <c r="D215" s="24"/>
      <c r="E215" s="28">
        <v>0</v>
      </c>
      <c r="F215" s="28">
        <v>0</v>
      </c>
      <c r="G215" s="28">
        <v>0</v>
      </c>
      <c r="H215" s="28">
        <v>0</v>
      </c>
      <c r="I215" s="28">
        <v>0</v>
      </c>
      <c r="J215" s="28">
        <v>0</v>
      </c>
      <c r="K215" s="28">
        <v>0</v>
      </c>
      <c r="L215" s="28">
        <v>0</v>
      </c>
      <c r="M215" s="28">
        <v>0</v>
      </c>
      <c r="N215" s="28">
        <v>0</v>
      </c>
      <c r="O215" s="24"/>
      <c r="P215" s="26"/>
      <c r="Q215" s="27"/>
    </row>
    <row r="216" spans="1:17" ht="60.75" x14ac:dyDescent="0.25">
      <c r="A216" s="22" t="s">
        <v>481</v>
      </c>
      <c r="B216" s="23" t="s">
        <v>482</v>
      </c>
      <c r="C216" s="24" t="s">
        <v>179</v>
      </c>
      <c r="D216" s="24" t="s">
        <v>193</v>
      </c>
      <c r="E216" s="25">
        <f>SUM(E217:E217)+20000</f>
        <v>20000</v>
      </c>
      <c r="F216" s="25">
        <f>SUM(F217:F217)+20000</f>
        <v>20000</v>
      </c>
      <c r="G216" s="25">
        <f t="shared" ref="G216:N216" si="58">SUM(G217:G217)</f>
        <v>0</v>
      </c>
      <c r="H216" s="25">
        <f t="shared" si="58"/>
        <v>0</v>
      </c>
      <c r="I216" s="25">
        <f t="shared" si="58"/>
        <v>0</v>
      </c>
      <c r="J216" s="25">
        <f t="shared" si="58"/>
        <v>0</v>
      </c>
      <c r="K216" s="25">
        <f t="shared" si="58"/>
        <v>0</v>
      </c>
      <c r="L216" s="25">
        <f t="shared" si="58"/>
        <v>0</v>
      </c>
      <c r="M216" s="25">
        <f t="shared" si="58"/>
        <v>0</v>
      </c>
      <c r="N216" s="25">
        <f t="shared" si="58"/>
        <v>0</v>
      </c>
      <c r="O216" s="24" t="s">
        <v>483</v>
      </c>
      <c r="P216" s="26" t="s">
        <v>31</v>
      </c>
      <c r="Q216" s="27" t="s">
        <v>38</v>
      </c>
    </row>
    <row r="217" spans="1:17" x14ac:dyDescent="0.25">
      <c r="A217" s="22" t="s">
        <v>484</v>
      </c>
      <c r="B217" s="23" t="s">
        <v>485</v>
      </c>
      <c r="C217" s="24"/>
      <c r="D217" s="24"/>
      <c r="E217" s="28">
        <v>0</v>
      </c>
      <c r="F217" s="28">
        <v>0</v>
      </c>
      <c r="G217" s="28">
        <v>0</v>
      </c>
      <c r="H217" s="28">
        <v>0</v>
      </c>
      <c r="I217" s="28">
        <v>0</v>
      </c>
      <c r="J217" s="28">
        <v>0</v>
      </c>
      <c r="K217" s="28">
        <v>0</v>
      </c>
      <c r="L217" s="28">
        <v>0</v>
      </c>
      <c r="M217" s="28">
        <v>0</v>
      </c>
      <c r="N217" s="28">
        <v>0</v>
      </c>
      <c r="O217" s="24"/>
      <c r="P217" s="26"/>
      <c r="Q217" s="27"/>
    </row>
    <row r="218" spans="1:17" ht="58.5" customHeight="1" x14ac:dyDescent="0.25">
      <c r="A218" s="10" t="s">
        <v>486</v>
      </c>
      <c r="B218" s="11" t="s">
        <v>487</v>
      </c>
      <c r="C218" s="12"/>
      <c r="D218" s="12"/>
      <c r="E218" s="13">
        <f t="shared" ref="E218:N219" si="59">SUM(E219:E219)</f>
        <v>144300</v>
      </c>
      <c r="F218" s="13">
        <f t="shared" si="59"/>
        <v>0</v>
      </c>
      <c r="G218" s="13">
        <f t="shared" si="59"/>
        <v>0</v>
      </c>
      <c r="H218" s="13">
        <f t="shared" si="59"/>
        <v>0</v>
      </c>
      <c r="I218" s="13">
        <f t="shared" si="59"/>
        <v>0</v>
      </c>
      <c r="J218" s="13">
        <f t="shared" si="59"/>
        <v>0</v>
      </c>
      <c r="K218" s="13">
        <f t="shared" si="59"/>
        <v>144300</v>
      </c>
      <c r="L218" s="13">
        <f t="shared" si="59"/>
        <v>0</v>
      </c>
      <c r="M218" s="13">
        <f t="shared" si="59"/>
        <v>0</v>
      </c>
      <c r="N218" s="13">
        <f t="shared" si="59"/>
        <v>0</v>
      </c>
      <c r="O218" s="12"/>
      <c r="P218" s="14"/>
      <c r="Q218" s="15"/>
    </row>
    <row r="219" spans="1:17" ht="40.5" x14ac:dyDescent="0.25">
      <c r="A219" s="16" t="s">
        <v>488</v>
      </c>
      <c r="B219" s="17" t="s">
        <v>489</v>
      </c>
      <c r="C219" s="18"/>
      <c r="D219" s="18"/>
      <c r="E219" s="19">
        <f t="shared" si="59"/>
        <v>144300</v>
      </c>
      <c r="F219" s="19">
        <f t="shared" si="59"/>
        <v>0</v>
      </c>
      <c r="G219" s="19">
        <f t="shared" si="59"/>
        <v>0</v>
      </c>
      <c r="H219" s="19">
        <f t="shared" si="59"/>
        <v>0</v>
      </c>
      <c r="I219" s="19">
        <f t="shared" si="59"/>
        <v>0</v>
      </c>
      <c r="J219" s="19">
        <f t="shared" si="59"/>
        <v>0</v>
      </c>
      <c r="K219" s="19">
        <f t="shared" si="59"/>
        <v>144300</v>
      </c>
      <c r="L219" s="19">
        <f t="shared" si="59"/>
        <v>0</v>
      </c>
      <c r="M219" s="19">
        <f t="shared" si="59"/>
        <v>0</v>
      </c>
      <c r="N219" s="19">
        <f t="shared" si="59"/>
        <v>0</v>
      </c>
      <c r="O219" s="18"/>
      <c r="P219" s="20"/>
      <c r="Q219" s="21"/>
    </row>
    <row r="220" spans="1:17" ht="60.75" x14ac:dyDescent="0.25">
      <c r="A220" s="22" t="s">
        <v>490</v>
      </c>
      <c r="B220" s="23" t="s">
        <v>491</v>
      </c>
      <c r="C220" s="24"/>
      <c r="D220" s="24" t="s">
        <v>375</v>
      </c>
      <c r="E220" s="25">
        <f>SUM(E221:E221)+144300</f>
        <v>144300</v>
      </c>
      <c r="F220" s="25">
        <f>SUM(F221:F221)</f>
        <v>0</v>
      </c>
      <c r="G220" s="25">
        <f>SUM(G221:G221)</f>
        <v>0</v>
      </c>
      <c r="H220" s="25">
        <f>SUM(H221:H221)</f>
        <v>0</v>
      </c>
      <c r="I220" s="25">
        <f>SUM(I221:I221)</f>
        <v>0</v>
      </c>
      <c r="J220" s="25">
        <f>SUM(J221:J221)</f>
        <v>0</v>
      </c>
      <c r="K220" s="25">
        <f>SUM(K221:K221)+144300</f>
        <v>144300</v>
      </c>
      <c r="L220" s="25">
        <f>SUM(L221:L221)</f>
        <v>0</v>
      </c>
      <c r="M220" s="25">
        <f>SUM(M221:M221)</f>
        <v>0</v>
      </c>
      <c r="N220" s="25">
        <f>SUM(N221:N221)</f>
        <v>0</v>
      </c>
      <c r="O220" s="24" t="s">
        <v>492</v>
      </c>
      <c r="P220" s="26" t="s">
        <v>31</v>
      </c>
      <c r="Q220" s="27" t="s">
        <v>38</v>
      </c>
    </row>
    <row r="221" spans="1:17" ht="101.25" x14ac:dyDescent="0.25">
      <c r="A221" s="22" t="s">
        <v>493</v>
      </c>
      <c r="B221" s="23" t="s">
        <v>494</v>
      </c>
      <c r="C221" s="24"/>
      <c r="D221" s="24"/>
      <c r="E221" s="28">
        <v>0</v>
      </c>
      <c r="F221" s="28">
        <v>0</v>
      </c>
      <c r="G221" s="28">
        <v>0</v>
      </c>
      <c r="H221" s="28">
        <v>0</v>
      </c>
      <c r="I221" s="28">
        <v>0</v>
      </c>
      <c r="J221" s="28">
        <v>0</v>
      </c>
      <c r="K221" s="28">
        <v>0</v>
      </c>
      <c r="L221" s="28">
        <v>0</v>
      </c>
      <c r="M221" s="28">
        <v>0</v>
      </c>
      <c r="N221" s="28">
        <v>0</v>
      </c>
      <c r="O221" s="24"/>
      <c r="P221" s="26"/>
      <c r="Q221" s="27"/>
    </row>
    <row r="222" spans="1:17" ht="40.5" x14ac:dyDescent="0.25">
      <c r="A222" s="10" t="s">
        <v>495</v>
      </c>
      <c r="B222" s="11" t="s">
        <v>496</v>
      </c>
      <c r="C222" s="12"/>
      <c r="D222" s="12"/>
      <c r="E222" s="13">
        <f t="shared" ref="E222:N222" si="60">E223+E226</f>
        <v>377432</v>
      </c>
      <c r="F222" s="13">
        <f t="shared" si="60"/>
        <v>0</v>
      </c>
      <c r="G222" s="13">
        <f t="shared" si="60"/>
        <v>0</v>
      </c>
      <c r="H222" s="13">
        <f t="shared" si="60"/>
        <v>0</v>
      </c>
      <c r="I222" s="13">
        <f t="shared" si="60"/>
        <v>0</v>
      </c>
      <c r="J222" s="13">
        <f t="shared" si="60"/>
        <v>28539</v>
      </c>
      <c r="K222" s="13">
        <f t="shared" si="60"/>
        <v>348893</v>
      </c>
      <c r="L222" s="13">
        <f t="shared" si="60"/>
        <v>0</v>
      </c>
      <c r="M222" s="13">
        <f t="shared" si="60"/>
        <v>0</v>
      </c>
      <c r="N222" s="13">
        <f t="shared" si="60"/>
        <v>0</v>
      </c>
      <c r="O222" s="12"/>
      <c r="P222" s="14"/>
      <c r="Q222" s="15"/>
    </row>
    <row r="223" spans="1:17" ht="40.5" x14ac:dyDescent="0.25">
      <c r="A223" s="16" t="s">
        <v>497</v>
      </c>
      <c r="B223" s="17" t="s">
        <v>498</v>
      </c>
      <c r="C223" s="18"/>
      <c r="D223" s="18"/>
      <c r="E223" s="19">
        <f t="shared" ref="E223:N223" si="61">SUM(E224:E224)</f>
        <v>163222</v>
      </c>
      <c r="F223" s="19">
        <f t="shared" si="61"/>
        <v>0</v>
      </c>
      <c r="G223" s="19">
        <f t="shared" si="61"/>
        <v>0</v>
      </c>
      <c r="H223" s="19">
        <f t="shared" si="61"/>
        <v>0</v>
      </c>
      <c r="I223" s="19">
        <f t="shared" si="61"/>
        <v>0</v>
      </c>
      <c r="J223" s="19">
        <f t="shared" si="61"/>
        <v>0</v>
      </c>
      <c r="K223" s="19">
        <f t="shared" si="61"/>
        <v>163222</v>
      </c>
      <c r="L223" s="19">
        <f t="shared" si="61"/>
        <v>0</v>
      </c>
      <c r="M223" s="19">
        <f t="shared" si="61"/>
        <v>0</v>
      </c>
      <c r="N223" s="19">
        <f t="shared" si="61"/>
        <v>0</v>
      </c>
      <c r="O223" s="18"/>
      <c r="P223" s="20"/>
      <c r="Q223" s="21"/>
    </row>
    <row r="224" spans="1:17" ht="60.75" x14ac:dyDescent="0.25">
      <c r="A224" s="22" t="s">
        <v>499</v>
      </c>
      <c r="B224" s="23" t="s">
        <v>500</v>
      </c>
      <c r="C224" s="24" t="s">
        <v>179</v>
      </c>
      <c r="D224" s="24" t="s">
        <v>375</v>
      </c>
      <c r="E224" s="25">
        <f>SUM(E225:E225)+163222</f>
        <v>163222</v>
      </c>
      <c r="F224" s="25">
        <f>SUM(F225:F225)</f>
        <v>0</v>
      </c>
      <c r="G224" s="25">
        <f>SUM(G225:G225)</f>
        <v>0</v>
      </c>
      <c r="H224" s="25">
        <f>SUM(H225:H225)</f>
        <v>0</v>
      </c>
      <c r="I224" s="25">
        <f>SUM(I225:I225)</f>
        <v>0</v>
      </c>
      <c r="J224" s="25">
        <f>SUM(J225:J225)</f>
        <v>0</v>
      </c>
      <c r="K224" s="25">
        <f>SUM(K225:K225)+163222</f>
        <v>163222</v>
      </c>
      <c r="L224" s="25">
        <f>SUM(L225:L225)</f>
        <v>0</v>
      </c>
      <c r="M224" s="25">
        <f>SUM(M225:M225)</f>
        <v>0</v>
      </c>
      <c r="N224" s="25">
        <f>SUM(N225:N225)</f>
        <v>0</v>
      </c>
      <c r="O224" s="24" t="s">
        <v>501</v>
      </c>
      <c r="P224" s="26" t="s">
        <v>31</v>
      </c>
      <c r="Q224" s="27" t="s">
        <v>38</v>
      </c>
    </row>
    <row r="225" spans="1:17" ht="40.5" x14ac:dyDescent="0.25">
      <c r="A225" s="22" t="s">
        <v>502</v>
      </c>
      <c r="B225" s="23" t="s">
        <v>503</v>
      </c>
      <c r="C225" s="24"/>
      <c r="D225" s="24"/>
      <c r="E225" s="28">
        <v>0</v>
      </c>
      <c r="F225" s="28">
        <v>0</v>
      </c>
      <c r="G225" s="28">
        <v>0</v>
      </c>
      <c r="H225" s="28">
        <v>0</v>
      </c>
      <c r="I225" s="28">
        <v>0</v>
      </c>
      <c r="J225" s="28">
        <v>0</v>
      </c>
      <c r="K225" s="28">
        <v>0</v>
      </c>
      <c r="L225" s="28">
        <v>0</v>
      </c>
      <c r="M225" s="28">
        <v>0</v>
      </c>
      <c r="N225" s="28">
        <v>0</v>
      </c>
      <c r="O225" s="24"/>
      <c r="P225" s="26"/>
      <c r="Q225" s="27"/>
    </row>
    <row r="226" spans="1:17" ht="40.5" x14ac:dyDescent="0.25">
      <c r="A226" s="16" t="s">
        <v>504</v>
      </c>
      <c r="B226" s="17" t="s">
        <v>505</v>
      </c>
      <c r="C226" s="18"/>
      <c r="D226" s="18"/>
      <c r="E226" s="19">
        <f t="shared" ref="E226:N226" si="62">SUM(E227:E227)</f>
        <v>214210</v>
      </c>
      <c r="F226" s="19">
        <f t="shared" si="62"/>
        <v>0</v>
      </c>
      <c r="G226" s="19">
        <f t="shared" si="62"/>
        <v>0</v>
      </c>
      <c r="H226" s="19">
        <f t="shared" si="62"/>
        <v>0</v>
      </c>
      <c r="I226" s="19">
        <f t="shared" si="62"/>
        <v>0</v>
      </c>
      <c r="J226" s="19">
        <f t="shared" si="62"/>
        <v>28539</v>
      </c>
      <c r="K226" s="19">
        <f t="shared" si="62"/>
        <v>185671</v>
      </c>
      <c r="L226" s="19">
        <f t="shared" si="62"/>
        <v>0</v>
      </c>
      <c r="M226" s="19">
        <f t="shared" si="62"/>
        <v>0</v>
      </c>
      <c r="N226" s="19">
        <f t="shared" si="62"/>
        <v>0</v>
      </c>
      <c r="O226" s="18"/>
      <c r="P226" s="20"/>
      <c r="Q226" s="21"/>
    </row>
    <row r="227" spans="1:17" ht="60.75" x14ac:dyDescent="0.25">
      <c r="A227" s="22" t="s">
        <v>506</v>
      </c>
      <c r="B227" s="23" t="s">
        <v>507</v>
      </c>
      <c r="C227" s="24" t="s">
        <v>179</v>
      </c>
      <c r="D227" s="24" t="s">
        <v>375</v>
      </c>
      <c r="E227" s="25">
        <f>SUM(E228:E228)+214210</f>
        <v>214210</v>
      </c>
      <c r="F227" s="25">
        <f>SUM(F228:F228)</f>
        <v>0</v>
      </c>
      <c r="G227" s="25">
        <f>SUM(G228:G228)</f>
        <v>0</v>
      </c>
      <c r="H227" s="25">
        <f>SUM(H228:H228)</f>
        <v>0</v>
      </c>
      <c r="I227" s="25">
        <f>SUM(I228:I228)</f>
        <v>0</v>
      </c>
      <c r="J227" s="25">
        <f>SUM(J228:J228)+28539</f>
        <v>28539</v>
      </c>
      <c r="K227" s="25">
        <f>SUM(K228:K228)+185671</f>
        <v>185671</v>
      </c>
      <c r="L227" s="25">
        <f>SUM(L228:L228)</f>
        <v>0</v>
      </c>
      <c r="M227" s="25">
        <f>SUM(M228:M228)</f>
        <v>0</v>
      </c>
      <c r="N227" s="25">
        <f>SUM(N228:N228)</f>
        <v>0</v>
      </c>
      <c r="O227" s="24" t="s">
        <v>508</v>
      </c>
      <c r="P227" s="26" t="s">
        <v>31</v>
      </c>
      <c r="Q227" s="27" t="s">
        <v>509</v>
      </c>
    </row>
    <row r="228" spans="1:17" ht="121.5" x14ac:dyDescent="0.25">
      <c r="A228" s="22" t="s">
        <v>510</v>
      </c>
      <c r="B228" s="23" t="s">
        <v>511</v>
      </c>
      <c r="C228" s="24"/>
      <c r="D228" s="24"/>
      <c r="E228" s="28">
        <v>0</v>
      </c>
      <c r="F228" s="28">
        <v>0</v>
      </c>
      <c r="G228" s="28">
        <v>0</v>
      </c>
      <c r="H228" s="28">
        <v>0</v>
      </c>
      <c r="I228" s="28">
        <v>0</v>
      </c>
      <c r="J228" s="28">
        <v>0</v>
      </c>
      <c r="K228" s="28">
        <v>0</v>
      </c>
      <c r="L228" s="28">
        <v>0</v>
      </c>
      <c r="M228" s="28">
        <v>0</v>
      </c>
      <c r="N228" s="28">
        <v>0</v>
      </c>
      <c r="O228" s="24"/>
      <c r="P228" s="26"/>
      <c r="Q228" s="27"/>
    </row>
    <row r="229" spans="1:17" ht="40.5" x14ac:dyDescent="0.25">
      <c r="A229" s="10" t="s">
        <v>512</v>
      </c>
      <c r="B229" s="11" t="s">
        <v>513</v>
      </c>
      <c r="C229" s="12"/>
      <c r="D229" s="12"/>
      <c r="E229" s="13">
        <f t="shared" ref="E229:N231" si="63">SUM(E230:E230)</f>
        <v>0</v>
      </c>
      <c r="F229" s="13">
        <f t="shared" si="63"/>
        <v>0</v>
      </c>
      <c r="G229" s="13">
        <f t="shared" si="63"/>
        <v>0</v>
      </c>
      <c r="H229" s="13">
        <f t="shared" si="63"/>
        <v>0</v>
      </c>
      <c r="I229" s="13">
        <f t="shared" si="63"/>
        <v>0</v>
      </c>
      <c r="J229" s="13">
        <f t="shared" si="63"/>
        <v>0</v>
      </c>
      <c r="K229" s="13">
        <f t="shared" si="63"/>
        <v>0</v>
      </c>
      <c r="L229" s="13">
        <f t="shared" si="63"/>
        <v>0</v>
      </c>
      <c r="M229" s="13">
        <f t="shared" si="63"/>
        <v>0</v>
      </c>
      <c r="N229" s="13">
        <f t="shared" si="63"/>
        <v>0</v>
      </c>
      <c r="O229" s="12"/>
      <c r="P229" s="14"/>
      <c r="Q229" s="15"/>
    </row>
    <row r="230" spans="1:17" ht="40.5" x14ac:dyDescent="0.25">
      <c r="A230" s="16" t="s">
        <v>514</v>
      </c>
      <c r="B230" s="17" t="s">
        <v>515</v>
      </c>
      <c r="C230" s="18"/>
      <c r="D230" s="18"/>
      <c r="E230" s="19">
        <f t="shared" si="63"/>
        <v>0</v>
      </c>
      <c r="F230" s="19">
        <f t="shared" si="63"/>
        <v>0</v>
      </c>
      <c r="G230" s="19">
        <f t="shared" si="63"/>
        <v>0</v>
      </c>
      <c r="H230" s="19">
        <f t="shared" si="63"/>
        <v>0</v>
      </c>
      <c r="I230" s="19">
        <f t="shared" si="63"/>
        <v>0</v>
      </c>
      <c r="J230" s="19">
        <f t="shared" si="63"/>
        <v>0</v>
      </c>
      <c r="K230" s="19">
        <f t="shared" si="63"/>
        <v>0</v>
      </c>
      <c r="L230" s="19">
        <f t="shared" si="63"/>
        <v>0</v>
      </c>
      <c r="M230" s="19">
        <f t="shared" si="63"/>
        <v>0</v>
      </c>
      <c r="N230" s="19">
        <f t="shared" si="63"/>
        <v>0</v>
      </c>
      <c r="O230" s="18"/>
      <c r="P230" s="20"/>
      <c r="Q230" s="21"/>
    </row>
    <row r="231" spans="1:17" ht="40.5" x14ac:dyDescent="0.25">
      <c r="A231" s="22" t="s">
        <v>516</v>
      </c>
      <c r="B231" s="23" t="s">
        <v>517</v>
      </c>
      <c r="C231" s="24" t="s">
        <v>179</v>
      </c>
      <c r="D231" s="24" t="s">
        <v>518</v>
      </c>
      <c r="E231" s="25">
        <f t="shared" si="63"/>
        <v>0</v>
      </c>
      <c r="F231" s="25">
        <f t="shared" si="63"/>
        <v>0</v>
      </c>
      <c r="G231" s="25">
        <f t="shared" si="63"/>
        <v>0</v>
      </c>
      <c r="H231" s="25">
        <f t="shared" si="63"/>
        <v>0</v>
      </c>
      <c r="I231" s="25">
        <f t="shared" si="63"/>
        <v>0</v>
      </c>
      <c r="J231" s="25">
        <f t="shared" si="63"/>
        <v>0</v>
      </c>
      <c r="K231" s="25">
        <f t="shared" si="63"/>
        <v>0</v>
      </c>
      <c r="L231" s="25">
        <f t="shared" si="63"/>
        <v>0</v>
      </c>
      <c r="M231" s="25">
        <f t="shared" si="63"/>
        <v>0</v>
      </c>
      <c r="N231" s="25">
        <f t="shared" si="63"/>
        <v>0</v>
      </c>
      <c r="O231" s="24" t="s">
        <v>519</v>
      </c>
      <c r="P231" s="26" t="s">
        <v>31</v>
      </c>
      <c r="Q231" s="27" t="s">
        <v>123</v>
      </c>
    </row>
    <row r="232" spans="1:17" x14ac:dyDescent="0.25">
      <c r="A232" s="22" t="s">
        <v>520</v>
      </c>
      <c r="B232" s="23" t="s">
        <v>521</v>
      </c>
      <c r="C232" s="24"/>
      <c r="D232" s="24"/>
      <c r="E232" s="28">
        <v>0</v>
      </c>
      <c r="F232" s="28">
        <v>0</v>
      </c>
      <c r="G232" s="28">
        <v>0</v>
      </c>
      <c r="H232" s="28">
        <v>0</v>
      </c>
      <c r="I232" s="28">
        <v>0</v>
      </c>
      <c r="J232" s="28">
        <v>0</v>
      </c>
      <c r="K232" s="28">
        <v>0</v>
      </c>
      <c r="L232" s="28">
        <v>0</v>
      </c>
      <c r="M232" s="28">
        <v>0</v>
      </c>
      <c r="N232" s="28">
        <v>0</v>
      </c>
      <c r="O232" s="24"/>
      <c r="P232" s="26"/>
      <c r="Q232" s="27"/>
    </row>
    <row r="233" spans="1:17" ht="60.75" x14ac:dyDescent="0.25">
      <c r="A233" s="10" t="s">
        <v>522</v>
      </c>
      <c r="B233" s="11" t="s">
        <v>523</v>
      </c>
      <c r="C233" s="12"/>
      <c r="D233" s="12" t="s">
        <v>193</v>
      </c>
      <c r="E233" s="13">
        <f t="shared" ref="E233:N233" si="64">SUM(E234:E234)</f>
        <v>469500</v>
      </c>
      <c r="F233" s="13">
        <f t="shared" si="64"/>
        <v>75000</v>
      </c>
      <c r="G233" s="13">
        <f t="shared" si="64"/>
        <v>0</v>
      </c>
      <c r="H233" s="13">
        <f t="shared" si="64"/>
        <v>0</v>
      </c>
      <c r="I233" s="13">
        <f t="shared" si="64"/>
        <v>0</v>
      </c>
      <c r="J233" s="13">
        <f t="shared" si="64"/>
        <v>0</v>
      </c>
      <c r="K233" s="13">
        <f t="shared" si="64"/>
        <v>394500</v>
      </c>
      <c r="L233" s="13">
        <f t="shared" si="64"/>
        <v>0</v>
      </c>
      <c r="M233" s="13">
        <f t="shared" si="64"/>
        <v>0</v>
      </c>
      <c r="N233" s="13">
        <f t="shared" si="64"/>
        <v>0</v>
      </c>
      <c r="O233" s="12"/>
      <c r="P233" s="14"/>
      <c r="Q233" s="15"/>
    </row>
    <row r="234" spans="1:17" ht="60.75" x14ac:dyDescent="0.25">
      <c r="A234" s="16" t="s">
        <v>524</v>
      </c>
      <c r="B234" s="17" t="s">
        <v>525</v>
      </c>
      <c r="C234" s="18"/>
      <c r="D234" s="18"/>
      <c r="E234" s="19">
        <f t="shared" ref="E234:N234" si="65">E235+E237</f>
        <v>469500</v>
      </c>
      <c r="F234" s="19">
        <f t="shared" si="65"/>
        <v>75000</v>
      </c>
      <c r="G234" s="19">
        <f t="shared" si="65"/>
        <v>0</v>
      </c>
      <c r="H234" s="19">
        <f t="shared" si="65"/>
        <v>0</v>
      </c>
      <c r="I234" s="19">
        <f t="shared" si="65"/>
        <v>0</v>
      </c>
      <c r="J234" s="19">
        <f t="shared" si="65"/>
        <v>0</v>
      </c>
      <c r="K234" s="19">
        <f t="shared" si="65"/>
        <v>394500</v>
      </c>
      <c r="L234" s="19">
        <f t="shared" si="65"/>
        <v>0</v>
      </c>
      <c r="M234" s="19">
        <f t="shared" si="65"/>
        <v>0</v>
      </c>
      <c r="N234" s="19">
        <f t="shared" si="65"/>
        <v>0</v>
      </c>
      <c r="O234" s="18"/>
      <c r="P234" s="20"/>
      <c r="Q234" s="21"/>
    </row>
    <row r="235" spans="1:17" ht="60.75" x14ac:dyDescent="0.25">
      <c r="A235" s="22" t="s">
        <v>526</v>
      </c>
      <c r="B235" s="23" t="s">
        <v>527</v>
      </c>
      <c r="C235" s="24" t="s">
        <v>528</v>
      </c>
      <c r="D235" s="24" t="s">
        <v>529</v>
      </c>
      <c r="E235" s="25">
        <f>SUM(E236:E236)+454500</f>
        <v>454500</v>
      </c>
      <c r="F235" s="25">
        <f>SUM(F236:F236)+60000</f>
        <v>60000</v>
      </c>
      <c r="G235" s="25">
        <f>SUM(G236:G236)</f>
        <v>0</v>
      </c>
      <c r="H235" s="25">
        <f>SUM(H236:H236)</f>
        <v>0</v>
      </c>
      <c r="I235" s="25">
        <f>SUM(I236:I236)</f>
        <v>0</v>
      </c>
      <c r="J235" s="25">
        <f>SUM(J236:J236)</f>
        <v>0</v>
      </c>
      <c r="K235" s="25">
        <f>SUM(K236:K236)+394500</f>
        <v>394500</v>
      </c>
      <c r="L235" s="25">
        <f>SUM(L236:L236)</f>
        <v>0</v>
      </c>
      <c r="M235" s="25">
        <f>SUM(M236:M236)</f>
        <v>0</v>
      </c>
      <c r="N235" s="25">
        <f>SUM(N236:N236)</f>
        <v>0</v>
      </c>
      <c r="O235" s="24" t="s">
        <v>530</v>
      </c>
      <c r="P235" s="26" t="s">
        <v>31</v>
      </c>
      <c r="Q235" s="27" t="s">
        <v>38</v>
      </c>
    </row>
    <row r="236" spans="1:17" ht="40.5" x14ac:dyDescent="0.25">
      <c r="A236" s="22" t="s">
        <v>531</v>
      </c>
      <c r="B236" s="23" t="s">
        <v>532</v>
      </c>
      <c r="C236" s="24"/>
      <c r="D236" s="24"/>
      <c r="E236" s="28">
        <v>0</v>
      </c>
      <c r="F236" s="28">
        <v>0</v>
      </c>
      <c r="G236" s="28">
        <v>0</v>
      </c>
      <c r="H236" s="28">
        <v>0</v>
      </c>
      <c r="I236" s="28">
        <v>0</v>
      </c>
      <c r="J236" s="28">
        <v>0</v>
      </c>
      <c r="K236" s="28">
        <v>0</v>
      </c>
      <c r="L236" s="28">
        <v>0</v>
      </c>
      <c r="M236" s="28">
        <v>0</v>
      </c>
      <c r="N236" s="28">
        <v>0</v>
      </c>
      <c r="O236" s="24"/>
      <c r="P236" s="26"/>
      <c r="Q236" s="27"/>
    </row>
    <row r="237" spans="1:17" ht="81" x14ac:dyDescent="0.25">
      <c r="A237" s="22" t="s">
        <v>533</v>
      </c>
      <c r="B237" s="23" t="s">
        <v>534</v>
      </c>
      <c r="C237" s="24"/>
      <c r="D237" s="24" t="s">
        <v>193</v>
      </c>
      <c r="E237" s="25">
        <f>SUM(E238:E238)+15000</f>
        <v>15000</v>
      </c>
      <c r="F237" s="25">
        <f>SUM(F238:F238)+15000</f>
        <v>15000</v>
      </c>
      <c r="G237" s="25">
        <f t="shared" ref="G237:N237" si="66">SUM(G238:G238)</f>
        <v>0</v>
      </c>
      <c r="H237" s="25">
        <f t="shared" si="66"/>
        <v>0</v>
      </c>
      <c r="I237" s="25">
        <f t="shared" si="66"/>
        <v>0</v>
      </c>
      <c r="J237" s="25">
        <f t="shared" si="66"/>
        <v>0</v>
      </c>
      <c r="K237" s="25">
        <f t="shared" si="66"/>
        <v>0</v>
      </c>
      <c r="L237" s="25">
        <f t="shared" si="66"/>
        <v>0</v>
      </c>
      <c r="M237" s="25">
        <f t="shared" si="66"/>
        <v>0</v>
      </c>
      <c r="N237" s="25">
        <f t="shared" si="66"/>
        <v>0</v>
      </c>
      <c r="O237" s="24" t="s">
        <v>535</v>
      </c>
      <c r="P237" s="26" t="s">
        <v>31</v>
      </c>
      <c r="Q237" s="27" t="s">
        <v>123</v>
      </c>
    </row>
    <row r="238" spans="1:17" ht="40.5" x14ac:dyDescent="0.25">
      <c r="A238" s="22" t="s">
        <v>536</v>
      </c>
      <c r="B238" s="23" t="s">
        <v>537</v>
      </c>
      <c r="C238" s="24"/>
      <c r="D238" s="24"/>
      <c r="E238" s="28">
        <v>0</v>
      </c>
      <c r="F238" s="28">
        <v>0</v>
      </c>
      <c r="G238" s="28">
        <v>0</v>
      </c>
      <c r="H238" s="28">
        <v>0</v>
      </c>
      <c r="I238" s="28">
        <v>0</v>
      </c>
      <c r="J238" s="28">
        <v>0</v>
      </c>
      <c r="K238" s="28">
        <v>0</v>
      </c>
      <c r="L238" s="28">
        <v>0</v>
      </c>
      <c r="M238" s="28">
        <v>0</v>
      </c>
      <c r="N238" s="28">
        <v>0</v>
      </c>
      <c r="O238" s="24"/>
      <c r="P238" s="26"/>
      <c r="Q238" s="27"/>
    </row>
    <row r="239" spans="1:17" ht="40.5" x14ac:dyDescent="0.25">
      <c r="A239" s="4" t="s">
        <v>538</v>
      </c>
      <c r="B239" s="5" t="s">
        <v>539</v>
      </c>
      <c r="C239" s="6" t="s">
        <v>29</v>
      </c>
      <c r="D239" s="6" t="s">
        <v>540</v>
      </c>
      <c r="E239" s="7">
        <f t="shared" ref="E239:N239" si="67">E240+E248+E263+E275+E283</f>
        <v>259900</v>
      </c>
      <c r="F239" s="7">
        <f t="shared" si="67"/>
        <v>181850</v>
      </c>
      <c r="G239" s="7">
        <f t="shared" si="67"/>
        <v>0</v>
      </c>
      <c r="H239" s="7">
        <f t="shared" si="67"/>
        <v>0</v>
      </c>
      <c r="I239" s="7">
        <f t="shared" si="67"/>
        <v>0</v>
      </c>
      <c r="J239" s="7">
        <f t="shared" si="67"/>
        <v>0</v>
      </c>
      <c r="K239" s="7">
        <f t="shared" si="67"/>
        <v>0</v>
      </c>
      <c r="L239" s="7">
        <f t="shared" si="67"/>
        <v>78050</v>
      </c>
      <c r="M239" s="7">
        <f t="shared" si="67"/>
        <v>0</v>
      </c>
      <c r="N239" s="7">
        <f t="shared" si="67"/>
        <v>0</v>
      </c>
      <c r="O239" s="6"/>
      <c r="P239" s="8"/>
      <c r="Q239" s="9"/>
    </row>
    <row r="240" spans="1:17" ht="60.75" x14ac:dyDescent="0.25">
      <c r="A240" s="10" t="s">
        <v>541</v>
      </c>
      <c r="B240" s="11" t="s">
        <v>542</v>
      </c>
      <c r="C240" s="12"/>
      <c r="D240" s="12"/>
      <c r="E240" s="13">
        <f t="shared" ref="E240:N240" si="68">E241+E244</f>
        <v>14300</v>
      </c>
      <c r="F240" s="13">
        <f t="shared" si="68"/>
        <v>14300</v>
      </c>
      <c r="G240" s="13">
        <f t="shared" si="68"/>
        <v>0</v>
      </c>
      <c r="H240" s="13">
        <f t="shared" si="68"/>
        <v>0</v>
      </c>
      <c r="I240" s="13">
        <f t="shared" si="68"/>
        <v>0</v>
      </c>
      <c r="J240" s="13">
        <f t="shared" si="68"/>
        <v>0</v>
      </c>
      <c r="K240" s="13">
        <f t="shared" si="68"/>
        <v>0</v>
      </c>
      <c r="L240" s="13">
        <f t="shared" si="68"/>
        <v>0</v>
      </c>
      <c r="M240" s="13">
        <f t="shared" si="68"/>
        <v>0</v>
      </c>
      <c r="N240" s="13">
        <f t="shared" si="68"/>
        <v>0</v>
      </c>
      <c r="O240" s="12"/>
      <c r="P240" s="14"/>
      <c r="Q240" s="15"/>
    </row>
    <row r="241" spans="1:17" ht="60.75" x14ac:dyDescent="0.25">
      <c r="A241" s="16" t="s">
        <v>543</v>
      </c>
      <c r="B241" s="17" t="s">
        <v>544</v>
      </c>
      <c r="C241" s="18"/>
      <c r="D241" s="18"/>
      <c r="E241" s="19">
        <f t="shared" ref="E241:N241" si="69">SUM(E242:E242)</f>
        <v>9800</v>
      </c>
      <c r="F241" s="19">
        <f t="shared" si="69"/>
        <v>9800</v>
      </c>
      <c r="G241" s="19">
        <f t="shared" si="69"/>
        <v>0</v>
      </c>
      <c r="H241" s="19">
        <f t="shared" si="69"/>
        <v>0</v>
      </c>
      <c r="I241" s="19">
        <f t="shared" si="69"/>
        <v>0</v>
      </c>
      <c r="J241" s="19">
        <f t="shared" si="69"/>
        <v>0</v>
      </c>
      <c r="K241" s="19">
        <f t="shared" si="69"/>
        <v>0</v>
      </c>
      <c r="L241" s="19">
        <f t="shared" si="69"/>
        <v>0</v>
      </c>
      <c r="M241" s="19">
        <f t="shared" si="69"/>
        <v>0</v>
      </c>
      <c r="N241" s="19">
        <f t="shared" si="69"/>
        <v>0</v>
      </c>
      <c r="O241" s="18"/>
      <c r="P241" s="20"/>
      <c r="Q241" s="21"/>
    </row>
    <row r="242" spans="1:17" ht="141.75" x14ac:dyDescent="0.25">
      <c r="A242" s="22" t="s">
        <v>545</v>
      </c>
      <c r="B242" s="23" t="s">
        <v>546</v>
      </c>
      <c r="C242" s="24" t="s">
        <v>29</v>
      </c>
      <c r="D242" s="24" t="s">
        <v>529</v>
      </c>
      <c r="E242" s="25">
        <f>SUM(E243:E243)+9800</f>
        <v>9800</v>
      </c>
      <c r="F242" s="25">
        <f>SUM(F243:F243)+9800</f>
        <v>9800</v>
      </c>
      <c r="G242" s="25">
        <f t="shared" ref="G242:N242" si="70">SUM(G243:G243)</f>
        <v>0</v>
      </c>
      <c r="H242" s="25">
        <f t="shared" si="70"/>
        <v>0</v>
      </c>
      <c r="I242" s="25">
        <f t="shared" si="70"/>
        <v>0</v>
      </c>
      <c r="J242" s="25">
        <f t="shared" si="70"/>
        <v>0</v>
      </c>
      <c r="K242" s="25">
        <f t="shared" si="70"/>
        <v>0</v>
      </c>
      <c r="L242" s="25">
        <f t="shared" si="70"/>
        <v>0</v>
      </c>
      <c r="M242" s="25">
        <f t="shared" si="70"/>
        <v>0</v>
      </c>
      <c r="N242" s="25">
        <f t="shared" si="70"/>
        <v>0</v>
      </c>
      <c r="O242" s="24" t="s">
        <v>547</v>
      </c>
      <c r="P242" s="26" t="s">
        <v>31</v>
      </c>
      <c r="Q242" s="27" t="s">
        <v>548</v>
      </c>
    </row>
    <row r="243" spans="1:17" x14ac:dyDescent="0.25">
      <c r="A243" s="22" t="s">
        <v>549</v>
      </c>
      <c r="B243" s="23" t="s">
        <v>550</v>
      </c>
      <c r="C243" s="24"/>
      <c r="D243" s="24"/>
      <c r="E243" s="28">
        <v>0</v>
      </c>
      <c r="F243" s="28">
        <v>0</v>
      </c>
      <c r="G243" s="28">
        <v>0</v>
      </c>
      <c r="H243" s="28">
        <v>0</v>
      </c>
      <c r="I243" s="28">
        <v>0</v>
      </c>
      <c r="J243" s="28">
        <v>0</v>
      </c>
      <c r="K243" s="28">
        <v>0</v>
      </c>
      <c r="L243" s="28">
        <v>0</v>
      </c>
      <c r="M243" s="28">
        <v>0</v>
      </c>
      <c r="N243" s="28">
        <v>0</v>
      </c>
      <c r="O243" s="24"/>
      <c r="P243" s="26"/>
      <c r="Q243" s="27"/>
    </row>
    <row r="244" spans="1:17" ht="60.75" x14ac:dyDescent="0.25">
      <c r="A244" s="16" t="s">
        <v>551</v>
      </c>
      <c r="B244" s="17" t="s">
        <v>552</v>
      </c>
      <c r="C244" s="18"/>
      <c r="D244" s="18"/>
      <c r="E244" s="19">
        <f t="shared" ref="E244:N244" si="71">SUM(E245:E245)</f>
        <v>4500</v>
      </c>
      <c r="F244" s="19">
        <f t="shared" si="71"/>
        <v>4500</v>
      </c>
      <c r="G244" s="19">
        <f t="shared" si="71"/>
        <v>0</v>
      </c>
      <c r="H244" s="19">
        <f t="shared" si="71"/>
        <v>0</v>
      </c>
      <c r="I244" s="19">
        <f t="shared" si="71"/>
        <v>0</v>
      </c>
      <c r="J244" s="19">
        <f t="shared" si="71"/>
        <v>0</v>
      </c>
      <c r="K244" s="19">
        <f t="shared" si="71"/>
        <v>0</v>
      </c>
      <c r="L244" s="19">
        <f t="shared" si="71"/>
        <v>0</v>
      </c>
      <c r="M244" s="19">
        <f t="shared" si="71"/>
        <v>0</v>
      </c>
      <c r="N244" s="19">
        <f t="shared" si="71"/>
        <v>0</v>
      </c>
      <c r="O244" s="18"/>
      <c r="P244" s="20"/>
      <c r="Q244" s="21"/>
    </row>
    <row r="245" spans="1:17" ht="40.5" x14ac:dyDescent="0.25">
      <c r="A245" s="22" t="s">
        <v>553</v>
      </c>
      <c r="B245" s="23" t="s">
        <v>554</v>
      </c>
      <c r="C245" s="24" t="s">
        <v>29</v>
      </c>
      <c r="D245" s="24" t="s">
        <v>529</v>
      </c>
      <c r="E245" s="25">
        <f>SUM(E246:E247)+4500</f>
        <v>4500</v>
      </c>
      <c r="F245" s="25">
        <f>SUM(F246:F247)+4500</f>
        <v>4500</v>
      </c>
      <c r="G245" s="25">
        <f t="shared" ref="G245:N245" si="72">SUM(G246:G247)</f>
        <v>0</v>
      </c>
      <c r="H245" s="25">
        <f t="shared" si="72"/>
        <v>0</v>
      </c>
      <c r="I245" s="25">
        <f t="shared" si="72"/>
        <v>0</v>
      </c>
      <c r="J245" s="25">
        <f t="shared" si="72"/>
        <v>0</v>
      </c>
      <c r="K245" s="25">
        <f t="shared" si="72"/>
        <v>0</v>
      </c>
      <c r="L245" s="25">
        <f t="shared" si="72"/>
        <v>0</v>
      </c>
      <c r="M245" s="25">
        <f t="shared" si="72"/>
        <v>0</v>
      </c>
      <c r="N245" s="25">
        <f t="shared" si="72"/>
        <v>0</v>
      </c>
      <c r="O245" s="24" t="s">
        <v>555</v>
      </c>
      <c r="P245" s="26" t="s">
        <v>31</v>
      </c>
      <c r="Q245" s="27" t="s">
        <v>548</v>
      </c>
    </row>
    <row r="246" spans="1:17" x14ac:dyDescent="0.25">
      <c r="A246" s="29"/>
      <c r="B246" s="30"/>
      <c r="C246" s="31"/>
      <c r="D246" s="31"/>
      <c r="E246" s="32">
        <v>0</v>
      </c>
      <c r="F246" s="32">
        <v>0</v>
      </c>
      <c r="G246" s="32">
        <v>0</v>
      </c>
      <c r="H246" s="32">
        <v>0</v>
      </c>
      <c r="I246" s="32">
        <v>0</v>
      </c>
      <c r="J246" s="32">
        <v>0</v>
      </c>
      <c r="K246" s="32">
        <v>0</v>
      </c>
      <c r="L246" s="32">
        <v>0</v>
      </c>
      <c r="M246" s="32">
        <v>0</v>
      </c>
      <c r="N246" s="32">
        <v>0</v>
      </c>
      <c r="O246" s="31" t="s">
        <v>556</v>
      </c>
      <c r="P246" s="33" t="s">
        <v>31</v>
      </c>
      <c r="Q246" s="34" t="s">
        <v>123</v>
      </c>
    </row>
    <row r="247" spans="1:17" x14ac:dyDescent="0.25">
      <c r="A247" s="22" t="s">
        <v>557</v>
      </c>
      <c r="B247" s="23" t="s">
        <v>558</v>
      </c>
      <c r="C247" s="24"/>
      <c r="D247" s="24"/>
      <c r="E247" s="28">
        <v>0</v>
      </c>
      <c r="F247" s="28">
        <v>0</v>
      </c>
      <c r="G247" s="28">
        <v>0</v>
      </c>
      <c r="H247" s="28">
        <v>0</v>
      </c>
      <c r="I247" s="28">
        <v>0</v>
      </c>
      <c r="J247" s="28">
        <v>0</v>
      </c>
      <c r="K247" s="28">
        <v>0</v>
      </c>
      <c r="L247" s="28">
        <v>0</v>
      </c>
      <c r="M247" s="28">
        <v>0</v>
      </c>
      <c r="N247" s="28">
        <v>0</v>
      </c>
      <c r="O247" s="24"/>
      <c r="P247" s="26"/>
      <c r="Q247" s="27"/>
    </row>
    <row r="248" spans="1:17" ht="60.75" x14ac:dyDescent="0.25">
      <c r="A248" s="10" t="s">
        <v>559</v>
      </c>
      <c r="B248" s="11" t="s">
        <v>560</v>
      </c>
      <c r="C248" s="12"/>
      <c r="D248" s="12"/>
      <c r="E248" s="13">
        <f t="shared" ref="E248:N248" si="73">E249+E256</f>
        <v>176200</v>
      </c>
      <c r="F248" s="13">
        <f t="shared" si="73"/>
        <v>98150</v>
      </c>
      <c r="G248" s="13">
        <f t="shared" si="73"/>
        <v>0</v>
      </c>
      <c r="H248" s="13">
        <f t="shared" si="73"/>
        <v>0</v>
      </c>
      <c r="I248" s="13">
        <f t="shared" si="73"/>
        <v>0</v>
      </c>
      <c r="J248" s="13">
        <f t="shared" si="73"/>
        <v>0</v>
      </c>
      <c r="K248" s="13">
        <f t="shared" si="73"/>
        <v>0</v>
      </c>
      <c r="L248" s="13">
        <f t="shared" si="73"/>
        <v>78050</v>
      </c>
      <c r="M248" s="13">
        <f t="shared" si="73"/>
        <v>0</v>
      </c>
      <c r="N248" s="13">
        <f t="shared" si="73"/>
        <v>0</v>
      </c>
      <c r="O248" s="12"/>
      <c r="P248" s="14"/>
      <c r="Q248" s="15"/>
    </row>
    <row r="249" spans="1:17" ht="60.75" x14ac:dyDescent="0.25">
      <c r="A249" s="16" t="s">
        <v>561</v>
      </c>
      <c r="B249" s="17" t="s">
        <v>562</v>
      </c>
      <c r="C249" s="18"/>
      <c r="D249" s="18"/>
      <c r="E249" s="19">
        <f t="shared" ref="E249:N249" si="74">E250+E252+E254</f>
        <v>143500</v>
      </c>
      <c r="F249" s="19">
        <f t="shared" si="74"/>
        <v>65450</v>
      </c>
      <c r="G249" s="19">
        <f t="shared" si="74"/>
        <v>0</v>
      </c>
      <c r="H249" s="19">
        <f t="shared" si="74"/>
        <v>0</v>
      </c>
      <c r="I249" s="19">
        <f t="shared" si="74"/>
        <v>0</v>
      </c>
      <c r="J249" s="19">
        <f t="shared" si="74"/>
        <v>0</v>
      </c>
      <c r="K249" s="19">
        <f t="shared" si="74"/>
        <v>0</v>
      </c>
      <c r="L249" s="19">
        <f t="shared" si="74"/>
        <v>78050</v>
      </c>
      <c r="M249" s="19">
        <f t="shared" si="74"/>
        <v>0</v>
      </c>
      <c r="N249" s="19">
        <f t="shared" si="74"/>
        <v>0</v>
      </c>
      <c r="O249" s="18"/>
      <c r="P249" s="20"/>
      <c r="Q249" s="21"/>
    </row>
    <row r="250" spans="1:17" ht="40.5" x14ac:dyDescent="0.25">
      <c r="A250" s="22" t="s">
        <v>563</v>
      </c>
      <c r="B250" s="23" t="s">
        <v>564</v>
      </c>
      <c r="C250" s="24" t="s">
        <v>29</v>
      </c>
      <c r="D250" s="24" t="s">
        <v>565</v>
      </c>
      <c r="E250" s="25">
        <f>SUM(E251:E251)+4500</f>
        <v>4500</v>
      </c>
      <c r="F250" s="25">
        <f>SUM(F251:F251)+4500</f>
        <v>4500</v>
      </c>
      <c r="G250" s="25">
        <f t="shared" ref="G250:N250" si="75">SUM(G251:G251)</f>
        <v>0</v>
      </c>
      <c r="H250" s="25">
        <f t="shared" si="75"/>
        <v>0</v>
      </c>
      <c r="I250" s="25">
        <f t="shared" si="75"/>
        <v>0</v>
      </c>
      <c r="J250" s="25">
        <f t="shared" si="75"/>
        <v>0</v>
      </c>
      <c r="K250" s="25">
        <f t="shared" si="75"/>
        <v>0</v>
      </c>
      <c r="L250" s="25">
        <f t="shared" si="75"/>
        <v>0</v>
      </c>
      <c r="M250" s="25">
        <f t="shared" si="75"/>
        <v>0</v>
      </c>
      <c r="N250" s="25">
        <f t="shared" si="75"/>
        <v>0</v>
      </c>
      <c r="O250" s="24" t="s">
        <v>566</v>
      </c>
      <c r="P250" s="26" t="s">
        <v>31</v>
      </c>
      <c r="Q250" s="27" t="s">
        <v>38</v>
      </c>
    </row>
    <row r="251" spans="1:17" x14ac:dyDescent="0.25">
      <c r="A251" s="22" t="s">
        <v>567</v>
      </c>
      <c r="B251" s="23" t="s">
        <v>568</v>
      </c>
      <c r="C251" s="24"/>
      <c r="D251" s="24"/>
      <c r="E251" s="28">
        <v>0</v>
      </c>
      <c r="F251" s="28">
        <v>0</v>
      </c>
      <c r="G251" s="28">
        <v>0</v>
      </c>
      <c r="H251" s="28">
        <v>0</v>
      </c>
      <c r="I251" s="28">
        <v>0</v>
      </c>
      <c r="J251" s="28">
        <v>0</v>
      </c>
      <c r="K251" s="28">
        <v>0</v>
      </c>
      <c r="L251" s="28">
        <v>0</v>
      </c>
      <c r="M251" s="28">
        <v>0</v>
      </c>
      <c r="N251" s="28">
        <v>0</v>
      </c>
      <c r="O251" s="24"/>
      <c r="P251" s="26"/>
      <c r="Q251" s="27"/>
    </row>
    <row r="252" spans="1:17" ht="40.5" x14ac:dyDescent="0.25">
      <c r="A252" s="22" t="s">
        <v>569</v>
      </c>
      <c r="B252" s="23" t="s">
        <v>570</v>
      </c>
      <c r="C252" s="24" t="s">
        <v>29</v>
      </c>
      <c r="D252" s="24" t="s">
        <v>565</v>
      </c>
      <c r="E252" s="25">
        <f>SUM(E253:E253)+10000</f>
        <v>10000</v>
      </c>
      <c r="F252" s="25">
        <f>SUM(F253:F253)+3500</f>
        <v>3500</v>
      </c>
      <c r="G252" s="25">
        <f>SUM(G253:G253)</f>
        <v>0</v>
      </c>
      <c r="H252" s="25">
        <f>SUM(H253:H253)</f>
        <v>0</v>
      </c>
      <c r="I252" s="25">
        <f>SUM(I253:I253)</f>
        <v>0</v>
      </c>
      <c r="J252" s="25">
        <f>SUM(J253:J253)</f>
        <v>0</v>
      </c>
      <c r="K252" s="25">
        <f>SUM(K253:K253)</f>
        <v>0</v>
      </c>
      <c r="L252" s="25">
        <f>SUM(L253:L253)+6500</f>
        <v>6500</v>
      </c>
      <c r="M252" s="25">
        <f>SUM(M253:M253)</f>
        <v>0</v>
      </c>
      <c r="N252" s="25">
        <f>SUM(N253:N253)</f>
        <v>0</v>
      </c>
      <c r="O252" s="24" t="s">
        <v>571</v>
      </c>
      <c r="P252" s="26" t="s">
        <v>31</v>
      </c>
      <c r="Q252" s="27" t="s">
        <v>38</v>
      </c>
    </row>
    <row r="253" spans="1:17" x14ac:dyDescent="0.25">
      <c r="A253" s="22" t="s">
        <v>572</v>
      </c>
      <c r="B253" s="23" t="s">
        <v>573</v>
      </c>
      <c r="C253" s="24"/>
      <c r="D253" s="24"/>
      <c r="E253" s="28">
        <v>0</v>
      </c>
      <c r="F253" s="28">
        <v>0</v>
      </c>
      <c r="G253" s="28">
        <v>0</v>
      </c>
      <c r="H253" s="28">
        <v>0</v>
      </c>
      <c r="I253" s="28">
        <v>0</v>
      </c>
      <c r="J253" s="28">
        <v>0</v>
      </c>
      <c r="K253" s="28">
        <v>0</v>
      </c>
      <c r="L253" s="28">
        <v>0</v>
      </c>
      <c r="M253" s="28">
        <v>0</v>
      </c>
      <c r="N253" s="28">
        <v>0</v>
      </c>
      <c r="O253" s="24"/>
      <c r="P253" s="26"/>
      <c r="Q253" s="27"/>
    </row>
    <row r="254" spans="1:17" ht="40.5" x14ac:dyDescent="0.25">
      <c r="A254" s="22" t="s">
        <v>574</v>
      </c>
      <c r="B254" s="23" t="s">
        <v>575</v>
      </c>
      <c r="C254" s="24" t="s">
        <v>29</v>
      </c>
      <c r="D254" s="24" t="s">
        <v>529</v>
      </c>
      <c r="E254" s="25">
        <f>SUM(E255:E255)+129000</f>
        <v>129000</v>
      </c>
      <c r="F254" s="25">
        <f>SUM(F255:F255)+57450</f>
        <v>57450</v>
      </c>
      <c r="G254" s="25">
        <f>SUM(G255:G255)</f>
        <v>0</v>
      </c>
      <c r="H254" s="25">
        <f>SUM(H255:H255)</f>
        <v>0</v>
      </c>
      <c r="I254" s="25">
        <f>SUM(I255:I255)</f>
        <v>0</v>
      </c>
      <c r="J254" s="25">
        <f>SUM(J255:J255)</f>
        <v>0</v>
      </c>
      <c r="K254" s="25">
        <f>SUM(K255:K255)</f>
        <v>0</v>
      </c>
      <c r="L254" s="25">
        <f>SUM(L255:L255)+71550</f>
        <v>71550</v>
      </c>
      <c r="M254" s="25">
        <f>SUM(M255:M255)</f>
        <v>0</v>
      </c>
      <c r="N254" s="25">
        <f>SUM(N255:N255)</f>
        <v>0</v>
      </c>
      <c r="O254" s="24" t="s">
        <v>576</v>
      </c>
      <c r="P254" s="26" t="s">
        <v>31</v>
      </c>
      <c r="Q254" s="27" t="s">
        <v>38</v>
      </c>
    </row>
    <row r="255" spans="1:17" x14ac:dyDescent="0.25">
      <c r="A255" s="22" t="s">
        <v>577</v>
      </c>
      <c r="B255" s="23" t="s">
        <v>578</v>
      </c>
      <c r="C255" s="24"/>
      <c r="D255" s="24"/>
      <c r="E255" s="28">
        <v>0</v>
      </c>
      <c r="F255" s="28">
        <v>0</v>
      </c>
      <c r="G255" s="28">
        <v>0</v>
      </c>
      <c r="H255" s="28">
        <v>0</v>
      </c>
      <c r="I255" s="28">
        <v>0</v>
      </c>
      <c r="J255" s="28">
        <v>0</v>
      </c>
      <c r="K255" s="28">
        <v>0</v>
      </c>
      <c r="L255" s="28">
        <v>0</v>
      </c>
      <c r="M255" s="28">
        <v>0</v>
      </c>
      <c r="N255" s="28">
        <v>0</v>
      </c>
      <c r="O255" s="24"/>
      <c r="P255" s="26"/>
      <c r="Q255" s="27"/>
    </row>
    <row r="256" spans="1:17" ht="61.5" customHeight="1" x14ac:dyDescent="0.25">
      <c r="A256" s="16" t="s">
        <v>579</v>
      </c>
      <c r="B256" s="17" t="s">
        <v>580</v>
      </c>
      <c r="C256" s="18"/>
      <c r="D256" s="18"/>
      <c r="E256" s="19">
        <f t="shared" ref="E256:N256" si="76">SUM(E257:E257)</f>
        <v>32700</v>
      </c>
      <c r="F256" s="19">
        <f t="shared" si="76"/>
        <v>32700</v>
      </c>
      <c r="G256" s="19">
        <f t="shared" si="76"/>
        <v>0</v>
      </c>
      <c r="H256" s="19">
        <f t="shared" si="76"/>
        <v>0</v>
      </c>
      <c r="I256" s="19">
        <f t="shared" si="76"/>
        <v>0</v>
      </c>
      <c r="J256" s="19">
        <f t="shared" si="76"/>
        <v>0</v>
      </c>
      <c r="K256" s="19">
        <f t="shared" si="76"/>
        <v>0</v>
      </c>
      <c r="L256" s="19">
        <f t="shared" si="76"/>
        <v>0</v>
      </c>
      <c r="M256" s="19">
        <f t="shared" si="76"/>
        <v>0</v>
      </c>
      <c r="N256" s="19">
        <f t="shared" si="76"/>
        <v>0</v>
      </c>
      <c r="O256" s="18"/>
      <c r="P256" s="20"/>
      <c r="Q256" s="21"/>
    </row>
    <row r="257" spans="1:17" ht="40.5" x14ac:dyDescent="0.25">
      <c r="A257" s="22" t="s">
        <v>581</v>
      </c>
      <c r="B257" s="23" t="s">
        <v>582</v>
      </c>
      <c r="C257" s="24" t="s">
        <v>29</v>
      </c>
      <c r="D257" s="24" t="s">
        <v>565</v>
      </c>
      <c r="E257" s="25">
        <f>SUM(E258:E262)+32700</f>
        <v>32700</v>
      </c>
      <c r="F257" s="25">
        <f>SUM(F258:F262)+32700</f>
        <v>32700</v>
      </c>
      <c r="G257" s="25">
        <f t="shared" ref="G257:N257" si="77">SUM(G258:G262)</f>
        <v>0</v>
      </c>
      <c r="H257" s="25">
        <f t="shared" si="77"/>
        <v>0</v>
      </c>
      <c r="I257" s="25">
        <f t="shared" si="77"/>
        <v>0</v>
      </c>
      <c r="J257" s="25">
        <f t="shared" si="77"/>
        <v>0</v>
      </c>
      <c r="K257" s="25">
        <f t="shared" si="77"/>
        <v>0</v>
      </c>
      <c r="L257" s="25">
        <f t="shared" si="77"/>
        <v>0</v>
      </c>
      <c r="M257" s="25">
        <f t="shared" si="77"/>
        <v>0</v>
      </c>
      <c r="N257" s="25">
        <f t="shared" si="77"/>
        <v>0</v>
      </c>
      <c r="O257" s="24" t="s">
        <v>583</v>
      </c>
      <c r="P257" s="26" t="s">
        <v>31</v>
      </c>
      <c r="Q257" s="27" t="s">
        <v>92</v>
      </c>
    </row>
    <row r="258" spans="1:17" x14ac:dyDescent="0.25">
      <c r="A258" s="29"/>
      <c r="B258" s="30"/>
      <c r="C258" s="31"/>
      <c r="D258" s="31"/>
      <c r="E258" s="32">
        <v>0</v>
      </c>
      <c r="F258" s="32">
        <v>0</v>
      </c>
      <c r="G258" s="32">
        <v>0</v>
      </c>
      <c r="H258" s="32">
        <v>0</v>
      </c>
      <c r="I258" s="32">
        <v>0</v>
      </c>
      <c r="J258" s="32">
        <v>0</v>
      </c>
      <c r="K258" s="32">
        <v>0</v>
      </c>
      <c r="L258" s="32">
        <v>0</v>
      </c>
      <c r="M258" s="32">
        <v>0</v>
      </c>
      <c r="N258" s="32">
        <v>0</v>
      </c>
      <c r="O258" s="31" t="s">
        <v>584</v>
      </c>
      <c r="P258" s="33" t="s">
        <v>31</v>
      </c>
      <c r="Q258" s="34" t="s">
        <v>74</v>
      </c>
    </row>
    <row r="259" spans="1:17" x14ac:dyDescent="0.25">
      <c r="A259" s="29"/>
      <c r="B259" s="30"/>
      <c r="C259" s="31"/>
      <c r="D259" s="31"/>
      <c r="E259" s="32">
        <v>0</v>
      </c>
      <c r="F259" s="32">
        <v>0</v>
      </c>
      <c r="G259" s="32">
        <v>0</v>
      </c>
      <c r="H259" s="32">
        <v>0</v>
      </c>
      <c r="I259" s="32">
        <v>0</v>
      </c>
      <c r="J259" s="32">
        <v>0</v>
      </c>
      <c r="K259" s="32">
        <v>0</v>
      </c>
      <c r="L259" s="32">
        <v>0</v>
      </c>
      <c r="M259" s="32">
        <v>0</v>
      </c>
      <c r="N259" s="32">
        <v>0</v>
      </c>
      <c r="O259" s="31" t="s">
        <v>585</v>
      </c>
      <c r="P259" s="33" t="s">
        <v>31</v>
      </c>
      <c r="Q259" s="34" t="s">
        <v>38</v>
      </c>
    </row>
    <row r="260" spans="1:17" ht="40.5" x14ac:dyDescent="0.25">
      <c r="A260" s="22" t="s">
        <v>586</v>
      </c>
      <c r="B260" s="23" t="s">
        <v>587</v>
      </c>
      <c r="C260" s="24"/>
      <c r="D260" s="24"/>
      <c r="E260" s="28">
        <v>0</v>
      </c>
      <c r="F260" s="28">
        <v>0</v>
      </c>
      <c r="G260" s="28">
        <v>0</v>
      </c>
      <c r="H260" s="28">
        <v>0</v>
      </c>
      <c r="I260" s="28">
        <v>0</v>
      </c>
      <c r="J260" s="28">
        <v>0</v>
      </c>
      <c r="K260" s="28">
        <v>0</v>
      </c>
      <c r="L260" s="28">
        <v>0</v>
      </c>
      <c r="M260" s="28">
        <v>0</v>
      </c>
      <c r="N260" s="28">
        <v>0</v>
      </c>
      <c r="O260" s="24"/>
      <c r="P260" s="26"/>
      <c r="Q260" s="27"/>
    </row>
    <row r="261" spans="1:17" ht="40.5" x14ac:dyDescent="0.25">
      <c r="A261" s="22" t="s">
        <v>588</v>
      </c>
      <c r="B261" s="23" t="s">
        <v>589</v>
      </c>
      <c r="C261" s="24"/>
      <c r="D261" s="24"/>
      <c r="E261" s="28">
        <v>0</v>
      </c>
      <c r="F261" s="28">
        <v>0</v>
      </c>
      <c r="G261" s="28">
        <v>0</v>
      </c>
      <c r="H261" s="28">
        <v>0</v>
      </c>
      <c r="I261" s="28">
        <v>0</v>
      </c>
      <c r="J261" s="28">
        <v>0</v>
      </c>
      <c r="K261" s="28">
        <v>0</v>
      </c>
      <c r="L261" s="28">
        <v>0</v>
      </c>
      <c r="M261" s="28">
        <v>0</v>
      </c>
      <c r="N261" s="28">
        <v>0</v>
      </c>
      <c r="O261" s="24"/>
      <c r="P261" s="26"/>
      <c r="Q261" s="27"/>
    </row>
    <row r="262" spans="1:17" ht="40.5" x14ac:dyDescent="0.25">
      <c r="A262" s="22" t="s">
        <v>590</v>
      </c>
      <c r="B262" s="23" t="s">
        <v>591</v>
      </c>
      <c r="C262" s="24"/>
      <c r="D262" s="24"/>
      <c r="E262" s="28">
        <v>0</v>
      </c>
      <c r="F262" s="28">
        <v>0</v>
      </c>
      <c r="G262" s="28">
        <v>0</v>
      </c>
      <c r="H262" s="28">
        <v>0</v>
      </c>
      <c r="I262" s="28">
        <v>0</v>
      </c>
      <c r="J262" s="28">
        <v>0</v>
      </c>
      <c r="K262" s="28">
        <v>0</v>
      </c>
      <c r="L262" s="28">
        <v>0</v>
      </c>
      <c r="M262" s="28">
        <v>0</v>
      </c>
      <c r="N262" s="28">
        <v>0</v>
      </c>
      <c r="O262" s="24"/>
      <c r="P262" s="26"/>
      <c r="Q262" s="27"/>
    </row>
    <row r="263" spans="1:17" ht="60.75" x14ac:dyDescent="0.25">
      <c r="A263" s="10" t="s">
        <v>592</v>
      </c>
      <c r="B263" s="11" t="s">
        <v>593</v>
      </c>
      <c r="C263" s="12"/>
      <c r="D263" s="12"/>
      <c r="E263" s="13">
        <f t="shared" ref="E263:N263" si="78">E264+E272</f>
        <v>24400</v>
      </c>
      <c r="F263" s="13">
        <f t="shared" si="78"/>
        <v>24400</v>
      </c>
      <c r="G263" s="13">
        <f t="shared" si="78"/>
        <v>0</v>
      </c>
      <c r="H263" s="13">
        <f t="shared" si="78"/>
        <v>0</v>
      </c>
      <c r="I263" s="13">
        <f t="shared" si="78"/>
        <v>0</v>
      </c>
      <c r="J263" s="13">
        <f t="shared" si="78"/>
        <v>0</v>
      </c>
      <c r="K263" s="13">
        <f t="shared" si="78"/>
        <v>0</v>
      </c>
      <c r="L263" s="13">
        <f t="shared" si="78"/>
        <v>0</v>
      </c>
      <c r="M263" s="13">
        <f t="shared" si="78"/>
        <v>0</v>
      </c>
      <c r="N263" s="13">
        <f t="shared" si="78"/>
        <v>0</v>
      </c>
      <c r="O263" s="12"/>
      <c r="P263" s="14"/>
      <c r="Q263" s="15"/>
    </row>
    <row r="264" spans="1:17" ht="60.75" x14ac:dyDescent="0.25">
      <c r="A264" s="16" t="s">
        <v>594</v>
      </c>
      <c r="B264" s="17" t="s">
        <v>595</v>
      </c>
      <c r="C264" s="18"/>
      <c r="D264" s="18"/>
      <c r="E264" s="19">
        <f t="shared" ref="E264:N264" si="79">E265+E268+E270</f>
        <v>19400</v>
      </c>
      <c r="F264" s="19">
        <f t="shared" si="79"/>
        <v>19400</v>
      </c>
      <c r="G264" s="19">
        <f t="shared" si="79"/>
        <v>0</v>
      </c>
      <c r="H264" s="19">
        <f t="shared" si="79"/>
        <v>0</v>
      </c>
      <c r="I264" s="19">
        <f t="shared" si="79"/>
        <v>0</v>
      </c>
      <c r="J264" s="19">
        <f t="shared" si="79"/>
        <v>0</v>
      </c>
      <c r="K264" s="19">
        <f t="shared" si="79"/>
        <v>0</v>
      </c>
      <c r="L264" s="19">
        <f t="shared" si="79"/>
        <v>0</v>
      </c>
      <c r="M264" s="19">
        <f t="shared" si="79"/>
        <v>0</v>
      </c>
      <c r="N264" s="19">
        <f t="shared" si="79"/>
        <v>0</v>
      </c>
      <c r="O264" s="18"/>
      <c r="P264" s="20"/>
      <c r="Q264" s="21"/>
    </row>
    <row r="265" spans="1:17" ht="40.5" x14ac:dyDescent="0.25">
      <c r="A265" s="22" t="s">
        <v>596</v>
      </c>
      <c r="B265" s="23" t="s">
        <v>597</v>
      </c>
      <c r="C265" s="24" t="s">
        <v>29</v>
      </c>
      <c r="D265" s="24" t="s">
        <v>598</v>
      </c>
      <c r="E265" s="25">
        <f>SUM(E266:E267)+12700</f>
        <v>12700</v>
      </c>
      <c r="F265" s="25">
        <f>SUM(F266:F267)+12700</f>
        <v>12700</v>
      </c>
      <c r="G265" s="25">
        <f t="shared" ref="G265:N265" si="80">SUM(G266:G267)</f>
        <v>0</v>
      </c>
      <c r="H265" s="25">
        <f t="shared" si="80"/>
        <v>0</v>
      </c>
      <c r="I265" s="25">
        <f t="shared" si="80"/>
        <v>0</v>
      </c>
      <c r="J265" s="25">
        <f t="shared" si="80"/>
        <v>0</v>
      </c>
      <c r="K265" s="25">
        <f t="shared" si="80"/>
        <v>0</v>
      </c>
      <c r="L265" s="25">
        <f t="shared" si="80"/>
        <v>0</v>
      </c>
      <c r="M265" s="25">
        <f t="shared" si="80"/>
        <v>0</v>
      </c>
      <c r="N265" s="25">
        <f t="shared" si="80"/>
        <v>0</v>
      </c>
      <c r="O265" s="24" t="s">
        <v>599</v>
      </c>
      <c r="P265" s="26" t="s">
        <v>429</v>
      </c>
      <c r="Q265" s="27" t="s">
        <v>38</v>
      </c>
    </row>
    <row r="266" spans="1:17" x14ac:dyDescent="0.25">
      <c r="A266" s="29"/>
      <c r="B266" s="30"/>
      <c r="C266" s="31"/>
      <c r="D266" s="31"/>
      <c r="E266" s="32">
        <v>0</v>
      </c>
      <c r="F266" s="32">
        <v>0</v>
      </c>
      <c r="G266" s="32">
        <v>0</v>
      </c>
      <c r="H266" s="32">
        <v>0</v>
      </c>
      <c r="I266" s="32">
        <v>0</v>
      </c>
      <c r="J266" s="32">
        <v>0</v>
      </c>
      <c r="K266" s="32">
        <v>0</v>
      </c>
      <c r="L266" s="32">
        <v>0</v>
      </c>
      <c r="M266" s="32">
        <v>0</v>
      </c>
      <c r="N266" s="32">
        <v>0</v>
      </c>
      <c r="O266" s="31" t="s">
        <v>584</v>
      </c>
      <c r="P266" s="33" t="s">
        <v>31</v>
      </c>
      <c r="Q266" s="34" t="s">
        <v>548</v>
      </c>
    </row>
    <row r="267" spans="1:17" x14ac:dyDescent="0.25">
      <c r="A267" s="22" t="s">
        <v>600</v>
      </c>
      <c r="B267" s="23" t="s">
        <v>601</v>
      </c>
      <c r="C267" s="24"/>
      <c r="D267" s="24"/>
      <c r="E267" s="28">
        <v>0</v>
      </c>
      <c r="F267" s="28">
        <v>0</v>
      </c>
      <c r="G267" s="28">
        <v>0</v>
      </c>
      <c r="H267" s="28">
        <v>0</v>
      </c>
      <c r="I267" s="28">
        <v>0</v>
      </c>
      <c r="J267" s="28">
        <v>0</v>
      </c>
      <c r="K267" s="28">
        <v>0</v>
      </c>
      <c r="L267" s="28">
        <v>0</v>
      </c>
      <c r="M267" s="28">
        <v>0</v>
      </c>
      <c r="N267" s="28">
        <v>0</v>
      </c>
      <c r="O267" s="24"/>
      <c r="P267" s="26"/>
      <c r="Q267" s="27"/>
    </row>
    <row r="268" spans="1:17" ht="40.5" x14ac:dyDescent="0.25">
      <c r="A268" s="22" t="s">
        <v>602</v>
      </c>
      <c r="B268" s="23" t="s">
        <v>603</v>
      </c>
      <c r="C268" s="24" t="s">
        <v>29</v>
      </c>
      <c r="D268" s="24" t="s">
        <v>598</v>
      </c>
      <c r="E268" s="25">
        <f>SUM(E269:E269)+700</f>
        <v>700</v>
      </c>
      <c r="F268" s="25">
        <f>SUM(F269:F269)+700</f>
        <v>700</v>
      </c>
      <c r="G268" s="25">
        <f t="shared" ref="G268:N268" si="81">SUM(G269:G269)</f>
        <v>0</v>
      </c>
      <c r="H268" s="25">
        <f t="shared" si="81"/>
        <v>0</v>
      </c>
      <c r="I268" s="25">
        <f t="shared" si="81"/>
        <v>0</v>
      </c>
      <c r="J268" s="25">
        <f t="shared" si="81"/>
        <v>0</v>
      </c>
      <c r="K268" s="25">
        <f t="shared" si="81"/>
        <v>0</v>
      </c>
      <c r="L268" s="25">
        <f t="shared" si="81"/>
        <v>0</v>
      </c>
      <c r="M268" s="25">
        <f t="shared" si="81"/>
        <v>0</v>
      </c>
      <c r="N268" s="25">
        <f t="shared" si="81"/>
        <v>0</v>
      </c>
      <c r="O268" s="24" t="s">
        <v>604</v>
      </c>
      <c r="P268" s="26" t="s">
        <v>31</v>
      </c>
      <c r="Q268" s="27" t="s">
        <v>38</v>
      </c>
    </row>
    <row r="269" spans="1:17" x14ac:dyDescent="0.25">
      <c r="A269" s="22" t="s">
        <v>605</v>
      </c>
      <c r="B269" s="23" t="s">
        <v>606</v>
      </c>
      <c r="C269" s="24"/>
      <c r="D269" s="24"/>
      <c r="E269" s="28">
        <v>0</v>
      </c>
      <c r="F269" s="28">
        <v>0</v>
      </c>
      <c r="G269" s="28">
        <v>0</v>
      </c>
      <c r="H269" s="28">
        <v>0</v>
      </c>
      <c r="I269" s="28">
        <v>0</v>
      </c>
      <c r="J269" s="28">
        <v>0</v>
      </c>
      <c r="K269" s="28">
        <v>0</v>
      </c>
      <c r="L269" s="28">
        <v>0</v>
      </c>
      <c r="M269" s="28">
        <v>0</v>
      </c>
      <c r="N269" s="28">
        <v>0</v>
      </c>
      <c r="O269" s="24"/>
      <c r="P269" s="26"/>
      <c r="Q269" s="27"/>
    </row>
    <row r="270" spans="1:17" ht="40.5" x14ac:dyDescent="0.25">
      <c r="A270" s="22" t="s">
        <v>607</v>
      </c>
      <c r="B270" s="23" t="s">
        <v>608</v>
      </c>
      <c r="C270" s="24" t="s">
        <v>29</v>
      </c>
      <c r="D270" s="24" t="s">
        <v>598</v>
      </c>
      <c r="E270" s="25">
        <f>SUM(E271:E271)+6000</f>
        <v>6000</v>
      </c>
      <c r="F270" s="25">
        <f>SUM(F271:F271)+6000</f>
        <v>6000</v>
      </c>
      <c r="G270" s="25">
        <f t="shared" ref="G270:N270" si="82">SUM(G271:G271)</f>
        <v>0</v>
      </c>
      <c r="H270" s="25">
        <f t="shared" si="82"/>
        <v>0</v>
      </c>
      <c r="I270" s="25">
        <f t="shared" si="82"/>
        <v>0</v>
      </c>
      <c r="J270" s="25">
        <f t="shared" si="82"/>
        <v>0</v>
      </c>
      <c r="K270" s="25">
        <f t="shared" si="82"/>
        <v>0</v>
      </c>
      <c r="L270" s="25">
        <f t="shared" si="82"/>
        <v>0</v>
      </c>
      <c r="M270" s="25">
        <f t="shared" si="82"/>
        <v>0</v>
      </c>
      <c r="N270" s="25">
        <f t="shared" si="82"/>
        <v>0</v>
      </c>
      <c r="O270" s="24" t="s">
        <v>609</v>
      </c>
      <c r="P270" s="26" t="s">
        <v>31</v>
      </c>
      <c r="Q270" s="27" t="s">
        <v>92</v>
      </c>
    </row>
    <row r="271" spans="1:17" x14ac:dyDescent="0.25">
      <c r="A271" s="22" t="s">
        <v>610</v>
      </c>
      <c r="B271" s="23" t="s">
        <v>611</v>
      </c>
      <c r="C271" s="24"/>
      <c r="D271" s="24"/>
      <c r="E271" s="28">
        <v>0</v>
      </c>
      <c r="F271" s="28">
        <v>0</v>
      </c>
      <c r="G271" s="28">
        <v>0</v>
      </c>
      <c r="H271" s="28">
        <v>0</v>
      </c>
      <c r="I271" s="28">
        <v>0</v>
      </c>
      <c r="J271" s="28">
        <v>0</v>
      </c>
      <c r="K271" s="28">
        <v>0</v>
      </c>
      <c r="L271" s="28">
        <v>0</v>
      </c>
      <c r="M271" s="28">
        <v>0</v>
      </c>
      <c r="N271" s="28">
        <v>0</v>
      </c>
      <c r="O271" s="24"/>
      <c r="P271" s="26"/>
      <c r="Q271" s="27"/>
    </row>
    <row r="272" spans="1:17" ht="40.5" x14ac:dyDescent="0.25">
      <c r="A272" s="16" t="s">
        <v>612</v>
      </c>
      <c r="B272" s="17" t="s">
        <v>613</v>
      </c>
      <c r="C272" s="18"/>
      <c r="D272" s="18"/>
      <c r="E272" s="19">
        <f t="shared" ref="E272:N272" si="83">SUM(E273:E273)</f>
        <v>5000</v>
      </c>
      <c r="F272" s="19">
        <f t="shared" si="83"/>
        <v>5000</v>
      </c>
      <c r="G272" s="19">
        <f t="shared" si="83"/>
        <v>0</v>
      </c>
      <c r="H272" s="19">
        <f t="shared" si="83"/>
        <v>0</v>
      </c>
      <c r="I272" s="19">
        <f t="shared" si="83"/>
        <v>0</v>
      </c>
      <c r="J272" s="19">
        <f t="shared" si="83"/>
        <v>0</v>
      </c>
      <c r="K272" s="19">
        <f t="shared" si="83"/>
        <v>0</v>
      </c>
      <c r="L272" s="19">
        <f t="shared" si="83"/>
        <v>0</v>
      </c>
      <c r="M272" s="19">
        <f t="shared" si="83"/>
        <v>0</v>
      </c>
      <c r="N272" s="19">
        <f t="shared" si="83"/>
        <v>0</v>
      </c>
      <c r="O272" s="18"/>
      <c r="P272" s="20"/>
      <c r="Q272" s="21"/>
    </row>
    <row r="273" spans="1:17" ht="40.5" x14ac:dyDescent="0.25">
      <c r="A273" s="22" t="s">
        <v>614</v>
      </c>
      <c r="B273" s="23" t="s">
        <v>615</v>
      </c>
      <c r="C273" s="24" t="s">
        <v>29</v>
      </c>
      <c r="D273" s="24" t="s">
        <v>598</v>
      </c>
      <c r="E273" s="25">
        <f>SUM(E274:E274)+5000</f>
        <v>5000</v>
      </c>
      <c r="F273" s="25">
        <f>SUM(F274:F274)+5000</f>
        <v>5000</v>
      </c>
      <c r="G273" s="25">
        <f t="shared" ref="G273:N273" si="84">SUM(G274:G274)</f>
        <v>0</v>
      </c>
      <c r="H273" s="25">
        <f t="shared" si="84"/>
        <v>0</v>
      </c>
      <c r="I273" s="25">
        <f t="shared" si="84"/>
        <v>0</v>
      </c>
      <c r="J273" s="25">
        <f t="shared" si="84"/>
        <v>0</v>
      </c>
      <c r="K273" s="25">
        <f t="shared" si="84"/>
        <v>0</v>
      </c>
      <c r="L273" s="25">
        <f t="shared" si="84"/>
        <v>0</v>
      </c>
      <c r="M273" s="25">
        <f t="shared" si="84"/>
        <v>0</v>
      </c>
      <c r="N273" s="25">
        <f t="shared" si="84"/>
        <v>0</v>
      </c>
      <c r="O273" s="24" t="s">
        <v>616</v>
      </c>
      <c r="P273" s="26" t="s">
        <v>31</v>
      </c>
      <c r="Q273" s="27" t="s">
        <v>98</v>
      </c>
    </row>
    <row r="274" spans="1:17" x14ac:dyDescent="0.25">
      <c r="A274" s="22" t="s">
        <v>617</v>
      </c>
      <c r="B274" s="23" t="s">
        <v>618</v>
      </c>
      <c r="C274" s="24"/>
      <c r="D274" s="24"/>
      <c r="E274" s="28">
        <v>0</v>
      </c>
      <c r="F274" s="28">
        <v>0</v>
      </c>
      <c r="G274" s="28">
        <v>0</v>
      </c>
      <c r="H274" s="28">
        <v>0</v>
      </c>
      <c r="I274" s="28">
        <v>0</v>
      </c>
      <c r="J274" s="28">
        <v>0</v>
      </c>
      <c r="K274" s="28">
        <v>0</v>
      </c>
      <c r="L274" s="28">
        <v>0</v>
      </c>
      <c r="M274" s="28">
        <v>0</v>
      </c>
      <c r="N274" s="28">
        <v>0</v>
      </c>
      <c r="O274" s="24"/>
      <c r="P274" s="26"/>
      <c r="Q274" s="27"/>
    </row>
    <row r="275" spans="1:17" ht="60.75" x14ac:dyDescent="0.25">
      <c r="A275" s="10" t="s">
        <v>619</v>
      </c>
      <c r="B275" s="11" t="s">
        <v>620</v>
      </c>
      <c r="C275" s="12" t="s">
        <v>621</v>
      </c>
      <c r="D275" s="12" t="s">
        <v>622</v>
      </c>
      <c r="E275" s="13">
        <f t="shared" ref="E275:N276" si="85">SUM(E276:E276)</f>
        <v>30000</v>
      </c>
      <c r="F275" s="13">
        <f t="shared" si="85"/>
        <v>30000</v>
      </c>
      <c r="G275" s="13">
        <f t="shared" si="85"/>
        <v>0</v>
      </c>
      <c r="H275" s="13">
        <f t="shared" si="85"/>
        <v>0</v>
      </c>
      <c r="I275" s="13">
        <f t="shared" si="85"/>
        <v>0</v>
      </c>
      <c r="J275" s="13">
        <f t="shared" si="85"/>
        <v>0</v>
      </c>
      <c r="K275" s="13">
        <f t="shared" si="85"/>
        <v>0</v>
      </c>
      <c r="L275" s="13">
        <f t="shared" si="85"/>
        <v>0</v>
      </c>
      <c r="M275" s="13">
        <f t="shared" si="85"/>
        <v>0</v>
      </c>
      <c r="N275" s="13">
        <f t="shared" si="85"/>
        <v>0</v>
      </c>
      <c r="O275" s="12"/>
      <c r="P275" s="14"/>
      <c r="Q275" s="15"/>
    </row>
    <row r="276" spans="1:17" ht="40.5" x14ac:dyDescent="0.25">
      <c r="A276" s="16" t="s">
        <v>623</v>
      </c>
      <c r="B276" s="17" t="s">
        <v>624</v>
      </c>
      <c r="C276" s="18"/>
      <c r="D276" s="18"/>
      <c r="E276" s="19">
        <f t="shared" si="85"/>
        <v>30000</v>
      </c>
      <c r="F276" s="19">
        <f t="shared" si="85"/>
        <v>30000</v>
      </c>
      <c r="G276" s="19">
        <f t="shared" si="85"/>
        <v>0</v>
      </c>
      <c r="H276" s="19">
        <f t="shared" si="85"/>
        <v>0</v>
      </c>
      <c r="I276" s="19">
        <f t="shared" si="85"/>
        <v>0</v>
      </c>
      <c r="J276" s="19">
        <f t="shared" si="85"/>
        <v>0</v>
      </c>
      <c r="K276" s="19">
        <f t="shared" si="85"/>
        <v>0</v>
      </c>
      <c r="L276" s="19">
        <f t="shared" si="85"/>
        <v>0</v>
      </c>
      <c r="M276" s="19">
        <f t="shared" si="85"/>
        <v>0</v>
      </c>
      <c r="N276" s="19">
        <f t="shared" si="85"/>
        <v>0</v>
      </c>
      <c r="O276" s="18"/>
      <c r="P276" s="20"/>
      <c r="Q276" s="21"/>
    </row>
    <row r="277" spans="1:17" ht="60.75" x14ac:dyDescent="0.25">
      <c r="A277" s="22" t="s">
        <v>625</v>
      </c>
      <c r="B277" s="23" t="s">
        <v>626</v>
      </c>
      <c r="C277" s="24" t="s">
        <v>621</v>
      </c>
      <c r="D277" s="24" t="s">
        <v>622</v>
      </c>
      <c r="E277" s="25">
        <f>SUM(E278:E282)+30000</f>
        <v>30000</v>
      </c>
      <c r="F277" s="25">
        <f>SUM(F278:F282)+30000</f>
        <v>30000</v>
      </c>
      <c r="G277" s="25">
        <f t="shared" ref="G277:N277" si="86">SUM(G278:G282)</f>
        <v>0</v>
      </c>
      <c r="H277" s="25">
        <f t="shared" si="86"/>
        <v>0</v>
      </c>
      <c r="I277" s="25">
        <f t="shared" si="86"/>
        <v>0</v>
      </c>
      <c r="J277" s="25">
        <f t="shared" si="86"/>
        <v>0</v>
      </c>
      <c r="K277" s="25">
        <f t="shared" si="86"/>
        <v>0</v>
      </c>
      <c r="L277" s="25">
        <f t="shared" si="86"/>
        <v>0</v>
      </c>
      <c r="M277" s="25">
        <f t="shared" si="86"/>
        <v>0</v>
      </c>
      <c r="N277" s="25">
        <f t="shared" si="86"/>
        <v>0</v>
      </c>
      <c r="O277" s="24" t="s">
        <v>627</v>
      </c>
      <c r="P277" s="26" t="s">
        <v>31</v>
      </c>
      <c r="Q277" s="27" t="s">
        <v>98</v>
      </c>
    </row>
    <row r="278" spans="1:17" x14ac:dyDescent="0.25">
      <c r="A278" s="29"/>
      <c r="B278" s="30"/>
      <c r="C278" s="31"/>
      <c r="D278" s="31"/>
      <c r="E278" s="32">
        <v>0</v>
      </c>
      <c r="F278" s="32">
        <v>0</v>
      </c>
      <c r="G278" s="32">
        <v>0</v>
      </c>
      <c r="H278" s="32">
        <v>0</v>
      </c>
      <c r="I278" s="32">
        <v>0</v>
      </c>
      <c r="J278" s="32">
        <v>0</v>
      </c>
      <c r="K278" s="32">
        <v>0</v>
      </c>
      <c r="L278" s="32">
        <v>0</v>
      </c>
      <c r="M278" s="32">
        <v>0</v>
      </c>
      <c r="N278" s="32">
        <v>0</v>
      </c>
      <c r="O278" s="31" t="s">
        <v>628</v>
      </c>
      <c r="P278" s="33" t="s">
        <v>31</v>
      </c>
      <c r="Q278" s="34" t="s">
        <v>74</v>
      </c>
    </row>
    <row r="279" spans="1:17" ht="40.5" x14ac:dyDescent="0.25">
      <c r="A279" s="29"/>
      <c r="B279" s="30"/>
      <c r="C279" s="31"/>
      <c r="D279" s="31"/>
      <c r="E279" s="32">
        <v>0</v>
      </c>
      <c r="F279" s="32">
        <v>0</v>
      </c>
      <c r="G279" s="32">
        <v>0</v>
      </c>
      <c r="H279" s="32">
        <v>0</v>
      </c>
      <c r="I279" s="32">
        <v>0</v>
      </c>
      <c r="J279" s="32">
        <v>0</v>
      </c>
      <c r="K279" s="32">
        <v>0</v>
      </c>
      <c r="L279" s="32">
        <v>0</v>
      </c>
      <c r="M279" s="32">
        <v>0</v>
      </c>
      <c r="N279" s="32">
        <v>0</v>
      </c>
      <c r="O279" s="31" t="s">
        <v>629</v>
      </c>
      <c r="P279" s="33" t="s">
        <v>31</v>
      </c>
      <c r="Q279" s="34" t="s">
        <v>171</v>
      </c>
    </row>
    <row r="280" spans="1:17" x14ac:dyDescent="0.25">
      <c r="A280" s="29"/>
      <c r="B280" s="30"/>
      <c r="C280" s="31"/>
      <c r="D280" s="31"/>
      <c r="E280" s="32">
        <v>0</v>
      </c>
      <c r="F280" s="32">
        <v>0</v>
      </c>
      <c r="G280" s="32">
        <v>0</v>
      </c>
      <c r="H280" s="32">
        <v>0</v>
      </c>
      <c r="I280" s="32">
        <v>0</v>
      </c>
      <c r="J280" s="32">
        <v>0</v>
      </c>
      <c r="K280" s="32">
        <v>0</v>
      </c>
      <c r="L280" s="32">
        <v>0</v>
      </c>
      <c r="M280" s="32">
        <v>0</v>
      </c>
      <c r="N280" s="32">
        <v>0</v>
      </c>
      <c r="O280" s="31" t="s">
        <v>630</v>
      </c>
      <c r="P280" s="33" t="s">
        <v>31</v>
      </c>
      <c r="Q280" s="34" t="s">
        <v>74</v>
      </c>
    </row>
    <row r="281" spans="1:17" x14ac:dyDescent="0.25">
      <c r="A281" s="22" t="s">
        <v>631</v>
      </c>
      <c r="B281" s="23" t="s">
        <v>632</v>
      </c>
      <c r="C281" s="24"/>
      <c r="D281" s="24"/>
      <c r="E281" s="28">
        <v>0</v>
      </c>
      <c r="F281" s="28">
        <v>0</v>
      </c>
      <c r="G281" s="28">
        <v>0</v>
      </c>
      <c r="H281" s="28">
        <v>0</v>
      </c>
      <c r="I281" s="28">
        <v>0</v>
      </c>
      <c r="J281" s="28">
        <v>0</v>
      </c>
      <c r="K281" s="28">
        <v>0</v>
      </c>
      <c r="L281" s="28">
        <v>0</v>
      </c>
      <c r="M281" s="28">
        <v>0</v>
      </c>
      <c r="N281" s="28">
        <v>0</v>
      </c>
      <c r="O281" s="24"/>
      <c r="P281" s="26"/>
      <c r="Q281" s="27"/>
    </row>
    <row r="282" spans="1:17" x14ac:dyDescent="0.25">
      <c r="A282" s="22" t="s">
        <v>633</v>
      </c>
      <c r="B282" s="23" t="s">
        <v>634</v>
      </c>
      <c r="C282" s="24"/>
      <c r="D282" s="24"/>
      <c r="E282" s="28">
        <v>0</v>
      </c>
      <c r="F282" s="28">
        <v>0</v>
      </c>
      <c r="G282" s="28">
        <v>0</v>
      </c>
      <c r="H282" s="28">
        <v>0</v>
      </c>
      <c r="I282" s="28">
        <v>0</v>
      </c>
      <c r="J282" s="28">
        <v>0</v>
      </c>
      <c r="K282" s="28">
        <v>0</v>
      </c>
      <c r="L282" s="28">
        <v>0</v>
      </c>
      <c r="M282" s="28">
        <v>0</v>
      </c>
      <c r="N282" s="28">
        <v>0</v>
      </c>
      <c r="O282" s="24"/>
      <c r="P282" s="26"/>
      <c r="Q282" s="27"/>
    </row>
    <row r="283" spans="1:17" ht="60.75" x14ac:dyDescent="0.25">
      <c r="A283" s="10" t="s">
        <v>635</v>
      </c>
      <c r="B283" s="11" t="s">
        <v>636</v>
      </c>
      <c r="C283" s="12" t="s">
        <v>621</v>
      </c>
      <c r="D283" s="12" t="s">
        <v>622</v>
      </c>
      <c r="E283" s="13">
        <f t="shared" ref="E283:N284" si="87">SUM(E284:E284)</f>
        <v>15000</v>
      </c>
      <c r="F283" s="13">
        <f t="shared" si="87"/>
        <v>15000</v>
      </c>
      <c r="G283" s="13">
        <f t="shared" si="87"/>
        <v>0</v>
      </c>
      <c r="H283" s="13">
        <f t="shared" si="87"/>
        <v>0</v>
      </c>
      <c r="I283" s="13">
        <f t="shared" si="87"/>
        <v>0</v>
      </c>
      <c r="J283" s="13">
        <f t="shared" si="87"/>
        <v>0</v>
      </c>
      <c r="K283" s="13">
        <f t="shared" si="87"/>
        <v>0</v>
      </c>
      <c r="L283" s="13">
        <f t="shared" si="87"/>
        <v>0</v>
      </c>
      <c r="M283" s="13">
        <f t="shared" si="87"/>
        <v>0</v>
      </c>
      <c r="N283" s="13">
        <f t="shared" si="87"/>
        <v>0</v>
      </c>
      <c r="O283" s="12"/>
      <c r="P283" s="14"/>
      <c r="Q283" s="15"/>
    </row>
    <row r="284" spans="1:17" ht="40.5" x14ac:dyDescent="0.25">
      <c r="A284" s="16" t="s">
        <v>637</v>
      </c>
      <c r="B284" s="17" t="s">
        <v>638</v>
      </c>
      <c r="C284" s="18"/>
      <c r="D284" s="18"/>
      <c r="E284" s="19">
        <f t="shared" si="87"/>
        <v>15000</v>
      </c>
      <c r="F284" s="19">
        <f t="shared" si="87"/>
        <v>15000</v>
      </c>
      <c r="G284" s="19">
        <f t="shared" si="87"/>
        <v>0</v>
      </c>
      <c r="H284" s="19">
        <f t="shared" si="87"/>
        <v>0</v>
      </c>
      <c r="I284" s="19">
        <f t="shared" si="87"/>
        <v>0</v>
      </c>
      <c r="J284" s="19">
        <f t="shared" si="87"/>
        <v>0</v>
      </c>
      <c r="K284" s="19">
        <f t="shared" si="87"/>
        <v>0</v>
      </c>
      <c r="L284" s="19">
        <f t="shared" si="87"/>
        <v>0</v>
      </c>
      <c r="M284" s="19">
        <f t="shared" si="87"/>
        <v>0</v>
      </c>
      <c r="N284" s="19">
        <f t="shared" si="87"/>
        <v>0</v>
      </c>
      <c r="O284" s="18"/>
      <c r="P284" s="20"/>
      <c r="Q284" s="21"/>
    </row>
    <row r="285" spans="1:17" ht="60.75" x14ac:dyDescent="0.25">
      <c r="A285" s="22" t="s">
        <v>639</v>
      </c>
      <c r="B285" s="23" t="s">
        <v>640</v>
      </c>
      <c r="C285" s="24" t="s">
        <v>621</v>
      </c>
      <c r="D285" s="24" t="s">
        <v>622</v>
      </c>
      <c r="E285" s="25">
        <f>SUM(E286:E293)+15000</f>
        <v>15000</v>
      </c>
      <c r="F285" s="25">
        <f>SUM(F286:F293)+15000</f>
        <v>15000</v>
      </c>
      <c r="G285" s="25">
        <f t="shared" ref="G285:N285" si="88">SUM(G286:G293)</f>
        <v>0</v>
      </c>
      <c r="H285" s="25">
        <f t="shared" si="88"/>
        <v>0</v>
      </c>
      <c r="I285" s="25">
        <f t="shared" si="88"/>
        <v>0</v>
      </c>
      <c r="J285" s="25">
        <f t="shared" si="88"/>
        <v>0</v>
      </c>
      <c r="K285" s="25">
        <f t="shared" si="88"/>
        <v>0</v>
      </c>
      <c r="L285" s="25">
        <f t="shared" si="88"/>
        <v>0</v>
      </c>
      <c r="M285" s="25">
        <f t="shared" si="88"/>
        <v>0</v>
      </c>
      <c r="N285" s="25">
        <f t="shared" si="88"/>
        <v>0</v>
      </c>
      <c r="O285" s="24" t="s">
        <v>641</v>
      </c>
      <c r="P285" s="26" t="s">
        <v>31</v>
      </c>
      <c r="Q285" s="27" t="s">
        <v>68</v>
      </c>
    </row>
    <row r="286" spans="1:17" x14ac:dyDescent="0.25">
      <c r="A286" s="29"/>
      <c r="B286" s="30"/>
      <c r="C286" s="31"/>
      <c r="D286" s="31"/>
      <c r="E286" s="32">
        <v>0</v>
      </c>
      <c r="F286" s="32">
        <v>0</v>
      </c>
      <c r="G286" s="32">
        <v>0</v>
      </c>
      <c r="H286" s="32">
        <v>0</v>
      </c>
      <c r="I286" s="32">
        <v>0</v>
      </c>
      <c r="J286" s="32">
        <v>0</v>
      </c>
      <c r="K286" s="32">
        <v>0</v>
      </c>
      <c r="L286" s="32">
        <v>0</v>
      </c>
      <c r="M286" s="32">
        <v>0</v>
      </c>
      <c r="N286" s="32">
        <v>0</v>
      </c>
      <c r="O286" s="31" t="s">
        <v>642</v>
      </c>
      <c r="P286" s="33" t="s">
        <v>31</v>
      </c>
      <c r="Q286" s="34" t="s">
        <v>92</v>
      </c>
    </row>
    <row r="287" spans="1:17" x14ac:dyDescent="0.25">
      <c r="A287" s="29"/>
      <c r="B287" s="30"/>
      <c r="C287" s="31"/>
      <c r="D287" s="31"/>
      <c r="E287" s="32">
        <v>0</v>
      </c>
      <c r="F287" s="32">
        <v>0</v>
      </c>
      <c r="G287" s="32">
        <v>0</v>
      </c>
      <c r="H287" s="32">
        <v>0</v>
      </c>
      <c r="I287" s="32">
        <v>0</v>
      </c>
      <c r="J287" s="32">
        <v>0</v>
      </c>
      <c r="K287" s="32">
        <v>0</v>
      </c>
      <c r="L287" s="32">
        <v>0</v>
      </c>
      <c r="M287" s="32">
        <v>0</v>
      </c>
      <c r="N287" s="32">
        <v>0</v>
      </c>
      <c r="O287" s="31" t="s">
        <v>643</v>
      </c>
      <c r="P287" s="33" t="s">
        <v>31</v>
      </c>
      <c r="Q287" s="34" t="s">
        <v>171</v>
      </c>
    </row>
    <row r="288" spans="1:17" x14ac:dyDescent="0.25">
      <c r="A288" s="29"/>
      <c r="B288" s="30"/>
      <c r="C288" s="31"/>
      <c r="D288" s="31"/>
      <c r="E288" s="32">
        <v>0</v>
      </c>
      <c r="F288" s="32">
        <v>0</v>
      </c>
      <c r="G288" s="32">
        <v>0</v>
      </c>
      <c r="H288" s="32">
        <v>0</v>
      </c>
      <c r="I288" s="32">
        <v>0</v>
      </c>
      <c r="J288" s="32">
        <v>0</v>
      </c>
      <c r="K288" s="32">
        <v>0</v>
      </c>
      <c r="L288" s="32">
        <v>0</v>
      </c>
      <c r="M288" s="32">
        <v>0</v>
      </c>
      <c r="N288" s="32">
        <v>0</v>
      </c>
      <c r="O288" s="31" t="s">
        <v>644</v>
      </c>
      <c r="P288" s="33" t="s">
        <v>31</v>
      </c>
      <c r="Q288" s="34" t="s">
        <v>645</v>
      </c>
    </row>
    <row r="289" spans="1:17" x14ac:dyDescent="0.25">
      <c r="A289" s="29"/>
      <c r="B289" s="30"/>
      <c r="C289" s="31"/>
      <c r="D289" s="31"/>
      <c r="E289" s="32">
        <v>0</v>
      </c>
      <c r="F289" s="32">
        <v>0</v>
      </c>
      <c r="G289" s="32">
        <v>0</v>
      </c>
      <c r="H289" s="32">
        <v>0</v>
      </c>
      <c r="I289" s="32">
        <v>0</v>
      </c>
      <c r="J289" s="32">
        <v>0</v>
      </c>
      <c r="K289" s="32">
        <v>0</v>
      </c>
      <c r="L289" s="32">
        <v>0</v>
      </c>
      <c r="M289" s="32">
        <v>0</v>
      </c>
      <c r="N289" s="32">
        <v>0</v>
      </c>
      <c r="O289" s="31" t="s">
        <v>646</v>
      </c>
      <c r="P289" s="33" t="s">
        <v>31</v>
      </c>
      <c r="Q289" s="34" t="s">
        <v>92</v>
      </c>
    </row>
    <row r="290" spans="1:17" ht="60.75" x14ac:dyDescent="0.25">
      <c r="A290" s="22" t="s">
        <v>647</v>
      </c>
      <c r="B290" s="23" t="s">
        <v>648</v>
      </c>
      <c r="C290" s="24"/>
      <c r="D290" s="24"/>
      <c r="E290" s="28">
        <v>0</v>
      </c>
      <c r="F290" s="28">
        <v>0</v>
      </c>
      <c r="G290" s="28">
        <v>0</v>
      </c>
      <c r="H290" s="28">
        <v>0</v>
      </c>
      <c r="I290" s="28">
        <v>0</v>
      </c>
      <c r="J290" s="28">
        <v>0</v>
      </c>
      <c r="K290" s="28">
        <v>0</v>
      </c>
      <c r="L290" s="28">
        <v>0</v>
      </c>
      <c r="M290" s="28">
        <v>0</v>
      </c>
      <c r="N290" s="28">
        <v>0</v>
      </c>
      <c r="O290" s="24"/>
      <c r="P290" s="26"/>
      <c r="Q290" s="27"/>
    </row>
    <row r="291" spans="1:17" ht="40.5" x14ac:dyDescent="0.25">
      <c r="A291" s="22" t="s">
        <v>649</v>
      </c>
      <c r="B291" s="23" t="s">
        <v>650</v>
      </c>
      <c r="C291" s="24"/>
      <c r="D291" s="24"/>
      <c r="E291" s="28">
        <v>0</v>
      </c>
      <c r="F291" s="28">
        <v>0</v>
      </c>
      <c r="G291" s="28">
        <v>0</v>
      </c>
      <c r="H291" s="28">
        <v>0</v>
      </c>
      <c r="I291" s="28">
        <v>0</v>
      </c>
      <c r="J291" s="28">
        <v>0</v>
      </c>
      <c r="K291" s="28">
        <v>0</v>
      </c>
      <c r="L291" s="28">
        <v>0</v>
      </c>
      <c r="M291" s="28">
        <v>0</v>
      </c>
      <c r="N291" s="28">
        <v>0</v>
      </c>
      <c r="O291" s="24"/>
      <c r="P291" s="26"/>
      <c r="Q291" s="27"/>
    </row>
    <row r="292" spans="1:17" ht="40.5" x14ac:dyDescent="0.25">
      <c r="A292" s="22" t="s">
        <v>651</v>
      </c>
      <c r="B292" s="23" t="s">
        <v>652</v>
      </c>
      <c r="C292" s="24"/>
      <c r="D292" s="24"/>
      <c r="E292" s="28">
        <v>0</v>
      </c>
      <c r="F292" s="28">
        <v>0</v>
      </c>
      <c r="G292" s="28">
        <v>0</v>
      </c>
      <c r="H292" s="28">
        <v>0</v>
      </c>
      <c r="I292" s="28">
        <v>0</v>
      </c>
      <c r="J292" s="28">
        <v>0</v>
      </c>
      <c r="K292" s="28">
        <v>0</v>
      </c>
      <c r="L292" s="28">
        <v>0</v>
      </c>
      <c r="M292" s="28">
        <v>0</v>
      </c>
      <c r="N292" s="28">
        <v>0</v>
      </c>
      <c r="O292" s="24"/>
      <c r="P292" s="26"/>
      <c r="Q292" s="27"/>
    </row>
    <row r="293" spans="1:17" ht="40.5" x14ac:dyDescent="0.25">
      <c r="A293" s="22" t="s">
        <v>653</v>
      </c>
      <c r="B293" s="23" t="s">
        <v>654</v>
      </c>
      <c r="C293" s="24"/>
      <c r="D293" s="24"/>
      <c r="E293" s="28">
        <v>0</v>
      </c>
      <c r="F293" s="28">
        <v>0</v>
      </c>
      <c r="G293" s="28">
        <v>0</v>
      </c>
      <c r="H293" s="28">
        <v>0</v>
      </c>
      <c r="I293" s="28">
        <v>0</v>
      </c>
      <c r="J293" s="28">
        <v>0</v>
      </c>
      <c r="K293" s="28">
        <v>0</v>
      </c>
      <c r="L293" s="28">
        <v>0</v>
      </c>
      <c r="M293" s="28">
        <v>0</v>
      </c>
      <c r="N293" s="28">
        <v>0</v>
      </c>
      <c r="O293" s="24"/>
      <c r="P293" s="26"/>
      <c r="Q293" s="27"/>
    </row>
    <row r="294" spans="1:17" x14ac:dyDescent="0.25">
      <c r="A294" s="4" t="s">
        <v>655</v>
      </c>
      <c r="B294" s="5" t="s">
        <v>656</v>
      </c>
      <c r="C294" s="6"/>
      <c r="D294" s="6" t="s">
        <v>657</v>
      </c>
      <c r="E294" s="7">
        <f t="shared" ref="E294:N294" si="89">SUM(E295:E295)</f>
        <v>4940949.99</v>
      </c>
      <c r="F294" s="7">
        <f t="shared" si="89"/>
        <v>4557308.99</v>
      </c>
      <c r="G294" s="7">
        <f t="shared" si="89"/>
        <v>5714</v>
      </c>
      <c r="H294" s="7">
        <f t="shared" si="89"/>
        <v>0</v>
      </c>
      <c r="I294" s="7">
        <f t="shared" si="89"/>
        <v>377927</v>
      </c>
      <c r="J294" s="7">
        <f t="shared" si="89"/>
        <v>0</v>
      </c>
      <c r="K294" s="7">
        <f t="shared" si="89"/>
        <v>0</v>
      </c>
      <c r="L294" s="7">
        <f t="shared" si="89"/>
        <v>0</v>
      </c>
      <c r="M294" s="7">
        <f t="shared" si="89"/>
        <v>0</v>
      </c>
      <c r="N294" s="7">
        <f t="shared" si="89"/>
        <v>0</v>
      </c>
      <c r="O294" s="6"/>
      <c r="P294" s="8"/>
      <c r="Q294" s="9"/>
    </row>
    <row r="295" spans="1:17" ht="40.5" x14ac:dyDescent="0.25">
      <c r="A295" s="10" t="s">
        <v>658</v>
      </c>
      <c r="B295" s="11" t="s">
        <v>659</v>
      </c>
      <c r="C295" s="12"/>
      <c r="D295" s="12"/>
      <c r="E295" s="13">
        <f t="shared" ref="E295:N295" si="90">E296+E306+E309+E314+E316+E319+E324</f>
        <v>4940949.99</v>
      </c>
      <c r="F295" s="13">
        <f t="shared" si="90"/>
        <v>4557308.99</v>
      </c>
      <c r="G295" s="13">
        <f t="shared" si="90"/>
        <v>5714</v>
      </c>
      <c r="H295" s="13">
        <f t="shared" si="90"/>
        <v>0</v>
      </c>
      <c r="I295" s="13">
        <f t="shared" si="90"/>
        <v>377927</v>
      </c>
      <c r="J295" s="13">
        <f t="shared" si="90"/>
        <v>0</v>
      </c>
      <c r="K295" s="13">
        <f t="shared" si="90"/>
        <v>0</v>
      </c>
      <c r="L295" s="13">
        <f t="shared" si="90"/>
        <v>0</v>
      </c>
      <c r="M295" s="13">
        <f t="shared" si="90"/>
        <v>0</v>
      </c>
      <c r="N295" s="13">
        <f t="shared" si="90"/>
        <v>0</v>
      </c>
      <c r="O295" s="12"/>
      <c r="P295" s="14"/>
      <c r="Q295" s="15"/>
    </row>
    <row r="296" spans="1:17" ht="40.5" x14ac:dyDescent="0.25">
      <c r="A296" s="16" t="s">
        <v>660</v>
      </c>
      <c r="B296" s="17" t="s">
        <v>661</v>
      </c>
      <c r="C296" s="18"/>
      <c r="D296" s="18"/>
      <c r="E296" s="19">
        <f t="shared" ref="E296:N296" si="91">E297+E299+E301+E303</f>
        <v>3543384</v>
      </c>
      <c r="F296" s="19">
        <f t="shared" si="91"/>
        <v>3159743</v>
      </c>
      <c r="G296" s="19">
        <f t="shared" si="91"/>
        <v>5714</v>
      </c>
      <c r="H296" s="19">
        <f t="shared" si="91"/>
        <v>0</v>
      </c>
      <c r="I296" s="19">
        <f t="shared" si="91"/>
        <v>377927</v>
      </c>
      <c r="J296" s="19">
        <f t="shared" si="91"/>
        <v>0</v>
      </c>
      <c r="K296" s="19">
        <f t="shared" si="91"/>
        <v>0</v>
      </c>
      <c r="L296" s="19">
        <f t="shared" si="91"/>
        <v>0</v>
      </c>
      <c r="M296" s="19">
        <f t="shared" si="91"/>
        <v>0</v>
      </c>
      <c r="N296" s="19">
        <f t="shared" si="91"/>
        <v>0</v>
      </c>
      <c r="O296" s="18"/>
      <c r="P296" s="20"/>
      <c r="Q296" s="21"/>
    </row>
    <row r="297" spans="1:17" ht="40.5" x14ac:dyDescent="0.25">
      <c r="A297" s="22" t="s">
        <v>662</v>
      </c>
      <c r="B297" s="23" t="s">
        <v>663</v>
      </c>
      <c r="C297" s="24" t="s">
        <v>664</v>
      </c>
      <c r="D297" s="24" t="s">
        <v>657</v>
      </c>
      <c r="E297" s="25">
        <f>SUM(E298:E298)+274536</f>
        <v>274536</v>
      </c>
      <c r="F297" s="25">
        <f>SUM(F298:F298)+274536</f>
        <v>274536</v>
      </c>
      <c r="G297" s="25">
        <f t="shared" ref="G297:N297" si="92">SUM(G298:G298)</f>
        <v>0</v>
      </c>
      <c r="H297" s="25">
        <f t="shared" si="92"/>
        <v>0</v>
      </c>
      <c r="I297" s="25">
        <f t="shared" si="92"/>
        <v>0</v>
      </c>
      <c r="J297" s="25">
        <f t="shared" si="92"/>
        <v>0</v>
      </c>
      <c r="K297" s="25">
        <f t="shared" si="92"/>
        <v>0</v>
      </c>
      <c r="L297" s="25">
        <f t="shared" si="92"/>
        <v>0</v>
      </c>
      <c r="M297" s="25">
        <f t="shared" si="92"/>
        <v>0</v>
      </c>
      <c r="N297" s="25">
        <f t="shared" si="92"/>
        <v>0</v>
      </c>
      <c r="O297" s="24" t="s">
        <v>665</v>
      </c>
      <c r="P297" s="26" t="s">
        <v>31</v>
      </c>
      <c r="Q297" s="27" t="s">
        <v>171</v>
      </c>
    </row>
    <row r="298" spans="1:17" ht="81" x14ac:dyDescent="0.25">
      <c r="A298" s="22" t="s">
        <v>666</v>
      </c>
      <c r="B298" s="23" t="s">
        <v>667</v>
      </c>
      <c r="C298" s="24"/>
      <c r="D298" s="24"/>
      <c r="E298" s="28">
        <v>0</v>
      </c>
      <c r="F298" s="28">
        <v>0</v>
      </c>
      <c r="G298" s="28">
        <v>0</v>
      </c>
      <c r="H298" s="28">
        <v>0</v>
      </c>
      <c r="I298" s="28">
        <v>0</v>
      </c>
      <c r="J298" s="28">
        <v>0</v>
      </c>
      <c r="K298" s="28">
        <v>0</v>
      </c>
      <c r="L298" s="28">
        <v>0</v>
      </c>
      <c r="M298" s="28">
        <v>0</v>
      </c>
      <c r="N298" s="28">
        <v>0</v>
      </c>
      <c r="O298" s="24"/>
      <c r="P298" s="26"/>
      <c r="Q298" s="27"/>
    </row>
    <row r="299" spans="1:17" ht="60.75" x14ac:dyDescent="0.25">
      <c r="A299" s="22" t="s">
        <v>668</v>
      </c>
      <c r="B299" s="23" t="s">
        <v>669</v>
      </c>
      <c r="C299" s="24"/>
      <c r="D299" s="24" t="s">
        <v>657</v>
      </c>
      <c r="E299" s="25">
        <f>SUM(E300:E300)+81181</f>
        <v>81181</v>
      </c>
      <c r="F299" s="25">
        <f>SUM(F300:F300)+81181</f>
        <v>81181</v>
      </c>
      <c r="G299" s="25">
        <f t="shared" ref="G299:N299" si="93">SUM(G300:G300)</f>
        <v>0</v>
      </c>
      <c r="H299" s="25">
        <f t="shared" si="93"/>
        <v>0</v>
      </c>
      <c r="I299" s="25">
        <f t="shared" si="93"/>
        <v>0</v>
      </c>
      <c r="J299" s="25">
        <f t="shared" si="93"/>
        <v>0</v>
      </c>
      <c r="K299" s="25">
        <f t="shared" si="93"/>
        <v>0</v>
      </c>
      <c r="L299" s="25">
        <f t="shared" si="93"/>
        <v>0</v>
      </c>
      <c r="M299" s="25">
        <f t="shared" si="93"/>
        <v>0</v>
      </c>
      <c r="N299" s="25">
        <f t="shared" si="93"/>
        <v>0</v>
      </c>
      <c r="O299" s="24" t="s">
        <v>670</v>
      </c>
      <c r="P299" s="26" t="s">
        <v>31</v>
      </c>
      <c r="Q299" s="27" t="s">
        <v>74</v>
      </c>
    </row>
    <row r="300" spans="1:17" ht="101.25" x14ac:dyDescent="0.25">
      <c r="A300" s="22" t="s">
        <v>671</v>
      </c>
      <c r="B300" s="23" t="s">
        <v>672</v>
      </c>
      <c r="C300" s="24"/>
      <c r="D300" s="24"/>
      <c r="E300" s="28">
        <v>0</v>
      </c>
      <c r="F300" s="28">
        <v>0</v>
      </c>
      <c r="G300" s="28">
        <v>0</v>
      </c>
      <c r="H300" s="28">
        <v>0</v>
      </c>
      <c r="I300" s="28">
        <v>0</v>
      </c>
      <c r="J300" s="28">
        <v>0</v>
      </c>
      <c r="K300" s="28">
        <v>0</v>
      </c>
      <c r="L300" s="28">
        <v>0</v>
      </c>
      <c r="M300" s="28">
        <v>0</v>
      </c>
      <c r="N300" s="28">
        <v>0</v>
      </c>
      <c r="O300" s="24"/>
      <c r="P300" s="26"/>
      <c r="Q300" s="27"/>
    </row>
    <row r="301" spans="1:17" ht="40.5" x14ac:dyDescent="0.25">
      <c r="A301" s="22" t="s">
        <v>673</v>
      </c>
      <c r="B301" s="23" t="s">
        <v>674</v>
      </c>
      <c r="C301" s="24" t="s">
        <v>664</v>
      </c>
      <c r="D301" s="24" t="s">
        <v>675</v>
      </c>
      <c r="E301" s="25">
        <f>SUM(E302:E302)+3036367</f>
        <v>3036367</v>
      </c>
      <c r="F301" s="25">
        <f>SUM(F302:F302)+2657726</f>
        <v>2657726</v>
      </c>
      <c r="G301" s="25">
        <f>SUM(G302:G302)+714</f>
        <v>714</v>
      </c>
      <c r="H301" s="25">
        <f>SUM(H302:H302)</f>
        <v>0</v>
      </c>
      <c r="I301" s="25">
        <f>SUM(I302:I302)+377927</f>
        <v>377927</v>
      </c>
      <c r="J301" s="25">
        <f>SUM(J302:J302)</f>
        <v>0</v>
      </c>
      <c r="K301" s="25">
        <f>SUM(K302:K302)</f>
        <v>0</v>
      </c>
      <c r="L301" s="25">
        <f>SUM(L302:L302)</f>
        <v>0</v>
      </c>
      <c r="M301" s="25">
        <f>SUM(M302:M302)</f>
        <v>0</v>
      </c>
      <c r="N301" s="25">
        <f>SUM(N302:N302)</f>
        <v>0</v>
      </c>
      <c r="O301" s="24" t="s">
        <v>676</v>
      </c>
      <c r="P301" s="26" t="s">
        <v>31</v>
      </c>
      <c r="Q301" s="27" t="s">
        <v>677</v>
      </c>
    </row>
    <row r="302" spans="1:17" ht="60.75" x14ac:dyDescent="0.25">
      <c r="A302" s="22" t="s">
        <v>678</v>
      </c>
      <c r="B302" s="23" t="s">
        <v>679</v>
      </c>
      <c r="C302" s="24"/>
      <c r="D302" s="24"/>
      <c r="E302" s="28">
        <v>0</v>
      </c>
      <c r="F302" s="28">
        <v>0</v>
      </c>
      <c r="G302" s="28">
        <v>0</v>
      </c>
      <c r="H302" s="28">
        <v>0</v>
      </c>
      <c r="I302" s="28">
        <v>0</v>
      </c>
      <c r="J302" s="28">
        <v>0</v>
      </c>
      <c r="K302" s="28">
        <v>0</v>
      </c>
      <c r="L302" s="28">
        <v>0</v>
      </c>
      <c r="M302" s="28">
        <v>0</v>
      </c>
      <c r="N302" s="28">
        <v>0</v>
      </c>
      <c r="O302" s="24"/>
      <c r="P302" s="26"/>
      <c r="Q302" s="27"/>
    </row>
    <row r="303" spans="1:17" ht="60.75" x14ac:dyDescent="0.25">
      <c r="A303" s="22" t="s">
        <v>680</v>
      </c>
      <c r="B303" s="23" t="s">
        <v>681</v>
      </c>
      <c r="C303" s="24"/>
      <c r="D303" s="24"/>
      <c r="E303" s="25">
        <f>SUM(E304:E305)+151300</f>
        <v>151300</v>
      </c>
      <c r="F303" s="25">
        <f>SUM(F304:F305)+146300</f>
        <v>146300</v>
      </c>
      <c r="G303" s="25">
        <f>SUM(G304:G305)+5000</f>
        <v>5000</v>
      </c>
      <c r="H303" s="25">
        <f t="shared" ref="H303:N303" si="94">SUM(H304:H305)</f>
        <v>0</v>
      </c>
      <c r="I303" s="25">
        <f t="shared" si="94"/>
        <v>0</v>
      </c>
      <c r="J303" s="25">
        <f t="shared" si="94"/>
        <v>0</v>
      </c>
      <c r="K303" s="25">
        <f t="shared" si="94"/>
        <v>0</v>
      </c>
      <c r="L303" s="25">
        <f t="shared" si="94"/>
        <v>0</v>
      </c>
      <c r="M303" s="25">
        <f t="shared" si="94"/>
        <v>0</v>
      </c>
      <c r="N303" s="25">
        <f t="shared" si="94"/>
        <v>0</v>
      </c>
      <c r="O303" s="24" t="s">
        <v>682</v>
      </c>
      <c r="P303" s="26" t="s">
        <v>31</v>
      </c>
      <c r="Q303" s="27" t="s">
        <v>683</v>
      </c>
    </row>
    <row r="304" spans="1:17" ht="60.75" x14ac:dyDescent="0.25">
      <c r="A304" s="22" t="s">
        <v>684</v>
      </c>
      <c r="B304" s="23" t="s">
        <v>685</v>
      </c>
      <c r="C304" s="24"/>
      <c r="D304" s="24"/>
      <c r="E304" s="28">
        <v>0</v>
      </c>
      <c r="F304" s="28">
        <v>0</v>
      </c>
      <c r="G304" s="28">
        <v>0</v>
      </c>
      <c r="H304" s="28">
        <v>0</v>
      </c>
      <c r="I304" s="28">
        <v>0</v>
      </c>
      <c r="J304" s="28">
        <v>0</v>
      </c>
      <c r="K304" s="28">
        <v>0</v>
      </c>
      <c r="L304" s="28">
        <v>0</v>
      </c>
      <c r="M304" s="28">
        <v>0</v>
      </c>
      <c r="N304" s="28">
        <v>0</v>
      </c>
      <c r="O304" s="24"/>
      <c r="P304" s="26"/>
      <c r="Q304" s="27"/>
    </row>
    <row r="305" spans="1:17" ht="83.25" customHeight="1" x14ac:dyDescent="0.25">
      <c r="A305" s="22" t="s">
        <v>686</v>
      </c>
      <c r="B305" s="23" t="s">
        <v>687</v>
      </c>
      <c r="C305" s="24"/>
      <c r="D305" s="24"/>
      <c r="E305" s="28">
        <v>0</v>
      </c>
      <c r="F305" s="28">
        <v>0</v>
      </c>
      <c r="G305" s="28">
        <v>0</v>
      </c>
      <c r="H305" s="28">
        <v>0</v>
      </c>
      <c r="I305" s="28">
        <v>0</v>
      </c>
      <c r="J305" s="28">
        <v>0</v>
      </c>
      <c r="K305" s="28">
        <v>0</v>
      </c>
      <c r="L305" s="28">
        <v>0</v>
      </c>
      <c r="M305" s="28">
        <v>0</v>
      </c>
      <c r="N305" s="28">
        <v>0</v>
      </c>
      <c r="O305" s="24"/>
      <c r="P305" s="26"/>
      <c r="Q305" s="27"/>
    </row>
    <row r="306" spans="1:17" ht="60.75" x14ac:dyDescent="0.25">
      <c r="A306" s="16" t="s">
        <v>688</v>
      </c>
      <c r="B306" s="17" t="s">
        <v>689</v>
      </c>
      <c r="C306" s="18"/>
      <c r="D306" s="18"/>
      <c r="E306" s="19">
        <f t="shared" ref="E306:N306" si="95">SUM(E307:E307)</f>
        <v>260000</v>
      </c>
      <c r="F306" s="19">
        <f t="shared" si="95"/>
        <v>260000</v>
      </c>
      <c r="G306" s="19">
        <f t="shared" si="95"/>
        <v>0</v>
      </c>
      <c r="H306" s="19">
        <f t="shared" si="95"/>
        <v>0</v>
      </c>
      <c r="I306" s="19">
        <f t="shared" si="95"/>
        <v>0</v>
      </c>
      <c r="J306" s="19">
        <f t="shared" si="95"/>
        <v>0</v>
      </c>
      <c r="K306" s="19">
        <f t="shared" si="95"/>
        <v>0</v>
      </c>
      <c r="L306" s="19">
        <f t="shared" si="95"/>
        <v>0</v>
      </c>
      <c r="M306" s="19">
        <f t="shared" si="95"/>
        <v>0</v>
      </c>
      <c r="N306" s="19">
        <f t="shared" si="95"/>
        <v>0</v>
      </c>
      <c r="O306" s="18"/>
      <c r="P306" s="20"/>
      <c r="Q306" s="21"/>
    </row>
    <row r="307" spans="1:17" ht="121.5" x14ac:dyDescent="0.25">
      <c r="A307" s="22" t="s">
        <v>690</v>
      </c>
      <c r="B307" s="23" t="s">
        <v>691</v>
      </c>
      <c r="C307" s="24"/>
      <c r="D307" s="24" t="s">
        <v>657</v>
      </c>
      <c r="E307" s="25">
        <f>SUM(E308:E308)+260000</f>
        <v>260000</v>
      </c>
      <c r="F307" s="25">
        <f>SUM(F308:F308)+260000</f>
        <v>260000</v>
      </c>
      <c r="G307" s="25">
        <f t="shared" ref="G307:N307" si="96">SUM(G308:G308)</f>
        <v>0</v>
      </c>
      <c r="H307" s="25">
        <f t="shared" si="96"/>
        <v>0</v>
      </c>
      <c r="I307" s="25">
        <f t="shared" si="96"/>
        <v>0</v>
      </c>
      <c r="J307" s="25">
        <f t="shared" si="96"/>
        <v>0</v>
      </c>
      <c r="K307" s="25">
        <f t="shared" si="96"/>
        <v>0</v>
      </c>
      <c r="L307" s="25">
        <f t="shared" si="96"/>
        <v>0</v>
      </c>
      <c r="M307" s="25">
        <f t="shared" si="96"/>
        <v>0</v>
      </c>
      <c r="N307" s="25">
        <f t="shared" si="96"/>
        <v>0</v>
      </c>
      <c r="O307" s="24" t="s">
        <v>692</v>
      </c>
      <c r="P307" s="26" t="s">
        <v>221</v>
      </c>
      <c r="Q307" s="27" t="s">
        <v>693</v>
      </c>
    </row>
    <row r="308" spans="1:17" ht="40.5" x14ac:dyDescent="0.25">
      <c r="A308" s="22" t="s">
        <v>694</v>
      </c>
      <c r="B308" s="23" t="s">
        <v>695</v>
      </c>
      <c r="C308" s="24"/>
      <c r="D308" s="24"/>
      <c r="E308" s="28">
        <v>0</v>
      </c>
      <c r="F308" s="28">
        <v>0</v>
      </c>
      <c r="G308" s="28">
        <v>0</v>
      </c>
      <c r="H308" s="28">
        <v>0</v>
      </c>
      <c r="I308" s="28">
        <v>0</v>
      </c>
      <c r="J308" s="28">
        <v>0</v>
      </c>
      <c r="K308" s="28">
        <v>0</v>
      </c>
      <c r="L308" s="28">
        <v>0</v>
      </c>
      <c r="M308" s="28">
        <v>0</v>
      </c>
      <c r="N308" s="28">
        <v>0</v>
      </c>
      <c r="O308" s="24"/>
      <c r="P308" s="26"/>
      <c r="Q308" s="27"/>
    </row>
    <row r="309" spans="1:17" ht="40.5" x14ac:dyDescent="0.25">
      <c r="A309" s="16" t="s">
        <v>696</v>
      </c>
      <c r="B309" s="17" t="s">
        <v>697</v>
      </c>
      <c r="C309" s="18"/>
      <c r="D309" s="18"/>
      <c r="E309" s="19">
        <f t="shared" ref="E309:N309" si="97">E310+E312</f>
        <v>60811</v>
      </c>
      <c r="F309" s="19">
        <f t="shared" si="97"/>
        <v>60811</v>
      </c>
      <c r="G309" s="19">
        <f t="shared" si="97"/>
        <v>0</v>
      </c>
      <c r="H309" s="19">
        <f t="shared" si="97"/>
        <v>0</v>
      </c>
      <c r="I309" s="19">
        <f t="shared" si="97"/>
        <v>0</v>
      </c>
      <c r="J309" s="19">
        <f t="shared" si="97"/>
        <v>0</v>
      </c>
      <c r="K309" s="19">
        <f t="shared" si="97"/>
        <v>0</v>
      </c>
      <c r="L309" s="19">
        <f t="shared" si="97"/>
        <v>0</v>
      </c>
      <c r="M309" s="19">
        <f t="shared" si="97"/>
        <v>0</v>
      </c>
      <c r="N309" s="19">
        <f t="shared" si="97"/>
        <v>0</v>
      </c>
      <c r="O309" s="18"/>
      <c r="P309" s="20"/>
      <c r="Q309" s="21"/>
    </row>
    <row r="310" spans="1:17" ht="40.5" x14ac:dyDescent="0.25">
      <c r="A310" s="22" t="s">
        <v>698</v>
      </c>
      <c r="B310" s="23" t="s">
        <v>699</v>
      </c>
      <c r="C310" s="24"/>
      <c r="D310" s="24" t="s">
        <v>657</v>
      </c>
      <c r="E310" s="25">
        <f>SUM(E311:E311)+40811</f>
        <v>40811</v>
      </c>
      <c r="F310" s="25">
        <f>SUM(F311:F311)+40811</f>
        <v>40811</v>
      </c>
      <c r="G310" s="25">
        <f t="shared" ref="G310:N310" si="98">SUM(G311:G311)</f>
        <v>0</v>
      </c>
      <c r="H310" s="25">
        <f t="shared" si="98"/>
        <v>0</v>
      </c>
      <c r="I310" s="25">
        <f t="shared" si="98"/>
        <v>0</v>
      </c>
      <c r="J310" s="25">
        <f t="shared" si="98"/>
        <v>0</v>
      </c>
      <c r="K310" s="25">
        <f t="shared" si="98"/>
        <v>0</v>
      </c>
      <c r="L310" s="25">
        <f t="shared" si="98"/>
        <v>0</v>
      </c>
      <c r="M310" s="25">
        <f t="shared" si="98"/>
        <v>0</v>
      </c>
      <c r="N310" s="25">
        <f t="shared" si="98"/>
        <v>0</v>
      </c>
      <c r="O310" s="24" t="s">
        <v>700</v>
      </c>
      <c r="P310" s="26" t="s">
        <v>31</v>
      </c>
      <c r="Q310" s="27" t="s">
        <v>701</v>
      </c>
    </row>
    <row r="311" spans="1:17" ht="40.5" x14ac:dyDescent="0.25">
      <c r="A311" s="22" t="s">
        <v>702</v>
      </c>
      <c r="B311" s="23" t="s">
        <v>703</v>
      </c>
      <c r="C311" s="24"/>
      <c r="D311" s="24"/>
      <c r="E311" s="28">
        <v>0</v>
      </c>
      <c r="F311" s="28">
        <v>0</v>
      </c>
      <c r="G311" s="28">
        <v>0</v>
      </c>
      <c r="H311" s="28">
        <v>0</v>
      </c>
      <c r="I311" s="28">
        <v>0</v>
      </c>
      <c r="J311" s="28">
        <v>0</v>
      </c>
      <c r="K311" s="28">
        <v>0</v>
      </c>
      <c r="L311" s="28">
        <v>0</v>
      </c>
      <c r="M311" s="28">
        <v>0</v>
      </c>
      <c r="N311" s="28">
        <v>0</v>
      </c>
      <c r="O311" s="24"/>
      <c r="P311" s="26"/>
      <c r="Q311" s="27"/>
    </row>
    <row r="312" spans="1:17" x14ac:dyDescent="0.25">
      <c r="A312" s="22" t="s">
        <v>704</v>
      </c>
      <c r="B312" s="23" t="s">
        <v>705</v>
      </c>
      <c r="C312" s="24"/>
      <c r="D312" s="24"/>
      <c r="E312" s="25">
        <f>SUM(E313:E313)+20000</f>
        <v>20000</v>
      </c>
      <c r="F312" s="25">
        <f>SUM(F313:F313)+20000</f>
        <v>20000</v>
      </c>
      <c r="G312" s="25">
        <f t="shared" ref="G312:N312" si="99">SUM(G313:G313)</f>
        <v>0</v>
      </c>
      <c r="H312" s="25">
        <f t="shared" si="99"/>
        <v>0</v>
      </c>
      <c r="I312" s="25">
        <f t="shared" si="99"/>
        <v>0</v>
      </c>
      <c r="J312" s="25">
        <f t="shared" si="99"/>
        <v>0</v>
      </c>
      <c r="K312" s="25">
        <f t="shared" si="99"/>
        <v>0</v>
      </c>
      <c r="L312" s="25">
        <f t="shared" si="99"/>
        <v>0</v>
      </c>
      <c r="M312" s="25">
        <f t="shared" si="99"/>
        <v>0</v>
      </c>
      <c r="N312" s="25">
        <f t="shared" si="99"/>
        <v>0</v>
      </c>
      <c r="O312" s="24" t="s">
        <v>706</v>
      </c>
      <c r="P312" s="26" t="s">
        <v>31</v>
      </c>
      <c r="Q312" s="27" t="s">
        <v>294</v>
      </c>
    </row>
    <row r="313" spans="1:17" ht="40.5" x14ac:dyDescent="0.25">
      <c r="A313" s="22" t="s">
        <v>707</v>
      </c>
      <c r="B313" s="23" t="s">
        <v>708</v>
      </c>
      <c r="C313" s="24"/>
      <c r="D313" s="24"/>
      <c r="E313" s="28">
        <v>0</v>
      </c>
      <c r="F313" s="28">
        <v>0</v>
      </c>
      <c r="G313" s="28">
        <v>0</v>
      </c>
      <c r="H313" s="28">
        <v>0</v>
      </c>
      <c r="I313" s="28">
        <v>0</v>
      </c>
      <c r="J313" s="28">
        <v>0</v>
      </c>
      <c r="K313" s="28">
        <v>0</v>
      </c>
      <c r="L313" s="28">
        <v>0</v>
      </c>
      <c r="M313" s="28">
        <v>0</v>
      </c>
      <c r="N313" s="28">
        <v>0</v>
      </c>
      <c r="O313" s="24"/>
      <c r="P313" s="26"/>
      <c r="Q313" s="27"/>
    </row>
    <row r="314" spans="1:17" ht="40.5" x14ac:dyDescent="0.25">
      <c r="A314" s="16" t="s">
        <v>709</v>
      </c>
      <c r="B314" s="17" t="s">
        <v>710</v>
      </c>
      <c r="C314" s="18"/>
      <c r="D314" s="18"/>
      <c r="E314" s="19">
        <f t="shared" ref="E314:N314" si="100">SUM(E315:E315)</f>
        <v>204386.99</v>
      </c>
      <c r="F314" s="19">
        <f t="shared" si="100"/>
        <v>204386.99</v>
      </c>
      <c r="G314" s="19">
        <f t="shared" si="100"/>
        <v>0</v>
      </c>
      <c r="H314" s="19">
        <f t="shared" si="100"/>
        <v>0</v>
      </c>
      <c r="I314" s="19">
        <f t="shared" si="100"/>
        <v>0</v>
      </c>
      <c r="J314" s="19">
        <f t="shared" si="100"/>
        <v>0</v>
      </c>
      <c r="K314" s="19">
        <f t="shared" si="100"/>
        <v>0</v>
      </c>
      <c r="L314" s="19">
        <f t="shared" si="100"/>
        <v>0</v>
      </c>
      <c r="M314" s="19">
        <f t="shared" si="100"/>
        <v>0</v>
      </c>
      <c r="N314" s="19">
        <f t="shared" si="100"/>
        <v>0</v>
      </c>
      <c r="O314" s="18"/>
      <c r="P314" s="20"/>
      <c r="Q314" s="21"/>
    </row>
    <row r="315" spans="1:17" ht="40.5" x14ac:dyDescent="0.25">
      <c r="A315" s="22" t="s">
        <v>711</v>
      </c>
      <c r="B315" s="23" t="s">
        <v>712</v>
      </c>
      <c r="C315" s="24"/>
      <c r="D315" s="24" t="s">
        <v>657</v>
      </c>
      <c r="E315" s="28">
        <v>204386.99</v>
      </c>
      <c r="F315" s="28">
        <v>204386.99</v>
      </c>
      <c r="G315" s="28">
        <v>0</v>
      </c>
      <c r="H315" s="28">
        <v>0</v>
      </c>
      <c r="I315" s="28">
        <v>0</v>
      </c>
      <c r="J315" s="28">
        <v>0</v>
      </c>
      <c r="K315" s="28">
        <v>0</v>
      </c>
      <c r="L315" s="28">
        <v>0</v>
      </c>
      <c r="M315" s="28">
        <v>0</v>
      </c>
      <c r="N315" s="28">
        <v>0</v>
      </c>
      <c r="O315" s="24" t="s">
        <v>713</v>
      </c>
      <c r="P315" s="26" t="s">
        <v>31</v>
      </c>
      <c r="Q315" s="27" t="s">
        <v>92</v>
      </c>
    </row>
    <row r="316" spans="1:17" ht="58.5" customHeight="1" x14ac:dyDescent="0.25">
      <c r="A316" s="16" t="s">
        <v>714</v>
      </c>
      <c r="B316" s="17" t="s">
        <v>715</v>
      </c>
      <c r="C316" s="18"/>
      <c r="D316" s="18"/>
      <c r="E316" s="19">
        <f t="shared" ref="E316:N316" si="101">SUM(E317:E317)</f>
        <v>50955</v>
      </c>
      <c r="F316" s="19">
        <f t="shared" si="101"/>
        <v>50955</v>
      </c>
      <c r="G316" s="19">
        <f t="shared" si="101"/>
        <v>0</v>
      </c>
      <c r="H316" s="19">
        <f t="shared" si="101"/>
        <v>0</v>
      </c>
      <c r="I316" s="19">
        <f t="shared" si="101"/>
        <v>0</v>
      </c>
      <c r="J316" s="19">
        <f t="shared" si="101"/>
        <v>0</v>
      </c>
      <c r="K316" s="19">
        <f t="shared" si="101"/>
        <v>0</v>
      </c>
      <c r="L316" s="19">
        <f t="shared" si="101"/>
        <v>0</v>
      </c>
      <c r="M316" s="19">
        <f t="shared" si="101"/>
        <v>0</v>
      </c>
      <c r="N316" s="19">
        <f t="shared" si="101"/>
        <v>0</v>
      </c>
      <c r="O316" s="18"/>
      <c r="P316" s="20"/>
      <c r="Q316" s="21"/>
    </row>
    <row r="317" spans="1:17" ht="121.5" x14ac:dyDescent="0.25">
      <c r="A317" s="22" t="s">
        <v>716</v>
      </c>
      <c r="B317" s="23" t="s">
        <v>717</v>
      </c>
      <c r="C317" s="24"/>
      <c r="D317" s="24" t="s">
        <v>718</v>
      </c>
      <c r="E317" s="25">
        <f>SUM(E318:E318)+50955</f>
        <v>50955</v>
      </c>
      <c r="F317" s="25">
        <f>SUM(F318:F318)+50955</f>
        <v>50955</v>
      </c>
      <c r="G317" s="25">
        <f t="shared" ref="G317:N317" si="102">SUM(G318:G318)</f>
        <v>0</v>
      </c>
      <c r="H317" s="25">
        <f t="shared" si="102"/>
        <v>0</v>
      </c>
      <c r="I317" s="25">
        <f t="shared" si="102"/>
        <v>0</v>
      </c>
      <c r="J317" s="25">
        <f t="shared" si="102"/>
        <v>0</v>
      </c>
      <c r="K317" s="25">
        <f t="shared" si="102"/>
        <v>0</v>
      </c>
      <c r="L317" s="25">
        <f t="shared" si="102"/>
        <v>0</v>
      </c>
      <c r="M317" s="25">
        <f t="shared" si="102"/>
        <v>0</v>
      </c>
      <c r="N317" s="25">
        <f t="shared" si="102"/>
        <v>0</v>
      </c>
      <c r="O317" s="24" t="s">
        <v>719</v>
      </c>
      <c r="P317" s="26" t="s">
        <v>31</v>
      </c>
      <c r="Q317" s="27" t="s">
        <v>222</v>
      </c>
    </row>
    <row r="318" spans="1:17" ht="121.5" x14ac:dyDescent="0.25">
      <c r="A318" s="22" t="s">
        <v>720</v>
      </c>
      <c r="B318" s="23" t="s">
        <v>721</v>
      </c>
      <c r="C318" s="24"/>
      <c r="D318" s="24"/>
      <c r="E318" s="28">
        <v>0</v>
      </c>
      <c r="F318" s="28">
        <v>0</v>
      </c>
      <c r="G318" s="28">
        <v>0</v>
      </c>
      <c r="H318" s="28">
        <v>0</v>
      </c>
      <c r="I318" s="28">
        <v>0</v>
      </c>
      <c r="J318" s="28">
        <v>0</v>
      </c>
      <c r="K318" s="28">
        <v>0</v>
      </c>
      <c r="L318" s="28">
        <v>0</v>
      </c>
      <c r="M318" s="28">
        <v>0</v>
      </c>
      <c r="N318" s="28">
        <v>0</v>
      </c>
      <c r="O318" s="24"/>
      <c r="P318" s="26"/>
      <c r="Q318" s="27"/>
    </row>
    <row r="319" spans="1:17" ht="40.5" x14ac:dyDescent="0.25">
      <c r="A319" s="16" t="s">
        <v>722</v>
      </c>
      <c r="B319" s="17" t="s">
        <v>723</v>
      </c>
      <c r="C319" s="18"/>
      <c r="D319" s="18"/>
      <c r="E319" s="19">
        <f t="shared" ref="E319:N319" si="103">E320+E322</f>
        <v>807578</v>
      </c>
      <c r="F319" s="19">
        <f t="shared" si="103"/>
        <v>807578</v>
      </c>
      <c r="G319" s="19">
        <f t="shared" si="103"/>
        <v>0</v>
      </c>
      <c r="H319" s="19">
        <f t="shared" si="103"/>
        <v>0</v>
      </c>
      <c r="I319" s="19">
        <f t="shared" si="103"/>
        <v>0</v>
      </c>
      <c r="J319" s="19">
        <f t="shared" si="103"/>
        <v>0</v>
      </c>
      <c r="K319" s="19">
        <f t="shared" si="103"/>
        <v>0</v>
      </c>
      <c r="L319" s="19">
        <f t="shared" si="103"/>
        <v>0</v>
      </c>
      <c r="M319" s="19">
        <f t="shared" si="103"/>
        <v>0</v>
      </c>
      <c r="N319" s="19">
        <f t="shared" si="103"/>
        <v>0</v>
      </c>
      <c r="O319" s="18"/>
      <c r="P319" s="20"/>
      <c r="Q319" s="21"/>
    </row>
    <row r="320" spans="1:17" ht="40.5" x14ac:dyDescent="0.25">
      <c r="A320" s="22" t="s">
        <v>724</v>
      </c>
      <c r="B320" s="23" t="s">
        <v>725</v>
      </c>
      <c r="C320" s="24"/>
      <c r="D320" s="24" t="s">
        <v>726</v>
      </c>
      <c r="E320" s="25">
        <f>SUM(E321:E321)+719038</f>
        <v>719038</v>
      </c>
      <c r="F320" s="25">
        <f>SUM(F321:F321)+719038</f>
        <v>719038</v>
      </c>
      <c r="G320" s="25">
        <f t="shared" ref="G320:N320" si="104">SUM(G321:G321)</f>
        <v>0</v>
      </c>
      <c r="H320" s="25">
        <f t="shared" si="104"/>
        <v>0</v>
      </c>
      <c r="I320" s="25">
        <f t="shared" si="104"/>
        <v>0</v>
      </c>
      <c r="J320" s="25">
        <f t="shared" si="104"/>
        <v>0</v>
      </c>
      <c r="K320" s="25">
        <f t="shared" si="104"/>
        <v>0</v>
      </c>
      <c r="L320" s="25">
        <f t="shared" si="104"/>
        <v>0</v>
      </c>
      <c r="M320" s="25">
        <f t="shared" si="104"/>
        <v>0</v>
      </c>
      <c r="N320" s="25">
        <f t="shared" si="104"/>
        <v>0</v>
      </c>
      <c r="O320" s="24" t="s">
        <v>727</v>
      </c>
      <c r="P320" s="26" t="s">
        <v>221</v>
      </c>
      <c r="Q320" s="27" t="s">
        <v>222</v>
      </c>
    </row>
    <row r="321" spans="1:17" ht="40.5" x14ac:dyDescent="0.25">
      <c r="A321" s="22" t="s">
        <v>728</v>
      </c>
      <c r="B321" s="23" t="s">
        <v>729</v>
      </c>
      <c r="C321" s="24"/>
      <c r="D321" s="24"/>
      <c r="E321" s="28">
        <v>0</v>
      </c>
      <c r="F321" s="28">
        <v>0</v>
      </c>
      <c r="G321" s="28">
        <v>0</v>
      </c>
      <c r="H321" s="28">
        <v>0</v>
      </c>
      <c r="I321" s="28">
        <v>0</v>
      </c>
      <c r="J321" s="28">
        <v>0</v>
      </c>
      <c r="K321" s="28">
        <v>0</v>
      </c>
      <c r="L321" s="28">
        <v>0</v>
      </c>
      <c r="M321" s="28">
        <v>0</v>
      </c>
      <c r="N321" s="28">
        <v>0</v>
      </c>
      <c r="O321" s="24"/>
      <c r="P321" s="26"/>
      <c r="Q321" s="27"/>
    </row>
    <row r="322" spans="1:17" ht="40.5" x14ac:dyDescent="0.25">
      <c r="A322" s="22" t="s">
        <v>730</v>
      </c>
      <c r="B322" s="23" t="s">
        <v>731</v>
      </c>
      <c r="C322" s="24"/>
      <c r="D322" s="24" t="s">
        <v>726</v>
      </c>
      <c r="E322" s="25">
        <f>SUM(E323:E323)+88540</f>
        <v>88540</v>
      </c>
      <c r="F322" s="25">
        <f>SUM(F323:F323)+88540</f>
        <v>88540</v>
      </c>
      <c r="G322" s="25">
        <f t="shared" ref="G322:N322" si="105">SUM(G323:G323)</f>
        <v>0</v>
      </c>
      <c r="H322" s="25">
        <f t="shared" si="105"/>
        <v>0</v>
      </c>
      <c r="I322" s="25">
        <f t="shared" si="105"/>
        <v>0</v>
      </c>
      <c r="J322" s="25">
        <f t="shared" si="105"/>
        <v>0</v>
      </c>
      <c r="K322" s="25">
        <f t="shared" si="105"/>
        <v>0</v>
      </c>
      <c r="L322" s="25">
        <f t="shared" si="105"/>
        <v>0</v>
      </c>
      <c r="M322" s="25">
        <f t="shared" si="105"/>
        <v>0</v>
      </c>
      <c r="N322" s="25">
        <f t="shared" si="105"/>
        <v>0</v>
      </c>
      <c r="O322" s="24" t="s">
        <v>732</v>
      </c>
      <c r="P322" s="26" t="s">
        <v>221</v>
      </c>
      <c r="Q322" s="27" t="s">
        <v>222</v>
      </c>
    </row>
    <row r="323" spans="1:17" ht="40.5" x14ac:dyDescent="0.25">
      <c r="A323" s="22" t="s">
        <v>733</v>
      </c>
      <c r="B323" s="23" t="s">
        <v>734</v>
      </c>
      <c r="C323" s="24"/>
      <c r="D323" s="24"/>
      <c r="E323" s="28">
        <v>0</v>
      </c>
      <c r="F323" s="28">
        <v>0</v>
      </c>
      <c r="G323" s="28">
        <v>0</v>
      </c>
      <c r="H323" s="28">
        <v>0</v>
      </c>
      <c r="I323" s="28">
        <v>0</v>
      </c>
      <c r="J323" s="28">
        <v>0</v>
      </c>
      <c r="K323" s="28">
        <v>0</v>
      </c>
      <c r="L323" s="28">
        <v>0</v>
      </c>
      <c r="M323" s="28">
        <v>0</v>
      </c>
      <c r="N323" s="28">
        <v>0</v>
      </c>
      <c r="O323" s="24"/>
      <c r="P323" s="26"/>
      <c r="Q323" s="27"/>
    </row>
    <row r="324" spans="1:17" ht="40.5" x14ac:dyDescent="0.25">
      <c r="A324" s="16" t="s">
        <v>735</v>
      </c>
      <c r="B324" s="17" t="s">
        <v>736</v>
      </c>
      <c r="C324" s="18"/>
      <c r="D324" s="18" t="s">
        <v>737</v>
      </c>
      <c r="E324" s="19">
        <f t="shared" ref="E324:N324" si="106">E325+E327+E329+E331+E333+E337+E340</f>
        <v>13835</v>
      </c>
      <c r="F324" s="19">
        <f t="shared" si="106"/>
        <v>13835</v>
      </c>
      <c r="G324" s="19">
        <f t="shared" si="106"/>
        <v>0</v>
      </c>
      <c r="H324" s="19">
        <f t="shared" si="106"/>
        <v>0</v>
      </c>
      <c r="I324" s="19">
        <f t="shared" si="106"/>
        <v>0</v>
      </c>
      <c r="J324" s="19">
        <f t="shared" si="106"/>
        <v>0</v>
      </c>
      <c r="K324" s="19">
        <f t="shared" si="106"/>
        <v>0</v>
      </c>
      <c r="L324" s="19">
        <f t="shared" si="106"/>
        <v>0</v>
      </c>
      <c r="M324" s="19">
        <f t="shared" si="106"/>
        <v>0</v>
      </c>
      <c r="N324" s="19">
        <f t="shared" si="106"/>
        <v>0</v>
      </c>
      <c r="O324" s="18"/>
      <c r="P324" s="20"/>
      <c r="Q324" s="21"/>
    </row>
    <row r="325" spans="1:17" ht="60.75" x14ac:dyDescent="0.25">
      <c r="A325" s="22" t="s">
        <v>738</v>
      </c>
      <c r="B325" s="23" t="s">
        <v>739</v>
      </c>
      <c r="C325" s="24" t="s">
        <v>740</v>
      </c>
      <c r="D325" s="24" t="s">
        <v>737</v>
      </c>
      <c r="E325" s="25">
        <f t="shared" ref="E325:N325" si="107">SUM(E326:E326)</f>
        <v>0</v>
      </c>
      <c r="F325" s="25">
        <f t="shared" si="107"/>
        <v>0</v>
      </c>
      <c r="G325" s="25">
        <f t="shared" si="107"/>
        <v>0</v>
      </c>
      <c r="H325" s="25">
        <f t="shared" si="107"/>
        <v>0</v>
      </c>
      <c r="I325" s="25">
        <f t="shared" si="107"/>
        <v>0</v>
      </c>
      <c r="J325" s="25">
        <f t="shared" si="107"/>
        <v>0</v>
      </c>
      <c r="K325" s="25">
        <f t="shared" si="107"/>
        <v>0</v>
      </c>
      <c r="L325" s="25">
        <f t="shared" si="107"/>
        <v>0</v>
      </c>
      <c r="M325" s="25">
        <f t="shared" si="107"/>
        <v>0</v>
      </c>
      <c r="N325" s="25">
        <f t="shared" si="107"/>
        <v>0</v>
      </c>
      <c r="O325" s="24" t="s">
        <v>741</v>
      </c>
      <c r="P325" s="26" t="s">
        <v>429</v>
      </c>
      <c r="Q325" s="27" t="s">
        <v>38</v>
      </c>
    </row>
    <row r="326" spans="1:17" ht="60.75" x14ac:dyDescent="0.25">
      <c r="A326" s="22" t="s">
        <v>742</v>
      </c>
      <c r="B326" s="23" t="s">
        <v>743</v>
      </c>
      <c r="C326" s="24"/>
      <c r="D326" s="24"/>
      <c r="E326" s="28">
        <v>0</v>
      </c>
      <c r="F326" s="28">
        <v>0</v>
      </c>
      <c r="G326" s="28">
        <v>0</v>
      </c>
      <c r="H326" s="28">
        <v>0</v>
      </c>
      <c r="I326" s="28">
        <v>0</v>
      </c>
      <c r="J326" s="28">
        <v>0</v>
      </c>
      <c r="K326" s="28">
        <v>0</v>
      </c>
      <c r="L326" s="28">
        <v>0</v>
      </c>
      <c r="M326" s="28">
        <v>0</v>
      </c>
      <c r="N326" s="28">
        <v>0</v>
      </c>
      <c r="O326" s="24"/>
      <c r="P326" s="26"/>
      <c r="Q326" s="27"/>
    </row>
    <row r="327" spans="1:17" ht="60.75" x14ac:dyDescent="0.25">
      <c r="A327" s="22" t="s">
        <v>744</v>
      </c>
      <c r="B327" s="23" t="s">
        <v>745</v>
      </c>
      <c r="C327" s="24" t="s">
        <v>740</v>
      </c>
      <c r="D327" s="24" t="s">
        <v>737</v>
      </c>
      <c r="E327" s="25">
        <f>SUM(E328:E328)+4600</f>
        <v>4600</v>
      </c>
      <c r="F327" s="25">
        <f>SUM(F328:F328)+4600</f>
        <v>4600</v>
      </c>
      <c r="G327" s="25">
        <f t="shared" ref="G327:N327" si="108">SUM(G328:G328)</f>
        <v>0</v>
      </c>
      <c r="H327" s="25">
        <f t="shared" si="108"/>
        <v>0</v>
      </c>
      <c r="I327" s="25">
        <f t="shared" si="108"/>
        <v>0</v>
      </c>
      <c r="J327" s="25">
        <f t="shared" si="108"/>
        <v>0</v>
      </c>
      <c r="K327" s="25">
        <f t="shared" si="108"/>
        <v>0</v>
      </c>
      <c r="L327" s="25">
        <f t="shared" si="108"/>
        <v>0</v>
      </c>
      <c r="M327" s="25">
        <f t="shared" si="108"/>
        <v>0</v>
      </c>
      <c r="N327" s="25">
        <f t="shared" si="108"/>
        <v>0</v>
      </c>
      <c r="O327" s="24" t="s">
        <v>746</v>
      </c>
      <c r="P327" s="26" t="s">
        <v>429</v>
      </c>
      <c r="Q327" s="27" t="s">
        <v>38</v>
      </c>
    </row>
    <row r="328" spans="1:17" ht="60.75" x14ac:dyDescent="0.25">
      <c r="A328" s="22" t="s">
        <v>747</v>
      </c>
      <c r="B328" s="23" t="s">
        <v>748</v>
      </c>
      <c r="C328" s="24"/>
      <c r="D328" s="24"/>
      <c r="E328" s="28">
        <v>0</v>
      </c>
      <c r="F328" s="28">
        <v>0</v>
      </c>
      <c r="G328" s="28">
        <v>0</v>
      </c>
      <c r="H328" s="28">
        <v>0</v>
      </c>
      <c r="I328" s="28">
        <v>0</v>
      </c>
      <c r="J328" s="28">
        <v>0</v>
      </c>
      <c r="K328" s="28">
        <v>0</v>
      </c>
      <c r="L328" s="28">
        <v>0</v>
      </c>
      <c r="M328" s="28">
        <v>0</v>
      </c>
      <c r="N328" s="28">
        <v>0</v>
      </c>
      <c r="O328" s="24"/>
      <c r="P328" s="26"/>
      <c r="Q328" s="27"/>
    </row>
    <row r="329" spans="1:17" ht="40.5" x14ac:dyDescent="0.25">
      <c r="A329" s="22" t="s">
        <v>749</v>
      </c>
      <c r="B329" s="23" t="s">
        <v>750</v>
      </c>
      <c r="C329" s="24" t="s">
        <v>740</v>
      </c>
      <c r="D329" s="24" t="s">
        <v>737</v>
      </c>
      <c r="E329" s="25">
        <f t="shared" ref="E329:N329" si="109">SUM(E330:E330)</f>
        <v>0</v>
      </c>
      <c r="F329" s="25">
        <f t="shared" si="109"/>
        <v>0</v>
      </c>
      <c r="G329" s="25">
        <f t="shared" si="109"/>
        <v>0</v>
      </c>
      <c r="H329" s="25">
        <f t="shared" si="109"/>
        <v>0</v>
      </c>
      <c r="I329" s="25">
        <f t="shared" si="109"/>
        <v>0</v>
      </c>
      <c r="J329" s="25">
        <f t="shared" si="109"/>
        <v>0</v>
      </c>
      <c r="K329" s="25">
        <f t="shared" si="109"/>
        <v>0</v>
      </c>
      <c r="L329" s="25">
        <f t="shared" si="109"/>
        <v>0</v>
      </c>
      <c r="M329" s="25">
        <f t="shared" si="109"/>
        <v>0</v>
      </c>
      <c r="N329" s="25">
        <f t="shared" si="109"/>
        <v>0</v>
      </c>
      <c r="O329" s="24" t="s">
        <v>751</v>
      </c>
      <c r="P329" s="26" t="s">
        <v>31</v>
      </c>
      <c r="Q329" s="27" t="s">
        <v>752</v>
      </c>
    </row>
    <row r="330" spans="1:17" ht="60.75" x14ac:dyDescent="0.25">
      <c r="A330" s="22" t="s">
        <v>753</v>
      </c>
      <c r="B330" s="23" t="s">
        <v>754</v>
      </c>
      <c r="C330" s="24"/>
      <c r="D330" s="24"/>
      <c r="E330" s="28">
        <v>0</v>
      </c>
      <c r="F330" s="28">
        <v>0</v>
      </c>
      <c r="G330" s="28">
        <v>0</v>
      </c>
      <c r="H330" s="28">
        <v>0</v>
      </c>
      <c r="I330" s="28">
        <v>0</v>
      </c>
      <c r="J330" s="28">
        <v>0</v>
      </c>
      <c r="K330" s="28">
        <v>0</v>
      </c>
      <c r="L330" s="28">
        <v>0</v>
      </c>
      <c r="M330" s="28">
        <v>0</v>
      </c>
      <c r="N330" s="28">
        <v>0</v>
      </c>
      <c r="O330" s="24"/>
      <c r="P330" s="26"/>
      <c r="Q330" s="27"/>
    </row>
    <row r="331" spans="1:17" ht="141.75" x14ac:dyDescent="0.25">
      <c r="A331" s="22" t="s">
        <v>755</v>
      </c>
      <c r="B331" s="23" t="s">
        <v>756</v>
      </c>
      <c r="C331" s="24" t="s">
        <v>740</v>
      </c>
      <c r="D331" s="24" t="s">
        <v>737</v>
      </c>
      <c r="E331" s="25">
        <f t="shared" ref="E331:N331" si="110">SUM(E332:E332)</f>
        <v>0</v>
      </c>
      <c r="F331" s="25">
        <f t="shared" si="110"/>
        <v>0</v>
      </c>
      <c r="G331" s="25">
        <f t="shared" si="110"/>
        <v>0</v>
      </c>
      <c r="H331" s="25">
        <f t="shared" si="110"/>
        <v>0</v>
      </c>
      <c r="I331" s="25">
        <f t="shared" si="110"/>
        <v>0</v>
      </c>
      <c r="J331" s="25">
        <f t="shared" si="110"/>
        <v>0</v>
      </c>
      <c r="K331" s="25">
        <f t="shared" si="110"/>
        <v>0</v>
      </c>
      <c r="L331" s="25">
        <f t="shared" si="110"/>
        <v>0</v>
      </c>
      <c r="M331" s="25">
        <f t="shared" si="110"/>
        <v>0</v>
      </c>
      <c r="N331" s="25">
        <f t="shared" si="110"/>
        <v>0</v>
      </c>
      <c r="O331" s="24" t="s">
        <v>757</v>
      </c>
      <c r="P331" s="26" t="s">
        <v>31</v>
      </c>
      <c r="Q331" s="27" t="s">
        <v>38</v>
      </c>
    </row>
    <row r="332" spans="1:17" ht="101.25" x14ac:dyDescent="0.25">
      <c r="A332" s="22" t="s">
        <v>758</v>
      </c>
      <c r="B332" s="23" t="s">
        <v>759</v>
      </c>
      <c r="C332" s="24"/>
      <c r="D332" s="24"/>
      <c r="E332" s="28">
        <v>0</v>
      </c>
      <c r="F332" s="28">
        <v>0</v>
      </c>
      <c r="G332" s="28">
        <v>0</v>
      </c>
      <c r="H332" s="28">
        <v>0</v>
      </c>
      <c r="I332" s="28">
        <v>0</v>
      </c>
      <c r="J332" s="28">
        <v>0</v>
      </c>
      <c r="K332" s="28">
        <v>0</v>
      </c>
      <c r="L332" s="28">
        <v>0</v>
      </c>
      <c r="M332" s="28">
        <v>0</v>
      </c>
      <c r="N332" s="28">
        <v>0</v>
      </c>
      <c r="O332" s="24"/>
      <c r="P332" s="26"/>
      <c r="Q332" s="27"/>
    </row>
    <row r="333" spans="1:17" ht="60.75" x14ac:dyDescent="0.25">
      <c r="A333" s="22" t="s">
        <v>760</v>
      </c>
      <c r="B333" s="23" t="s">
        <v>761</v>
      </c>
      <c r="C333" s="24"/>
      <c r="D333" s="24" t="s">
        <v>737</v>
      </c>
      <c r="E333" s="25">
        <f>SUM(E334:E336)+4235</f>
        <v>4235</v>
      </c>
      <c r="F333" s="25">
        <f>SUM(F334:F336)+4235</f>
        <v>4235</v>
      </c>
      <c r="G333" s="25">
        <f t="shared" ref="G333:N333" si="111">SUM(G334:G336)</f>
        <v>0</v>
      </c>
      <c r="H333" s="25">
        <f t="shared" si="111"/>
        <v>0</v>
      </c>
      <c r="I333" s="25">
        <f t="shared" si="111"/>
        <v>0</v>
      </c>
      <c r="J333" s="25">
        <f t="shared" si="111"/>
        <v>0</v>
      </c>
      <c r="K333" s="25">
        <f t="shared" si="111"/>
        <v>0</v>
      </c>
      <c r="L333" s="25">
        <f t="shared" si="111"/>
        <v>0</v>
      </c>
      <c r="M333" s="25">
        <f t="shared" si="111"/>
        <v>0</v>
      </c>
      <c r="N333" s="25">
        <f t="shared" si="111"/>
        <v>0</v>
      </c>
      <c r="O333" s="24" t="s">
        <v>762</v>
      </c>
      <c r="P333" s="26" t="s">
        <v>31</v>
      </c>
      <c r="Q333" s="27" t="s">
        <v>74</v>
      </c>
    </row>
    <row r="334" spans="1:17" x14ac:dyDescent="0.25">
      <c r="A334" s="29"/>
      <c r="B334" s="30"/>
      <c r="C334" s="31"/>
      <c r="D334" s="31"/>
      <c r="E334" s="32">
        <v>0</v>
      </c>
      <c r="F334" s="32">
        <v>0</v>
      </c>
      <c r="G334" s="32">
        <v>0</v>
      </c>
      <c r="H334" s="32">
        <v>0</v>
      </c>
      <c r="I334" s="32">
        <v>0</v>
      </c>
      <c r="J334" s="32">
        <v>0</v>
      </c>
      <c r="K334" s="32">
        <v>0</v>
      </c>
      <c r="L334" s="32">
        <v>0</v>
      </c>
      <c r="M334" s="32">
        <v>0</v>
      </c>
      <c r="N334" s="32">
        <v>0</v>
      </c>
      <c r="O334" s="31" t="s">
        <v>763</v>
      </c>
      <c r="P334" s="33" t="s">
        <v>31</v>
      </c>
      <c r="Q334" s="34" t="s">
        <v>38</v>
      </c>
    </row>
    <row r="335" spans="1:17" ht="40.5" x14ac:dyDescent="0.25">
      <c r="A335" s="22" t="s">
        <v>764</v>
      </c>
      <c r="B335" s="23" t="s">
        <v>765</v>
      </c>
      <c r="C335" s="24"/>
      <c r="D335" s="24"/>
      <c r="E335" s="28">
        <v>0</v>
      </c>
      <c r="F335" s="28">
        <v>0</v>
      </c>
      <c r="G335" s="28">
        <v>0</v>
      </c>
      <c r="H335" s="28">
        <v>0</v>
      </c>
      <c r="I335" s="28">
        <v>0</v>
      </c>
      <c r="J335" s="28">
        <v>0</v>
      </c>
      <c r="K335" s="28">
        <v>0</v>
      </c>
      <c r="L335" s="28">
        <v>0</v>
      </c>
      <c r="M335" s="28">
        <v>0</v>
      </c>
      <c r="N335" s="28">
        <v>0</v>
      </c>
      <c r="O335" s="24"/>
      <c r="P335" s="26"/>
      <c r="Q335" s="27"/>
    </row>
    <row r="336" spans="1:17" ht="101.25" x14ac:dyDescent="0.25">
      <c r="A336" s="22" t="s">
        <v>766</v>
      </c>
      <c r="B336" s="23" t="s">
        <v>767</v>
      </c>
      <c r="C336" s="24"/>
      <c r="D336" s="24"/>
      <c r="E336" s="28">
        <v>0</v>
      </c>
      <c r="F336" s="28">
        <v>0</v>
      </c>
      <c r="G336" s="28">
        <v>0</v>
      </c>
      <c r="H336" s="28">
        <v>0</v>
      </c>
      <c r="I336" s="28">
        <v>0</v>
      </c>
      <c r="J336" s="28">
        <v>0</v>
      </c>
      <c r="K336" s="28">
        <v>0</v>
      </c>
      <c r="L336" s="28">
        <v>0</v>
      </c>
      <c r="M336" s="28">
        <v>0</v>
      </c>
      <c r="N336" s="28">
        <v>0</v>
      </c>
      <c r="O336" s="24"/>
      <c r="P336" s="26"/>
      <c r="Q336" s="27"/>
    </row>
    <row r="337" spans="1:17" ht="162" x14ac:dyDescent="0.25">
      <c r="A337" s="22" t="s">
        <v>768</v>
      </c>
      <c r="B337" s="23" t="s">
        <v>769</v>
      </c>
      <c r="C337" s="24" t="s">
        <v>740</v>
      </c>
      <c r="D337" s="24" t="s">
        <v>737</v>
      </c>
      <c r="E337" s="25">
        <f>SUM(E338:E339)+5000</f>
        <v>5000</v>
      </c>
      <c r="F337" s="25">
        <f>SUM(F338:F339)+5000</f>
        <v>5000</v>
      </c>
      <c r="G337" s="25">
        <f t="shared" ref="G337:N337" si="112">SUM(G338:G339)</f>
        <v>0</v>
      </c>
      <c r="H337" s="25">
        <f t="shared" si="112"/>
        <v>0</v>
      </c>
      <c r="I337" s="25">
        <f t="shared" si="112"/>
        <v>0</v>
      </c>
      <c r="J337" s="25">
        <f t="shared" si="112"/>
        <v>0</v>
      </c>
      <c r="K337" s="25">
        <f t="shared" si="112"/>
        <v>0</v>
      </c>
      <c r="L337" s="25">
        <f t="shared" si="112"/>
        <v>0</v>
      </c>
      <c r="M337" s="25">
        <f t="shared" si="112"/>
        <v>0</v>
      </c>
      <c r="N337" s="25">
        <f t="shared" si="112"/>
        <v>0</v>
      </c>
      <c r="O337" s="24" t="s">
        <v>770</v>
      </c>
      <c r="P337" s="26" t="s">
        <v>31</v>
      </c>
      <c r="Q337" s="27" t="s">
        <v>44</v>
      </c>
    </row>
    <row r="338" spans="1:17" ht="60.75" x14ac:dyDescent="0.25">
      <c r="A338" s="22" t="s">
        <v>771</v>
      </c>
      <c r="B338" s="23" t="s">
        <v>772</v>
      </c>
      <c r="C338" s="24"/>
      <c r="D338" s="24"/>
      <c r="E338" s="28">
        <v>0</v>
      </c>
      <c r="F338" s="28">
        <v>0</v>
      </c>
      <c r="G338" s="28">
        <v>0</v>
      </c>
      <c r="H338" s="28">
        <v>0</v>
      </c>
      <c r="I338" s="28">
        <v>0</v>
      </c>
      <c r="J338" s="28">
        <v>0</v>
      </c>
      <c r="K338" s="28">
        <v>0</v>
      </c>
      <c r="L338" s="28">
        <v>0</v>
      </c>
      <c r="M338" s="28">
        <v>0</v>
      </c>
      <c r="N338" s="28">
        <v>0</v>
      </c>
      <c r="O338" s="24"/>
      <c r="P338" s="26"/>
      <c r="Q338" s="27"/>
    </row>
    <row r="339" spans="1:17" ht="60.75" x14ac:dyDescent="0.25">
      <c r="A339" s="22" t="s">
        <v>773</v>
      </c>
      <c r="B339" s="23" t="s">
        <v>774</v>
      </c>
      <c r="C339" s="24"/>
      <c r="D339" s="24"/>
      <c r="E339" s="28">
        <v>0</v>
      </c>
      <c r="F339" s="28">
        <v>0</v>
      </c>
      <c r="G339" s="28">
        <v>0</v>
      </c>
      <c r="H339" s="28">
        <v>0</v>
      </c>
      <c r="I339" s="28">
        <v>0</v>
      </c>
      <c r="J339" s="28">
        <v>0</v>
      </c>
      <c r="K339" s="28">
        <v>0</v>
      </c>
      <c r="L339" s="28">
        <v>0</v>
      </c>
      <c r="M339" s="28">
        <v>0</v>
      </c>
      <c r="N339" s="28">
        <v>0</v>
      </c>
      <c r="O339" s="24"/>
      <c r="P339" s="26"/>
      <c r="Q339" s="27"/>
    </row>
    <row r="340" spans="1:17" ht="81" x14ac:dyDescent="0.25">
      <c r="A340" s="22" t="s">
        <v>775</v>
      </c>
      <c r="B340" s="23" t="s">
        <v>776</v>
      </c>
      <c r="C340" s="24" t="s">
        <v>740</v>
      </c>
      <c r="D340" s="24" t="s">
        <v>737</v>
      </c>
      <c r="E340" s="25">
        <f t="shared" ref="E340:N340" si="113">SUM(E341:E341)</f>
        <v>0</v>
      </c>
      <c r="F340" s="25">
        <f t="shared" si="113"/>
        <v>0</v>
      </c>
      <c r="G340" s="25">
        <f t="shared" si="113"/>
        <v>0</v>
      </c>
      <c r="H340" s="25">
        <f t="shared" si="113"/>
        <v>0</v>
      </c>
      <c r="I340" s="25">
        <f t="shared" si="113"/>
        <v>0</v>
      </c>
      <c r="J340" s="25">
        <f t="shared" si="113"/>
        <v>0</v>
      </c>
      <c r="K340" s="25">
        <f t="shared" si="113"/>
        <v>0</v>
      </c>
      <c r="L340" s="25">
        <f t="shared" si="113"/>
        <v>0</v>
      </c>
      <c r="M340" s="25">
        <f t="shared" si="113"/>
        <v>0</v>
      </c>
      <c r="N340" s="25">
        <f t="shared" si="113"/>
        <v>0</v>
      </c>
      <c r="O340" s="24" t="s">
        <v>777</v>
      </c>
      <c r="P340" s="26" t="s">
        <v>31</v>
      </c>
      <c r="Q340" s="27" t="s">
        <v>74</v>
      </c>
    </row>
    <row r="341" spans="1:17" ht="60.75" x14ac:dyDescent="0.25">
      <c r="A341" s="22" t="s">
        <v>778</v>
      </c>
      <c r="B341" s="23" t="s">
        <v>779</v>
      </c>
      <c r="C341" s="24"/>
      <c r="D341" s="24"/>
      <c r="E341" s="28">
        <v>0</v>
      </c>
      <c r="F341" s="28">
        <v>0</v>
      </c>
      <c r="G341" s="28">
        <v>0</v>
      </c>
      <c r="H341" s="28">
        <v>0</v>
      </c>
      <c r="I341" s="28">
        <v>0</v>
      </c>
      <c r="J341" s="28">
        <v>0</v>
      </c>
      <c r="K341" s="28">
        <v>0</v>
      </c>
      <c r="L341" s="28">
        <v>0</v>
      </c>
      <c r="M341" s="28">
        <v>0</v>
      </c>
      <c r="N341" s="28">
        <v>0</v>
      </c>
      <c r="O341" s="24"/>
      <c r="P341" s="26"/>
      <c r="Q341" s="27"/>
    </row>
    <row r="342" spans="1:17" ht="40.5" x14ac:dyDescent="0.25">
      <c r="A342" s="4" t="s">
        <v>780</v>
      </c>
      <c r="B342" s="5" t="s">
        <v>781</v>
      </c>
      <c r="C342" s="6" t="s">
        <v>179</v>
      </c>
      <c r="D342" s="6" t="s">
        <v>782</v>
      </c>
      <c r="E342" s="7">
        <f t="shared" ref="E342:N342" si="114">E343+E391+E406+E425+E432+E439+E451+E463</f>
        <v>4203401</v>
      </c>
      <c r="F342" s="7">
        <f t="shared" si="114"/>
        <v>3634363</v>
      </c>
      <c r="G342" s="7">
        <f t="shared" si="114"/>
        <v>0</v>
      </c>
      <c r="H342" s="7">
        <f t="shared" si="114"/>
        <v>81486</v>
      </c>
      <c r="I342" s="7">
        <f t="shared" si="114"/>
        <v>321000</v>
      </c>
      <c r="J342" s="7">
        <f t="shared" si="114"/>
        <v>0</v>
      </c>
      <c r="K342" s="7">
        <f t="shared" si="114"/>
        <v>135995</v>
      </c>
      <c r="L342" s="7">
        <f t="shared" si="114"/>
        <v>5757</v>
      </c>
      <c r="M342" s="7">
        <f t="shared" si="114"/>
        <v>0</v>
      </c>
      <c r="N342" s="7">
        <f t="shared" si="114"/>
        <v>24800</v>
      </c>
      <c r="O342" s="6"/>
      <c r="P342" s="8"/>
      <c r="Q342" s="9"/>
    </row>
    <row r="343" spans="1:17" ht="40.5" x14ac:dyDescent="0.25">
      <c r="A343" s="10" t="s">
        <v>783</v>
      </c>
      <c r="B343" s="11" t="s">
        <v>784</v>
      </c>
      <c r="C343" s="12"/>
      <c r="D343" s="12"/>
      <c r="E343" s="13">
        <f t="shared" ref="E343:N343" si="115">E344+E367+E372+E379+E384</f>
        <v>1539604</v>
      </c>
      <c r="F343" s="13">
        <f t="shared" si="115"/>
        <v>1452361</v>
      </c>
      <c r="G343" s="13">
        <f t="shared" si="115"/>
        <v>0</v>
      </c>
      <c r="H343" s="13">
        <f t="shared" si="115"/>
        <v>81486</v>
      </c>
      <c r="I343" s="13">
        <f t="shared" si="115"/>
        <v>0</v>
      </c>
      <c r="J343" s="13">
        <f t="shared" si="115"/>
        <v>0</v>
      </c>
      <c r="K343" s="13">
        <f t="shared" si="115"/>
        <v>0</v>
      </c>
      <c r="L343" s="13">
        <f t="shared" si="115"/>
        <v>5757</v>
      </c>
      <c r="M343" s="13">
        <f t="shared" si="115"/>
        <v>0</v>
      </c>
      <c r="N343" s="13">
        <f t="shared" si="115"/>
        <v>0</v>
      </c>
      <c r="O343" s="12"/>
      <c r="P343" s="14"/>
      <c r="Q343" s="15"/>
    </row>
    <row r="344" spans="1:17" ht="60.75" x14ac:dyDescent="0.25">
      <c r="A344" s="16" t="s">
        <v>785</v>
      </c>
      <c r="B344" s="17" t="s">
        <v>786</v>
      </c>
      <c r="C344" s="18"/>
      <c r="D344" s="18"/>
      <c r="E344" s="19">
        <f t="shared" ref="E344:N344" si="116">SUM(E345:E345)</f>
        <v>81486</v>
      </c>
      <c r="F344" s="19">
        <f t="shared" si="116"/>
        <v>0</v>
      </c>
      <c r="G344" s="19">
        <f t="shared" si="116"/>
        <v>0</v>
      </c>
      <c r="H344" s="19">
        <f t="shared" si="116"/>
        <v>81486</v>
      </c>
      <c r="I344" s="19">
        <f t="shared" si="116"/>
        <v>0</v>
      </c>
      <c r="J344" s="19">
        <f t="shared" si="116"/>
        <v>0</v>
      </c>
      <c r="K344" s="19">
        <f t="shared" si="116"/>
        <v>0</v>
      </c>
      <c r="L344" s="19">
        <f t="shared" si="116"/>
        <v>0</v>
      </c>
      <c r="M344" s="19">
        <f t="shared" si="116"/>
        <v>0</v>
      </c>
      <c r="N344" s="19">
        <f t="shared" si="116"/>
        <v>0</v>
      </c>
      <c r="O344" s="18"/>
      <c r="P344" s="20"/>
      <c r="Q344" s="21"/>
    </row>
    <row r="345" spans="1:17" ht="40.5" x14ac:dyDescent="0.25">
      <c r="A345" s="22" t="s">
        <v>787</v>
      </c>
      <c r="B345" s="23" t="s">
        <v>788</v>
      </c>
      <c r="C345" s="24" t="s">
        <v>179</v>
      </c>
      <c r="D345" s="24" t="s">
        <v>789</v>
      </c>
      <c r="E345" s="25">
        <f>SUM(E346:E366)+81486</f>
        <v>81486</v>
      </c>
      <c r="F345" s="25">
        <f>SUM(F346:F366)</f>
        <v>0</v>
      </c>
      <c r="G345" s="25">
        <f>SUM(G346:G366)</f>
        <v>0</v>
      </c>
      <c r="H345" s="25">
        <f>SUM(H346:H366)+81486</f>
        <v>81486</v>
      </c>
      <c r="I345" s="25">
        <f t="shared" ref="I345:N345" si="117">SUM(I346:I366)</f>
        <v>0</v>
      </c>
      <c r="J345" s="25">
        <f t="shared" si="117"/>
        <v>0</v>
      </c>
      <c r="K345" s="25">
        <f t="shared" si="117"/>
        <v>0</v>
      </c>
      <c r="L345" s="25">
        <f t="shared" si="117"/>
        <v>0</v>
      </c>
      <c r="M345" s="25">
        <f t="shared" si="117"/>
        <v>0</v>
      </c>
      <c r="N345" s="25">
        <f t="shared" si="117"/>
        <v>0</v>
      </c>
      <c r="O345" s="24" t="s">
        <v>790</v>
      </c>
      <c r="P345" s="26" t="s">
        <v>31</v>
      </c>
      <c r="Q345" s="27" t="s">
        <v>294</v>
      </c>
    </row>
    <row r="346" spans="1:17" ht="40.5" x14ac:dyDescent="0.25">
      <c r="A346" s="29"/>
      <c r="B346" s="30"/>
      <c r="C346" s="31"/>
      <c r="D346" s="31"/>
      <c r="E346" s="32">
        <v>0</v>
      </c>
      <c r="F346" s="32">
        <v>0</v>
      </c>
      <c r="G346" s="32">
        <v>0</v>
      </c>
      <c r="H346" s="32">
        <v>0</v>
      </c>
      <c r="I346" s="32">
        <v>0</v>
      </c>
      <c r="J346" s="32">
        <v>0</v>
      </c>
      <c r="K346" s="32">
        <v>0</v>
      </c>
      <c r="L346" s="32">
        <v>0</v>
      </c>
      <c r="M346" s="32">
        <v>0</v>
      </c>
      <c r="N346" s="32">
        <v>0</v>
      </c>
      <c r="O346" s="31" t="s">
        <v>791</v>
      </c>
      <c r="P346" s="33" t="s">
        <v>31</v>
      </c>
      <c r="Q346" s="34" t="s">
        <v>38</v>
      </c>
    </row>
    <row r="347" spans="1:17" ht="40.5" x14ac:dyDescent="0.25">
      <c r="A347" s="29"/>
      <c r="B347" s="30"/>
      <c r="C347" s="31"/>
      <c r="D347" s="31"/>
      <c r="E347" s="32">
        <v>0</v>
      </c>
      <c r="F347" s="32">
        <v>0</v>
      </c>
      <c r="G347" s="32">
        <v>0</v>
      </c>
      <c r="H347" s="32">
        <v>0</v>
      </c>
      <c r="I347" s="32">
        <v>0</v>
      </c>
      <c r="J347" s="32">
        <v>0</v>
      </c>
      <c r="K347" s="32">
        <v>0</v>
      </c>
      <c r="L347" s="32">
        <v>0</v>
      </c>
      <c r="M347" s="32">
        <v>0</v>
      </c>
      <c r="N347" s="32">
        <v>0</v>
      </c>
      <c r="O347" s="31" t="s">
        <v>792</v>
      </c>
      <c r="P347" s="33" t="s">
        <v>31</v>
      </c>
      <c r="Q347" s="34" t="s">
        <v>38</v>
      </c>
    </row>
    <row r="348" spans="1:17" x14ac:dyDescent="0.25">
      <c r="A348" s="29"/>
      <c r="B348" s="30"/>
      <c r="C348" s="31"/>
      <c r="D348" s="31"/>
      <c r="E348" s="32">
        <v>0</v>
      </c>
      <c r="F348" s="32">
        <v>0</v>
      </c>
      <c r="G348" s="32">
        <v>0</v>
      </c>
      <c r="H348" s="32">
        <v>0</v>
      </c>
      <c r="I348" s="32">
        <v>0</v>
      </c>
      <c r="J348" s="32">
        <v>0</v>
      </c>
      <c r="K348" s="32">
        <v>0</v>
      </c>
      <c r="L348" s="32">
        <v>0</v>
      </c>
      <c r="M348" s="32">
        <v>0</v>
      </c>
      <c r="N348" s="32">
        <v>0</v>
      </c>
      <c r="O348" s="31" t="s">
        <v>793</v>
      </c>
      <c r="P348" s="33" t="s">
        <v>31</v>
      </c>
      <c r="Q348" s="34" t="s">
        <v>171</v>
      </c>
    </row>
    <row r="349" spans="1:17" ht="40.5" x14ac:dyDescent="0.25">
      <c r="A349" s="29"/>
      <c r="B349" s="30"/>
      <c r="C349" s="31"/>
      <c r="D349" s="31"/>
      <c r="E349" s="32">
        <v>0</v>
      </c>
      <c r="F349" s="32">
        <v>0</v>
      </c>
      <c r="G349" s="32">
        <v>0</v>
      </c>
      <c r="H349" s="32">
        <v>0</v>
      </c>
      <c r="I349" s="32">
        <v>0</v>
      </c>
      <c r="J349" s="32">
        <v>0</v>
      </c>
      <c r="K349" s="32">
        <v>0</v>
      </c>
      <c r="L349" s="32">
        <v>0</v>
      </c>
      <c r="M349" s="32">
        <v>0</v>
      </c>
      <c r="N349" s="32">
        <v>0</v>
      </c>
      <c r="O349" s="31" t="s">
        <v>794</v>
      </c>
      <c r="P349" s="33" t="s">
        <v>31</v>
      </c>
      <c r="Q349" s="34" t="s">
        <v>98</v>
      </c>
    </row>
    <row r="350" spans="1:17" x14ac:dyDescent="0.25">
      <c r="A350" s="29"/>
      <c r="B350" s="30"/>
      <c r="C350" s="31"/>
      <c r="D350" s="31"/>
      <c r="E350" s="32">
        <v>0</v>
      </c>
      <c r="F350" s="32">
        <v>0</v>
      </c>
      <c r="G350" s="32">
        <v>0</v>
      </c>
      <c r="H350" s="32">
        <v>0</v>
      </c>
      <c r="I350" s="32">
        <v>0</v>
      </c>
      <c r="J350" s="32">
        <v>0</v>
      </c>
      <c r="K350" s="32">
        <v>0</v>
      </c>
      <c r="L350" s="32">
        <v>0</v>
      </c>
      <c r="M350" s="32">
        <v>0</v>
      </c>
      <c r="N350" s="32">
        <v>0</v>
      </c>
      <c r="O350" s="31" t="s">
        <v>795</v>
      </c>
      <c r="P350" s="33" t="s">
        <v>796</v>
      </c>
      <c r="Q350" s="34" t="s">
        <v>294</v>
      </c>
    </row>
    <row r="351" spans="1:17" ht="40.5" x14ac:dyDescent="0.25">
      <c r="A351" s="29"/>
      <c r="B351" s="30"/>
      <c r="C351" s="31"/>
      <c r="D351" s="31"/>
      <c r="E351" s="32">
        <v>0</v>
      </c>
      <c r="F351" s="32">
        <v>0</v>
      </c>
      <c r="G351" s="32">
        <v>0</v>
      </c>
      <c r="H351" s="32">
        <v>0</v>
      </c>
      <c r="I351" s="32">
        <v>0</v>
      </c>
      <c r="J351" s="32">
        <v>0</v>
      </c>
      <c r="K351" s="32">
        <v>0</v>
      </c>
      <c r="L351" s="32">
        <v>0</v>
      </c>
      <c r="M351" s="32">
        <v>0</v>
      </c>
      <c r="N351" s="32">
        <v>0</v>
      </c>
      <c r="O351" s="31" t="s">
        <v>797</v>
      </c>
      <c r="P351" s="33" t="s">
        <v>796</v>
      </c>
      <c r="Q351" s="34" t="s">
        <v>294</v>
      </c>
    </row>
    <row r="352" spans="1:17" ht="40.5" x14ac:dyDescent="0.25">
      <c r="A352" s="29"/>
      <c r="B352" s="30"/>
      <c r="C352" s="31"/>
      <c r="D352" s="31"/>
      <c r="E352" s="32">
        <v>0</v>
      </c>
      <c r="F352" s="32">
        <v>0</v>
      </c>
      <c r="G352" s="32">
        <v>0</v>
      </c>
      <c r="H352" s="32">
        <v>0</v>
      </c>
      <c r="I352" s="32">
        <v>0</v>
      </c>
      <c r="J352" s="32">
        <v>0</v>
      </c>
      <c r="K352" s="32">
        <v>0</v>
      </c>
      <c r="L352" s="32">
        <v>0</v>
      </c>
      <c r="M352" s="32">
        <v>0</v>
      </c>
      <c r="N352" s="32">
        <v>0</v>
      </c>
      <c r="O352" s="31" t="s">
        <v>798</v>
      </c>
      <c r="P352" s="33" t="s">
        <v>31</v>
      </c>
      <c r="Q352" s="34" t="s">
        <v>799</v>
      </c>
    </row>
    <row r="353" spans="1:17" ht="60.75" x14ac:dyDescent="0.25">
      <c r="A353" s="29"/>
      <c r="B353" s="30"/>
      <c r="C353" s="31"/>
      <c r="D353" s="31"/>
      <c r="E353" s="32">
        <v>0</v>
      </c>
      <c r="F353" s="32">
        <v>0</v>
      </c>
      <c r="G353" s="32">
        <v>0</v>
      </c>
      <c r="H353" s="32">
        <v>0</v>
      </c>
      <c r="I353" s="32">
        <v>0</v>
      </c>
      <c r="J353" s="32">
        <v>0</v>
      </c>
      <c r="K353" s="32">
        <v>0</v>
      </c>
      <c r="L353" s="32">
        <v>0</v>
      </c>
      <c r="M353" s="32">
        <v>0</v>
      </c>
      <c r="N353" s="32">
        <v>0</v>
      </c>
      <c r="O353" s="31" t="s">
        <v>800</v>
      </c>
      <c r="P353" s="33" t="s">
        <v>31</v>
      </c>
      <c r="Q353" s="34" t="s">
        <v>171</v>
      </c>
    </row>
    <row r="354" spans="1:17" ht="40.5" x14ac:dyDescent="0.25">
      <c r="A354" s="29"/>
      <c r="B354" s="30"/>
      <c r="C354" s="31"/>
      <c r="D354" s="31"/>
      <c r="E354" s="32">
        <v>0</v>
      </c>
      <c r="F354" s="32">
        <v>0</v>
      </c>
      <c r="G354" s="32">
        <v>0</v>
      </c>
      <c r="H354" s="32">
        <v>0</v>
      </c>
      <c r="I354" s="32">
        <v>0</v>
      </c>
      <c r="J354" s="32">
        <v>0</v>
      </c>
      <c r="K354" s="32">
        <v>0</v>
      </c>
      <c r="L354" s="32">
        <v>0</v>
      </c>
      <c r="M354" s="32">
        <v>0</v>
      </c>
      <c r="N354" s="32">
        <v>0</v>
      </c>
      <c r="O354" s="31" t="s">
        <v>801</v>
      </c>
      <c r="P354" s="33" t="s">
        <v>31</v>
      </c>
      <c r="Q354" s="34" t="s">
        <v>98</v>
      </c>
    </row>
    <row r="355" spans="1:17" x14ac:dyDescent="0.25">
      <c r="A355" s="29"/>
      <c r="B355" s="30"/>
      <c r="C355" s="31"/>
      <c r="D355" s="31"/>
      <c r="E355" s="32">
        <v>0</v>
      </c>
      <c r="F355" s="32">
        <v>0</v>
      </c>
      <c r="G355" s="32">
        <v>0</v>
      </c>
      <c r="H355" s="32">
        <v>0</v>
      </c>
      <c r="I355" s="32">
        <v>0</v>
      </c>
      <c r="J355" s="32">
        <v>0</v>
      </c>
      <c r="K355" s="32">
        <v>0</v>
      </c>
      <c r="L355" s="32">
        <v>0</v>
      </c>
      <c r="M355" s="32">
        <v>0</v>
      </c>
      <c r="N355" s="32">
        <v>0</v>
      </c>
      <c r="O355" s="31" t="s">
        <v>802</v>
      </c>
      <c r="P355" s="33" t="s">
        <v>31</v>
      </c>
      <c r="Q355" s="34" t="s">
        <v>62</v>
      </c>
    </row>
    <row r="356" spans="1:17" ht="40.5" x14ac:dyDescent="0.25">
      <c r="A356" s="22" t="s">
        <v>803</v>
      </c>
      <c r="B356" s="23" t="s">
        <v>804</v>
      </c>
      <c r="C356" s="24"/>
      <c r="D356" s="24"/>
      <c r="E356" s="28">
        <v>0</v>
      </c>
      <c r="F356" s="28">
        <v>0</v>
      </c>
      <c r="G356" s="28">
        <v>0</v>
      </c>
      <c r="H356" s="28">
        <v>0</v>
      </c>
      <c r="I356" s="28">
        <v>0</v>
      </c>
      <c r="J356" s="28">
        <v>0</v>
      </c>
      <c r="K356" s="28">
        <v>0</v>
      </c>
      <c r="L356" s="28">
        <v>0</v>
      </c>
      <c r="M356" s="28">
        <v>0</v>
      </c>
      <c r="N356" s="28">
        <v>0</v>
      </c>
      <c r="O356" s="24"/>
      <c r="P356" s="26"/>
      <c r="Q356" s="27"/>
    </row>
    <row r="357" spans="1:17" ht="40.5" x14ac:dyDescent="0.25">
      <c r="A357" s="22" t="s">
        <v>805</v>
      </c>
      <c r="B357" s="23" t="s">
        <v>806</v>
      </c>
      <c r="C357" s="24"/>
      <c r="D357" s="24"/>
      <c r="E357" s="28">
        <v>0</v>
      </c>
      <c r="F357" s="28">
        <v>0</v>
      </c>
      <c r="G357" s="28">
        <v>0</v>
      </c>
      <c r="H357" s="28">
        <v>0</v>
      </c>
      <c r="I357" s="28">
        <v>0</v>
      </c>
      <c r="J357" s="28">
        <v>0</v>
      </c>
      <c r="K357" s="28">
        <v>0</v>
      </c>
      <c r="L357" s="28">
        <v>0</v>
      </c>
      <c r="M357" s="28">
        <v>0</v>
      </c>
      <c r="N357" s="28">
        <v>0</v>
      </c>
      <c r="O357" s="24"/>
      <c r="P357" s="26"/>
      <c r="Q357" s="27"/>
    </row>
    <row r="358" spans="1:17" ht="40.5" x14ac:dyDescent="0.25">
      <c r="A358" s="22" t="s">
        <v>807</v>
      </c>
      <c r="B358" s="23" t="s">
        <v>808</v>
      </c>
      <c r="C358" s="24"/>
      <c r="D358" s="24"/>
      <c r="E358" s="28">
        <v>0</v>
      </c>
      <c r="F358" s="28">
        <v>0</v>
      </c>
      <c r="G358" s="28">
        <v>0</v>
      </c>
      <c r="H358" s="28">
        <v>0</v>
      </c>
      <c r="I358" s="28">
        <v>0</v>
      </c>
      <c r="J358" s="28">
        <v>0</v>
      </c>
      <c r="K358" s="28">
        <v>0</v>
      </c>
      <c r="L358" s="28">
        <v>0</v>
      </c>
      <c r="M358" s="28">
        <v>0</v>
      </c>
      <c r="N358" s="28">
        <v>0</v>
      </c>
      <c r="O358" s="24"/>
      <c r="P358" s="26"/>
      <c r="Q358" s="27"/>
    </row>
    <row r="359" spans="1:17" ht="60.75" x14ac:dyDescent="0.25">
      <c r="A359" s="22" t="s">
        <v>809</v>
      </c>
      <c r="B359" s="23" t="s">
        <v>810</v>
      </c>
      <c r="C359" s="24"/>
      <c r="D359" s="24"/>
      <c r="E359" s="28">
        <v>0</v>
      </c>
      <c r="F359" s="28">
        <v>0</v>
      </c>
      <c r="G359" s="28">
        <v>0</v>
      </c>
      <c r="H359" s="28">
        <v>0</v>
      </c>
      <c r="I359" s="28">
        <v>0</v>
      </c>
      <c r="J359" s="28">
        <v>0</v>
      </c>
      <c r="K359" s="28">
        <v>0</v>
      </c>
      <c r="L359" s="28">
        <v>0</v>
      </c>
      <c r="M359" s="28">
        <v>0</v>
      </c>
      <c r="N359" s="28">
        <v>0</v>
      </c>
      <c r="O359" s="24"/>
      <c r="P359" s="26"/>
      <c r="Q359" s="27"/>
    </row>
    <row r="360" spans="1:17" ht="40.5" x14ac:dyDescent="0.25">
      <c r="A360" s="22" t="s">
        <v>811</v>
      </c>
      <c r="B360" s="23" t="s">
        <v>812</v>
      </c>
      <c r="C360" s="24"/>
      <c r="D360" s="24"/>
      <c r="E360" s="28">
        <v>0</v>
      </c>
      <c r="F360" s="28">
        <v>0</v>
      </c>
      <c r="G360" s="28">
        <v>0</v>
      </c>
      <c r="H360" s="28">
        <v>0</v>
      </c>
      <c r="I360" s="28">
        <v>0</v>
      </c>
      <c r="J360" s="28">
        <v>0</v>
      </c>
      <c r="K360" s="28">
        <v>0</v>
      </c>
      <c r="L360" s="28">
        <v>0</v>
      </c>
      <c r="M360" s="28">
        <v>0</v>
      </c>
      <c r="N360" s="28">
        <v>0</v>
      </c>
      <c r="O360" s="24"/>
      <c r="P360" s="26"/>
      <c r="Q360" s="27"/>
    </row>
    <row r="361" spans="1:17" ht="60.75" x14ac:dyDescent="0.25">
      <c r="A361" s="22" t="s">
        <v>813</v>
      </c>
      <c r="B361" s="23" t="s">
        <v>814</v>
      </c>
      <c r="C361" s="24"/>
      <c r="D361" s="24"/>
      <c r="E361" s="28">
        <v>0</v>
      </c>
      <c r="F361" s="28">
        <v>0</v>
      </c>
      <c r="G361" s="28">
        <v>0</v>
      </c>
      <c r="H361" s="28">
        <v>0</v>
      </c>
      <c r="I361" s="28">
        <v>0</v>
      </c>
      <c r="J361" s="28">
        <v>0</v>
      </c>
      <c r="K361" s="28">
        <v>0</v>
      </c>
      <c r="L361" s="28">
        <v>0</v>
      </c>
      <c r="M361" s="28">
        <v>0</v>
      </c>
      <c r="N361" s="28">
        <v>0</v>
      </c>
      <c r="O361" s="24"/>
      <c r="P361" s="26"/>
      <c r="Q361" s="27"/>
    </row>
    <row r="362" spans="1:17" ht="81" x14ac:dyDescent="0.25">
      <c r="A362" s="22" t="s">
        <v>815</v>
      </c>
      <c r="B362" s="23" t="s">
        <v>816</v>
      </c>
      <c r="C362" s="24"/>
      <c r="D362" s="24"/>
      <c r="E362" s="28">
        <v>0</v>
      </c>
      <c r="F362" s="28">
        <v>0</v>
      </c>
      <c r="G362" s="28">
        <v>0</v>
      </c>
      <c r="H362" s="28">
        <v>0</v>
      </c>
      <c r="I362" s="28">
        <v>0</v>
      </c>
      <c r="J362" s="28">
        <v>0</v>
      </c>
      <c r="K362" s="28">
        <v>0</v>
      </c>
      <c r="L362" s="28">
        <v>0</v>
      </c>
      <c r="M362" s="28">
        <v>0</v>
      </c>
      <c r="N362" s="28">
        <v>0</v>
      </c>
      <c r="O362" s="24"/>
      <c r="P362" s="26"/>
      <c r="Q362" s="27"/>
    </row>
    <row r="363" spans="1:17" ht="40.5" x14ac:dyDescent="0.25">
      <c r="A363" s="22" t="s">
        <v>817</v>
      </c>
      <c r="B363" s="23" t="s">
        <v>818</v>
      </c>
      <c r="C363" s="24"/>
      <c r="D363" s="24"/>
      <c r="E363" s="28">
        <v>0</v>
      </c>
      <c r="F363" s="28">
        <v>0</v>
      </c>
      <c r="G363" s="28">
        <v>0</v>
      </c>
      <c r="H363" s="28">
        <v>0</v>
      </c>
      <c r="I363" s="28">
        <v>0</v>
      </c>
      <c r="J363" s="28">
        <v>0</v>
      </c>
      <c r="K363" s="28">
        <v>0</v>
      </c>
      <c r="L363" s="28">
        <v>0</v>
      </c>
      <c r="M363" s="28">
        <v>0</v>
      </c>
      <c r="N363" s="28">
        <v>0</v>
      </c>
      <c r="O363" s="24"/>
      <c r="P363" s="26"/>
      <c r="Q363" s="27"/>
    </row>
    <row r="364" spans="1:17" ht="40.5" x14ac:dyDescent="0.25">
      <c r="A364" s="22" t="s">
        <v>819</v>
      </c>
      <c r="B364" s="23" t="s">
        <v>820</v>
      </c>
      <c r="C364" s="24"/>
      <c r="D364" s="24"/>
      <c r="E364" s="28">
        <v>0</v>
      </c>
      <c r="F364" s="28">
        <v>0</v>
      </c>
      <c r="G364" s="28">
        <v>0</v>
      </c>
      <c r="H364" s="28">
        <v>0</v>
      </c>
      <c r="I364" s="28">
        <v>0</v>
      </c>
      <c r="J364" s="28">
        <v>0</v>
      </c>
      <c r="K364" s="28">
        <v>0</v>
      </c>
      <c r="L364" s="28">
        <v>0</v>
      </c>
      <c r="M364" s="28">
        <v>0</v>
      </c>
      <c r="N364" s="28">
        <v>0</v>
      </c>
      <c r="O364" s="24"/>
      <c r="P364" s="26"/>
      <c r="Q364" s="27"/>
    </row>
    <row r="365" spans="1:17" ht="40.5" x14ac:dyDescent="0.25">
      <c r="A365" s="22" t="s">
        <v>821</v>
      </c>
      <c r="B365" s="23" t="s">
        <v>822</v>
      </c>
      <c r="C365" s="24"/>
      <c r="D365" s="24"/>
      <c r="E365" s="28">
        <v>0</v>
      </c>
      <c r="F365" s="28">
        <v>0</v>
      </c>
      <c r="G365" s="28">
        <v>0</v>
      </c>
      <c r="H365" s="28">
        <v>0</v>
      </c>
      <c r="I365" s="28">
        <v>0</v>
      </c>
      <c r="J365" s="28">
        <v>0</v>
      </c>
      <c r="K365" s="28">
        <v>0</v>
      </c>
      <c r="L365" s="28">
        <v>0</v>
      </c>
      <c r="M365" s="28">
        <v>0</v>
      </c>
      <c r="N365" s="28">
        <v>0</v>
      </c>
      <c r="O365" s="24"/>
      <c r="P365" s="26"/>
      <c r="Q365" s="27"/>
    </row>
    <row r="366" spans="1:17" ht="40.5" x14ac:dyDescent="0.25">
      <c r="A366" s="22" t="s">
        <v>823</v>
      </c>
      <c r="B366" s="23" t="s">
        <v>824</v>
      </c>
      <c r="C366" s="24"/>
      <c r="D366" s="24"/>
      <c r="E366" s="28">
        <v>0</v>
      </c>
      <c r="F366" s="28">
        <v>0</v>
      </c>
      <c r="G366" s="28">
        <v>0</v>
      </c>
      <c r="H366" s="28">
        <v>0</v>
      </c>
      <c r="I366" s="28">
        <v>0</v>
      </c>
      <c r="J366" s="28">
        <v>0</v>
      </c>
      <c r="K366" s="28">
        <v>0</v>
      </c>
      <c r="L366" s="28">
        <v>0</v>
      </c>
      <c r="M366" s="28">
        <v>0</v>
      </c>
      <c r="N366" s="28">
        <v>0</v>
      </c>
      <c r="O366" s="24"/>
      <c r="P366" s="26"/>
      <c r="Q366" s="27"/>
    </row>
    <row r="367" spans="1:17" ht="101.25" x14ac:dyDescent="0.25">
      <c r="A367" s="16" t="s">
        <v>825</v>
      </c>
      <c r="B367" s="17" t="s">
        <v>826</v>
      </c>
      <c r="C367" s="18"/>
      <c r="D367" s="18"/>
      <c r="E367" s="19">
        <f t="shared" ref="E367:N367" si="118">E368+E370</f>
        <v>1269361</v>
      </c>
      <c r="F367" s="19">
        <f t="shared" si="118"/>
        <v>1269361</v>
      </c>
      <c r="G367" s="19">
        <f t="shared" si="118"/>
        <v>0</v>
      </c>
      <c r="H367" s="19">
        <f t="shared" si="118"/>
        <v>0</v>
      </c>
      <c r="I367" s="19">
        <f t="shared" si="118"/>
        <v>0</v>
      </c>
      <c r="J367" s="19">
        <f t="shared" si="118"/>
        <v>0</v>
      </c>
      <c r="K367" s="19">
        <f t="shared" si="118"/>
        <v>0</v>
      </c>
      <c r="L367" s="19">
        <f t="shared" si="118"/>
        <v>0</v>
      </c>
      <c r="M367" s="19">
        <f t="shared" si="118"/>
        <v>0</v>
      </c>
      <c r="N367" s="19">
        <f t="shared" si="118"/>
        <v>0</v>
      </c>
      <c r="O367" s="18"/>
      <c r="P367" s="20"/>
      <c r="Q367" s="21"/>
    </row>
    <row r="368" spans="1:17" ht="40.5" x14ac:dyDescent="0.25">
      <c r="A368" s="22" t="s">
        <v>827</v>
      </c>
      <c r="B368" s="23" t="s">
        <v>828</v>
      </c>
      <c r="C368" s="24" t="s">
        <v>179</v>
      </c>
      <c r="D368" s="24" t="s">
        <v>789</v>
      </c>
      <c r="E368" s="25">
        <f>SUM(E369:E369)+1264361</f>
        <v>1264361</v>
      </c>
      <c r="F368" s="25">
        <f>SUM(F369:F369)+1264361</f>
        <v>1264361</v>
      </c>
      <c r="G368" s="25">
        <f t="shared" ref="G368:N368" si="119">SUM(G369:G369)</f>
        <v>0</v>
      </c>
      <c r="H368" s="25">
        <f t="shared" si="119"/>
        <v>0</v>
      </c>
      <c r="I368" s="25">
        <f t="shared" si="119"/>
        <v>0</v>
      </c>
      <c r="J368" s="25">
        <f t="shared" si="119"/>
        <v>0</v>
      </c>
      <c r="K368" s="25">
        <f t="shared" si="119"/>
        <v>0</v>
      </c>
      <c r="L368" s="25">
        <f t="shared" si="119"/>
        <v>0</v>
      </c>
      <c r="M368" s="25">
        <f t="shared" si="119"/>
        <v>0</v>
      </c>
      <c r="N368" s="25">
        <f t="shared" si="119"/>
        <v>0</v>
      </c>
      <c r="O368" s="24" t="s">
        <v>829</v>
      </c>
      <c r="P368" s="26" t="s">
        <v>31</v>
      </c>
      <c r="Q368" s="27" t="s">
        <v>830</v>
      </c>
    </row>
    <row r="369" spans="1:17" ht="81" x14ac:dyDescent="0.25">
      <c r="A369" s="22" t="s">
        <v>831</v>
      </c>
      <c r="B369" s="23" t="s">
        <v>832</v>
      </c>
      <c r="C369" s="24"/>
      <c r="D369" s="24"/>
      <c r="E369" s="28">
        <v>0</v>
      </c>
      <c r="F369" s="28">
        <v>0</v>
      </c>
      <c r="G369" s="28">
        <v>0</v>
      </c>
      <c r="H369" s="28">
        <v>0</v>
      </c>
      <c r="I369" s="28">
        <v>0</v>
      </c>
      <c r="J369" s="28">
        <v>0</v>
      </c>
      <c r="K369" s="28">
        <v>0</v>
      </c>
      <c r="L369" s="28">
        <v>0</v>
      </c>
      <c r="M369" s="28">
        <v>0</v>
      </c>
      <c r="N369" s="28">
        <v>0</v>
      </c>
      <c r="O369" s="24"/>
      <c r="P369" s="26"/>
      <c r="Q369" s="27"/>
    </row>
    <row r="370" spans="1:17" ht="60.75" x14ac:dyDescent="0.25">
      <c r="A370" s="22" t="s">
        <v>833</v>
      </c>
      <c r="B370" s="23" t="s">
        <v>834</v>
      </c>
      <c r="C370" s="24" t="s">
        <v>179</v>
      </c>
      <c r="D370" s="24" t="s">
        <v>789</v>
      </c>
      <c r="E370" s="25">
        <f>SUM(E371:E371)+5000</f>
        <v>5000</v>
      </c>
      <c r="F370" s="25">
        <f>SUM(F371:F371)+5000</f>
        <v>5000</v>
      </c>
      <c r="G370" s="25">
        <f t="shared" ref="G370:N370" si="120">SUM(G371:G371)</f>
        <v>0</v>
      </c>
      <c r="H370" s="25">
        <f t="shared" si="120"/>
        <v>0</v>
      </c>
      <c r="I370" s="25">
        <f t="shared" si="120"/>
        <v>0</v>
      </c>
      <c r="J370" s="25">
        <f t="shared" si="120"/>
        <v>0</v>
      </c>
      <c r="K370" s="25">
        <f t="shared" si="120"/>
        <v>0</v>
      </c>
      <c r="L370" s="25">
        <f t="shared" si="120"/>
        <v>0</v>
      </c>
      <c r="M370" s="25">
        <f t="shared" si="120"/>
        <v>0</v>
      </c>
      <c r="N370" s="25">
        <f t="shared" si="120"/>
        <v>0</v>
      </c>
      <c r="O370" s="24" t="s">
        <v>835</v>
      </c>
      <c r="P370" s="26" t="s">
        <v>31</v>
      </c>
      <c r="Q370" s="27" t="s">
        <v>68</v>
      </c>
    </row>
    <row r="371" spans="1:17" ht="101.25" x14ac:dyDescent="0.25">
      <c r="A371" s="22" t="s">
        <v>836</v>
      </c>
      <c r="B371" s="23" t="s">
        <v>837</v>
      </c>
      <c r="C371" s="24"/>
      <c r="D371" s="24"/>
      <c r="E371" s="28">
        <v>0</v>
      </c>
      <c r="F371" s="28">
        <v>0</v>
      </c>
      <c r="G371" s="28">
        <v>0</v>
      </c>
      <c r="H371" s="28">
        <v>0</v>
      </c>
      <c r="I371" s="28">
        <v>0</v>
      </c>
      <c r="J371" s="28">
        <v>0</v>
      </c>
      <c r="K371" s="28">
        <v>0</v>
      </c>
      <c r="L371" s="28">
        <v>0</v>
      </c>
      <c r="M371" s="28">
        <v>0</v>
      </c>
      <c r="N371" s="28">
        <v>0</v>
      </c>
      <c r="O371" s="24"/>
      <c r="P371" s="26"/>
      <c r="Q371" s="27"/>
    </row>
    <row r="372" spans="1:17" ht="60.75" x14ac:dyDescent="0.25">
      <c r="A372" s="16" t="s">
        <v>838</v>
      </c>
      <c r="B372" s="17" t="s">
        <v>839</v>
      </c>
      <c r="C372" s="18"/>
      <c r="D372" s="18"/>
      <c r="E372" s="19">
        <f t="shared" ref="E372:N372" si="121">E373+E375+E377</f>
        <v>18757</v>
      </c>
      <c r="F372" s="19">
        <f t="shared" si="121"/>
        <v>13000</v>
      </c>
      <c r="G372" s="19">
        <f t="shared" si="121"/>
        <v>0</v>
      </c>
      <c r="H372" s="19">
        <f t="shared" si="121"/>
        <v>0</v>
      </c>
      <c r="I372" s="19">
        <f t="shared" si="121"/>
        <v>0</v>
      </c>
      <c r="J372" s="19">
        <f t="shared" si="121"/>
        <v>0</v>
      </c>
      <c r="K372" s="19">
        <f t="shared" si="121"/>
        <v>0</v>
      </c>
      <c r="L372" s="19">
        <f t="shared" si="121"/>
        <v>5757</v>
      </c>
      <c r="M372" s="19">
        <f t="shared" si="121"/>
        <v>0</v>
      </c>
      <c r="N372" s="19">
        <f t="shared" si="121"/>
        <v>0</v>
      </c>
      <c r="O372" s="18"/>
      <c r="P372" s="20"/>
      <c r="Q372" s="21"/>
    </row>
    <row r="373" spans="1:17" ht="60.75" x14ac:dyDescent="0.25">
      <c r="A373" s="22" t="s">
        <v>840</v>
      </c>
      <c r="B373" s="23" t="s">
        <v>841</v>
      </c>
      <c r="C373" s="24" t="s">
        <v>179</v>
      </c>
      <c r="D373" s="24" t="s">
        <v>789</v>
      </c>
      <c r="E373" s="25">
        <f t="shared" ref="E373:N373" si="122">SUM(E374:E374)</f>
        <v>0</v>
      </c>
      <c r="F373" s="25">
        <f t="shared" si="122"/>
        <v>0</v>
      </c>
      <c r="G373" s="25">
        <f t="shared" si="122"/>
        <v>0</v>
      </c>
      <c r="H373" s="25">
        <f t="shared" si="122"/>
        <v>0</v>
      </c>
      <c r="I373" s="25">
        <f t="shared" si="122"/>
        <v>0</v>
      </c>
      <c r="J373" s="25">
        <f t="shared" si="122"/>
        <v>0</v>
      </c>
      <c r="K373" s="25">
        <f t="shared" si="122"/>
        <v>0</v>
      </c>
      <c r="L373" s="25">
        <f t="shared" si="122"/>
        <v>0</v>
      </c>
      <c r="M373" s="25">
        <f t="shared" si="122"/>
        <v>0</v>
      </c>
      <c r="N373" s="25">
        <f t="shared" si="122"/>
        <v>0</v>
      </c>
      <c r="O373" s="24" t="s">
        <v>842</v>
      </c>
      <c r="P373" s="26" t="s">
        <v>31</v>
      </c>
      <c r="Q373" s="27" t="s">
        <v>123</v>
      </c>
    </row>
    <row r="374" spans="1:17" ht="60.75" x14ac:dyDescent="0.25">
      <c r="A374" s="22" t="s">
        <v>843</v>
      </c>
      <c r="B374" s="23" t="s">
        <v>844</v>
      </c>
      <c r="C374" s="24"/>
      <c r="D374" s="24"/>
      <c r="E374" s="28">
        <v>0</v>
      </c>
      <c r="F374" s="28">
        <v>0</v>
      </c>
      <c r="G374" s="28">
        <v>0</v>
      </c>
      <c r="H374" s="28">
        <v>0</v>
      </c>
      <c r="I374" s="28">
        <v>0</v>
      </c>
      <c r="J374" s="28">
        <v>0</v>
      </c>
      <c r="K374" s="28">
        <v>0</v>
      </c>
      <c r="L374" s="28">
        <v>0</v>
      </c>
      <c r="M374" s="28">
        <v>0</v>
      </c>
      <c r="N374" s="28">
        <v>0</v>
      </c>
      <c r="O374" s="24"/>
      <c r="P374" s="26"/>
      <c r="Q374" s="27"/>
    </row>
    <row r="375" spans="1:17" ht="40.5" x14ac:dyDescent="0.25">
      <c r="A375" s="22" t="s">
        <v>845</v>
      </c>
      <c r="B375" s="23" t="s">
        <v>846</v>
      </c>
      <c r="C375" s="24" t="s">
        <v>179</v>
      </c>
      <c r="D375" s="24" t="s">
        <v>789</v>
      </c>
      <c r="E375" s="25">
        <f>SUM(E376:E376)+13000</f>
        <v>13000</v>
      </c>
      <c r="F375" s="25">
        <f>SUM(F376:F376)+13000</f>
        <v>13000</v>
      </c>
      <c r="G375" s="25">
        <f t="shared" ref="G375:N375" si="123">SUM(G376:G376)</f>
        <v>0</v>
      </c>
      <c r="H375" s="25">
        <f t="shared" si="123"/>
        <v>0</v>
      </c>
      <c r="I375" s="25">
        <f t="shared" si="123"/>
        <v>0</v>
      </c>
      <c r="J375" s="25">
        <f t="shared" si="123"/>
        <v>0</v>
      </c>
      <c r="K375" s="25">
        <f t="shared" si="123"/>
        <v>0</v>
      </c>
      <c r="L375" s="25">
        <f t="shared" si="123"/>
        <v>0</v>
      </c>
      <c r="M375" s="25">
        <f t="shared" si="123"/>
        <v>0</v>
      </c>
      <c r="N375" s="25">
        <f t="shared" si="123"/>
        <v>0</v>
      </c>
      <c r="O375" s="24" t="s">
        <v>847</v>
      </c>
      <c r="P375" s="26" t="s">
        <v>31</v>
      </c>
      <c r="Q375" s="27" t="s">
        <v>830</v>
      </c>
    </row>
    <row r="376" spans="1:17" ht="40.5" x14ac:dyDescent="0.25">
      <c r="A376" s="22" t="s">
        <v>848</v>
      </c>
      <c r="B376" s="23" t="s">
        <v>849</v>
      </c>
      <c r="C376" s="24"/>
      <c r="D376" s="24"/>
      <c r="E376" s="28">
        <v>0</v>
      </c>
      <c r="F376" s="28">
        <v>0</v>
      </c>
      <c r="G376" s="28">
        <v>0</v>
      </c>
      <c r="H376" s="28">
        <v>0</v>
      </c>
      <c r="I376" s="28">
        <v>0</v>
      </c>
      <c r="J376" s="28">
        <v>0</v>
      </c>
      <c r="K376" s="28">
        <v>0</v>
      </c>
      <c r="L376" s="28">
        <v>0</v>
      </c>
      <c r="M376" s="28">
        <v>0</v>
      </c>
      <c r="N376" s="28">
        <v>0</v>
      </c>
      <c r="O376" s="24"/>
      <c r="P376" s="26"/>
      <c r="Q376" s="27"/>
    </row>
    <row r="377" spans="1:17" ht="60.75" x14ac:dyDescent="0.25">
      <c r="A377" s="22" t="s">
        <v>850</v>
      </c>
      <c r="B377" s="23" t="s">
        <v>851</v>
      </c>
      <c r="C377" s="24" t="s">
        <v>179</v>
      </c>
      <c r="D377" s="24" t="s">
        <v>789</v>
      </c>
      <c r="E377" s="25">
        <f>SUM(E378:E378)+5757</f>
        <v>5757</v>
      </c>
      <c r="F377" s="25">
        <f t="shared" ref="F377:K377" si="124">SUM(F378:F378)</f>
        <v>0</v>
      </c>
      <c r="G377" s="25">
        <f t="shared" si="124"/>
        <v>0</v>
      </c>
      <c r="H377" s="25">
        <f t="shared" si="124"/>
        <v>0</v>
      </c>
      <c r="I377" s="25">
        <f t="shared" si="124"/>
        <v>0</v>
      </c>
      <c r="J377" s="25">
        <f t="shared" si="124"/>
        <v>0</v>
      </c>
      <c r="K377" s="25">
        <f t="shared" si="124"/>
        <v>0</v>
      </c>
      <c r="L377" s="25">
        <f>SUM(L378:L378)+5757</f>
        <v>5757</v>
      </c>
      <c r="M377" s="25">
        <f>SUM(M378:M378)</f>
        <v>0</v>
      </c>
      <c r="N377" s="25">
        <f>SUM(N378:N378)</f>
        <v>0</v>
      </c>
      <c r="O377" s="24" t="s">
        <v>852</v>
      </c>
      <c r="P377" s="26" t="s">
        <v>796</v>
      </c>
      <c r="Q377" s="27" t="s">
        <v>853</v>
      </c>
    </row>
    <row r="378" spans="1:17" ht="60.75" x14ac:dyDescent="0.25">
      <c r="A378" s="22" t="s">
        <v>854</v>
      </c>
      <c r="B378" s="23" t="s">
        <v>855</v>
      </c>
      <c r="C378" s="24"/>
      <c r="D378" s="24"/>
      <c r="E378" s="28">
        <v>0</v>
      </c>
      <c r="F378" s="28">
        <v>0</v>
      </c>
      <c r="G378" s="28">
        <v>0</v>
      </c>
      <c r="H378" s="28">
        <v>0</v>
      </c>
      <c r="I378" s="28">
        <v>0</v>
      </c>
      <c r="J378" s="28">
        <v>0</v>
      </c>
      <c r="K378" s="28">
        <v>0</v>
      </c>
      <c r="L378" s="28">
        <v>0</v>
      </c>
      <c r="M378" s="28">
        <v>0</v>
      </c>
      <c r="N378" s="28">
        <v>0</v>
      </c>
      <c r="O378" s="24"/>
      <c r="P378" s="26"/>
      <c r="Q378" s="27"/>
    </row>
    <row r="379" spans="1:17" ht="40.5" x14ac:dyDescent="0.25">
      <c r="A379" s="16" t="s">
        <v>856</v>
      </c>
      <c r="B379" s="17" t="s">
        <v>857</v>
      </c>
      <c r="C379" s="18"/>
      <c r="D379" s="18"/>
      <c r="E379" s="19">
        <f t="shared" ref="E379:N379" si="125">E380+E382</f>
        <v>95000</v>
      </c>
      <c r="F379" s="19">
        <f t="shared" si="125"/>
        <v>95000</v>
      </c>
      <c r="G379" s="19">
        <f t="shared" si="125"/>
        <v>0</v>
      </c>
      <c r="H379" s="19">
        <f t="shared" si="125"/>
        <v>0</v>
      </c>
      <c r="I379" s="19">
        <f t="shared" si="125"/>
        <v>0</v>
      </c>
      <c r="J379" s="19">
        <f t="shared" si="125"/>
        <v>0</v>
      </c>
      <c r="K379" s="19">
        <f t="shared" si="125"/>
        <v>0</v>
      </c>
      <c r="L379" s="19">
        <f t="shared" si="125"/>
        <v>0</v>
      </c>
      <c r="M379" s="19">
        <f t="shared" si="125"/>
        <v>0</v>
      </c>
      <c r="N379" s="19">
        <f t="shared" si="125"/>
        <v>0</v>
      </c>
      <c r="O379" s="18"/>
      <c r="P379" s="20"/>
      <c r="Q379" s="21"/>
    </row>
    <row r="380" spans="1:17" ht="40.5" x14ac:dyDescent="0.25">
      <c r="A380" s="22" t="s">
        <v>858</v>
      </c>
      <c r="B380" s="23" t="s">
        <v>859</v>
      </c>
      <c r="C380" s="24"/>
      <c r="D380" s="24" t="s">
        <v>233</v>
      </c>
      <c r="E380" s="25">
        <f>SUM(E381:E381)+10000</f>
        <v>10000</v>
      </c>
      <c r="F380" s="25">
        <f>SUM(F381:F381)+10000</f>
        <v>10000</v>
      </c>
      <c r="G380" s="25">
        <f t="shared" ref="G380:N380" si="126">SUM(G381:G381)</f>
        <v>0</v>
      </c>
      <c r="H380" s="25">
        <f t="shared" si="126"/>
        <v>0</v>
      </c>
      <c r="I380" s="25">
        <f t="shared" si="126"/>
        <v>0</v>
      </c>
      <c r="J380" s="25">
        <f t="shared" si="126"/>
        <v>0</v>
      </c>
      <c r="K380" s="25">
        <f t="shared" si="126"/>
        <v>0</v>
      </c>
      <c r="L380" s="25">
        <f t="shared" si="126"/>
        <v>0</v>
      </c>
      <c r="M380" s="25">
        <f t="shared" si="126"/>
        <v>0</v>
      </c>
      <c r="N380" s="25">
        <f t="shared" si="126"/>
        <v>0</v>
      </c>
      <c r="O380" s="24" t="s">
        <v>860</v>
      </c>
      <c r="P380" s="26" t="s">
        <v>31</v>
      </c>
      <c r="Q380" s="27" t="s">
        <v>74</v>
      </c>
    </row>
    <row r="381" spans="1:17" x14ac:dyDescent="0.25">
      <c r="A381" s="22" t="s">
        <v>861</v>
      </c>
      <c r="B381" s="23" t="s">
        <v>862</v>
      </c>
      <c r="C381" s="24"/>
      <c r="D381" s="24"/>
      <c r="E381" s="28">
        <v>0</v>
      </c>
      <c r="F381" s="28">
        <v>0</v>
      </c>
      <c r="G381" s="28">
        <v>0</v>
      </c>
      <c r="H381" s="28">
        <v>0</v>
      </c>
      <c r="I381" s="28">
        <v>0</v>
      </c>
      <c r="J381" s="28">
        <v>0</v>
      </c>
      <c r="K381" s="28">
        <v>0</v>
      </c>
      <c r="L381" s="28">
        <v>0</v>
      </c>
      <c r="M381" s="28">
        <v>0</v>
      </c>
      <c r="N381" s="28">
        <v>0</v>
      </c>
      <c r="O381" s="24"/>
      <c r="P381" s="26"/>
      <c r="Q381" s="27"/>
    </row>
    <row r="382" spans="1:17" ht="40.5" x14ac:dyDescent="0.25">
      <c r="A382" s="22" t="s">
        <v>863</v>
      </c>
      <c r="B382" s="23" t="s">
        <v>864</v>
      </c>
      <c r="C382" s="24"/>
      <c r="D382" s="24" t="s">
        <v>427</v>
      </c>
      <c r="E382" s="25">
        <f>SUM(E383:E383)+85000</f>
        <v>85000</v>
      </c>
      <c r="F382" s="25">
        <f>SUM(F383:F383)+85000</f>
        <v>85000</v>
      </c>
      <c r="G382" s="25">
        <f t="shared" ref="G382:N382" si="127">SUM(G383:G383)</f>
        <v>0</v>
      </c>
      <c r="H382" s="25">
        <f t="shared" si="127"/>
        <v>0</v>
      </c>
      <c r="I382" s="25">
        <f t="shared" si="127"/>
        <v>0</v>
      </c>
      <c r="J382" s="25">
        <f t="shared" si="127"/>
        <v>0</v>
      </c>
      <c r="K382" s="25">
        <f t="shared" si="127"/>
        <v>0</v>
      </c>
      <c r="L382" s="25">
        <f t="shared" si="127"/>
        <v>0</v>
      </c>
      <c r="M382" s="25">
        <f t="shared" si="127"/>
        <v>0</v>
      </c>
      <c r="N382" s="25">
        <f t="shared" si="127"/>
        <v>0</v>
      </c>
      <c r="O382" s="24" t="s">
        <v>865</v>
      </c>
      <c r="P382" s="26" t="s">
        <v>31</v>
      </c>
      <c r="Q382" s="27" t="s">
        <v>74</v>
      </c>
    </row>
    <row r="383" spans="1:17" ht="40.5" x14ac:dyDescent="0.25">
      <c r="A383" s="22" t="s">
        <v>866</v>
      </c>
      <c r="B383" s="23" t="s">
        <v>867</v>
      </c>
      <c r="C383" s="24"/>
      <c r="D383" s="24"/>
      <c r="E383" s="28">
        <v>0</v>
      </c>
      <c r="F383" s="28">
        <v>0</v>
      </c>
      <c r="G383" s="28">
        <v>0</v>
      </c>
      <c r="H383" s="28">
        <v>0</v>
      </c>
      <c r="I383" s="28">
        <v>0</v>
      </c>
      <c r="J383" s="28">
        <v>0</v>
      </c>
      <c r="K383" s="28">
        <v>0</v>
      </c>
      <c r="L383" s="28">
        <v>0</v>
      </c>
      <c r="M383" s="28">
        <v>0</v>
      </c>
      <c r="N383" s="28">
        <v>0</v>
      </c>
      <c r="O383" s="24"/>
      <c r="P383" s="26"/>
      <c r="Q383" s="27"/>
    </row>
    <row r="384" spans="1:17" ht="81" x14ac:dyDescent="0.25">
      <c r="A384" s="16" t="s">
        <v>868</v>
      </c>
      <c r="B384" s="17" t="s">
        <v>869</v>
      </c>
      <c r="C384" s="18"/>
      <c r="D384" s="18"/>
      <c r="E384" s="19">
        <f t="shared" ref="E384:N384" si="128">E385+E387+E389</f>
        <v>75000</v>
      </c>
      <c r="F384" s="19">
        <f t="shared" si="128"/>
        <v>75000</v>
      </c>
      <c r="G384" s="19">
        <f t="shared" si="128"/>
        <v>0</v>
      </c>
      <c r="H384" s="19">
        <f t="shared" si="128"/>
        <v>0</v>
      </c>
      <c r="I384" s="19">
        <f t="shared" si="128"/>
        <v>0</v>
      </c>
      <c r="J384" s="19">
        <f t="shared" si="128"/>
        <v>0</v>
      </c>
      <c r="K384" s="19">
        <f t="shared" si="128"/>
        <v>0</v>
      </c>
      <c r="L384" s="19">
        <f t="shared" si="128"/>
        <v>0</v>
      </c>
      <c r="M384" s="19">
        <f t="shared" si="128"/>
        <v>0</v>
      </c>
      <c r="N384" s="19">
        <f t="shared" si="128"/>
        <v>0</v>
      </c>
      <c r="O384" s="18"/>
      <c r="P384" s="20"/>
      <c r="Q384" s="21"/>
    </row>
    <row r="385" spans="1:17" ht="81" x14ac:dyDescent="0.25">
      <c r="A385" s="22" t="s">
        <v>870</v>
      </c>
      <c r="B385" s="23" t="s">
        <v>871</v>
      </c>
      <c r="C385" s="24" t="s">
        <v>179</v>
      </c>
      <c r="D385" s="24" t="s">
        <v>518</v>
      </c>
      <c r="E385" s="25">
        <f>SUM(E386:E386)+5000</f>
        <v>5000</v>
      </c>
      <c r="F385" s="25">
        <f>SUM(F386:F386)+5000</f>
        <v>5000</v>
      </c>
      <c r="G385" s="25">
        <f t="shared" ref="G385:N385" si="129">SUM(G386:G386)</f>
        <v>0</v>
      </c>
      <c r="H385" s="25">
        <f t="shared" si="129"/>
        <v>0</v>
      </c>
      <c r="I385" s="25">
        <f t="shared" si="129"/>
        <v>0</v>
      </c>
      <c r="J385" s="25">
        <f t="shared" si="129"/>
        <v>0</v>
      </c>
      <c r="K385" s="25">
        <f t="shared" si="129"/>
        <v>0</v>
      </c>
      <c r="L385" s="25">
        <f t="shared" si="129"/>
        <v>0</v>
      </c>
      <c r="M385" s="25">
        <f t="shared" si="129"/>
        <v>0</v>
      </c>
      <c r="N385" s="25">
        <f t="shared" si="129"/>
        <v>0</v>
      </c>
      <c r="O385" s="24" t="s">
        <v>872</v>
      </c>
      <c r="P385" s="26" t="s">
        <v>31</v>
      </c>
      <c r="Q385" s="27" t="s">
        <v>117</v>
      </c>
    </row>
    <row r="386" spans="1:17" ht="60.75" x14ac:dyDescent="0.25">
      <c r="A386" s="22" t="s">
        <v>873</v>
      </c>
      <c r="B386" s="23" t="s">
        <v>874</v>
      </c>
      <c r="C386" s="24"/>
      <c r="D386" s="24"/>
      <c r="E386" s="28">
        <v>0</v>
      </c>
      <c r="F386" s="28">
        <v>0</v>
      </c>
      <c r="G386" s="28">
        <v>0</v>
      </c>
      <c r="H386" s="28">
        <v>0</v>
      </c>
      <c r="I386" s="28">
        <v>0</v>
      </c>
      <c r="J386" s="28">
        <v>0</v>
      </c>
      <c r="K386" s="28">
        <v>0</v>
      </c>
      <c r="L386" s="28">
        <v>0</v>
      </c>
      <c r="M386" s="28">
        <v>0</v>
      </c>
      <c r="N386" s="28">
        <v>0</v>
      </c>
      <c r="O386" s="24"/>
      <c r="P386" s="26"/>
      <c r="Q386" s="27"/>
    </row>
    <row r="387" spans="1:17" ht="40.5" x14ac:dyDescent="0.25">
      <c r="A387" s="22" t="s">
        <v>875</v>
      </c>
      <c r="B387" s="23" t="s">
        <v>876</v>
      </c>
      <c r="C387" s="24" t="s">
        <v>179</v>
      </c>
      <c r="D387" s="24" t="s">
        <v>518</v>
      </c>
      <c r="E387" s="25">
        <f t="shared" ref="E387:N387" si="130">SUM(E388:E388)</f>
        <v>0</v>
      </c>
      <c r="F387" s="25">
        <f t="shared" si="130"/>
        <v>0</v>
      </c>
      <c r="G387" s="25">
        <f t="shared" si="130"/>
        <v>0</v>
      </c>
      <c r="H387" s="25">
        <f t="shared" si="130"/>
        <v>0</v>
      </c>
      <c r="I387" s="25">
        <f t="shared" si="130"/>
        <v>0</v>
      </c>
      <c r="J387" s="25">
        <f t="shared" si="130"/>
        <v>0</v>
      </c>
      <c r="K387" s="25">
        <f t="shared" si="130"/>
        <v>0</v>
      </c>
      <c r="L387" s="25">
        <f t="shared" si="130"/>
        <v>0</v>
      </c>
      <c r="M387" s="25">
        <f t="shared" si="130"/>
        <v>0</v>
      </c>
      <c r="N387" s="25">
        <f t="shared" si="130"/>
        <v>0</v>
      </c>
      <c r="O387" s="24" t="s">
        <v>877</v>
      </c>
      <c r="P387" s="26" t="s">
        <v>31</v>
      </c>
      <c r="Q387" s="27" t="s">
        <v>123</v>
      </c>
    </row>
    <row r="388" spans="1:17" ht="40.5" x14ac:dyDescent="0.25">
      <c r="A388" s="22" t="s">
        <v>878</v>
      </c>
      <c r="B388" s="23" t="s">
        <v>879</v>
      </c>
      <c r="C388" s="24"/>
      <c r="D388" s="24"/>
      <c r="E388" s="28">
        <v>0</v>
      </c>
      <c r="F388" s="28">
        <v>0</v>
      </c>
      <c r="G388" s="28">
        <v>0</v>
      </c>
      <c r="H388" s="28">
        <v>0</v>
      </c>
      <c r="I388" s="28">
        <v>0</v>
      </c>
      <c r="J388" s="28">
        <v>0</v>
      </c>
      <c r="K388" s="28">
        <v>0</v>
      </c>
      <c r="L388" s="28">
        <v>0</v>
      </c>
      <c r="M388" s="28">
        <v>0</v>
      </c>
      <c r="N388" s="28">
        <v>0</v>
      </c>
      <c r="O388" s="24"/>
      <c r="P388" s="26"/>
      <c r="Q388" s="27"/>
    </row>
    <row r="389" spans="1:17" ht="60.75" x14ac:dyDescent="0.25">
      <c r="A389" s="22" t="s">
        <v>880</v>
      </c>
      <c r="B389" s="23" t="s">
        <v>881</v>
      </c>
      <c r="C389" s="24" t="s">
        <v>179</v>
      </c>
      <c r="D389" s="24" t="s">
        <v>518</v>
      </c>
      <c r="E389" s="25">
        <f>SUM(E390:E390)+70000</f>
        <v>70000</v>
      </c>
      <c r="F389" s="25">
        <f>SUM(F390:F390)+70000</f>
        <v>70000</v>
      </c>
      <c r="G389" s="25">
        <f t="shared" ref="G389:N389" si="131">SUM(G390:G390)</f>
        <v>0</v>
      </c>
      <c r="H389" s="25">
        <f t="shared" si="131"/>
        <v>0</v>
      </c>
      <c r="I389" s="25">
        <f t="shared" si="131"/>
        <v>0</v>
      </c>
      <c r="J389" s="25">
        <f t="shared" si="131"/>
        <v>0</v>
      </c>
      <c r="K389" s="25">
        <f t="shared" si="131"/>
        <v>0</v>
      </c>
      <c r="L389" s="25">
        <f t="shared" si="131"/>
        <v>0</v>
      </c>
      <c r="M389" s="25">
        <f t="shared" si="131"/>
        <v>0</v>
      </c>
      <c r="N389" s="25">
        <f t="shared" si="131"/>
        <v>0</v>
      </c>
      <c r="O389" s="24" t="s">
        <v>882</v>
      </c>
      <c r="P389" s="26" t="s">
        <v>221</v>
      </c>
      <c r="Q389" s="27" t="s">
        <v>117</v>
      </c>
    </row>
    <row r="390" spans="1:17" ht="40.5" x14ac:dyDescent="0.25">
      <c r="A390" s="22" t="s">
        <v>883</v>
      </c>
      <c r="B390" s="23" t="s">
        <v>884</v>
      </c>
      <c r="C390" s="24"/>
      <c r="D390" s="24"/>
      <c r="E390" s="28">
        <v>0</v>
      </c>
      <c r="F390" s="28">
        <v>0</v>
      </c>
      <c r="G390" s="28">
        <v>0</v>
      </c>
      <c r="H390" s="28">
        <v>0</v>
      </c>
      <c r="I390" s="28">
        <v>0</v>
      </c>
      <c r="J390" s="28">
        <v>0</v>
      </c>
      <c r="K390" s="28">
        <v>0</v>
      </c>
      <c r="L390" s="28">
        <v>0</v>
      </c>
      <c r="M390" s="28">
        <v>0</v>
      </c>
      <c r="N390" s="28">
        <v>0</v>
      </c>
      <c r="O390" s="24"/>
      <c r="P390" s="26"/>
      <c r="Q390" s="27"/>
    </row>
    <row r="391" spans="1:17" ht="40.5" x14ac:dyDescent="0.25">
      <c r="A391" s="10" t="s">
        <v>885</v>
      </c>
      <c r="B391" s="11" t="s">
        <v>886</v>
      </c>
      <c r="C391" s="12"/>
      <c r="D391" s="12"/>
      <c r="E391" s="13">
        <f t="shared" ref="E391:N391" si="132">E392+E401</f>
        <v>129000</v>
      </c>
      <c r="F391" s="13">
        <f t="shared" si="132"/>
        <v>129000</v>
      </c>
      <c r="G391" s="13">
        <f t="shared" si="132"/>
        <v>0</v>
      </c>
      <c r="H391" s="13">
        <f t="shared" si="132"/>
        <v>0</v>
      </c>
      <c r="I391" s="13">
        <f t="shared" si="132"/>
        <v>0</v>
      </c>
      <c r="J391" s="13">
        <f t="shared" si="132"/>
        <v>0</v>
      </c>
      <c r="K391" s="13">
        <f t="shared" si="132"/>
        <v>0</v>
      </c>
      <c r="L391" s="13">
        <f t="shared" si="132"/>
        <v>0</v>
      </c>
      <c r="M391" s="13">
        <f t="shared" si="132"/>
        <v>0</v>
      </c>
      <c r="N391" s="13">
        <f t="shared" si="132"/>
        <v>0</v>
      </c>
      <c r="O391" s="12"/>
      <c r="P391" s="14"/>
      <c r="Q391" s="15"/>
    </row>
    <row r="392" spans="1:17" ht="60.75" x14ac:dyDescent="0.25">
      <c r="A392" s="16" t="s">
        <v>887</v>
      </c>
      <c r="B392" s="17" t="s">
        <v>888</v>
      </c>
      <c r="C392" s="18"/>
      <c r="D392" s="18"/>
      <c r="E392" s="19">
        <f t="shared" ref="E392:N392" si="133">E393+E395+E397+E399</f>
        <v>89000</v>
      </c>
      <c r="F392" s="19">
        <f t="shared" si="133"/>
        <v>89000</v>
      </c>
      <c r="G392" s="19">
        <f t="shared" si="133"/>
        <v>0</v>
      </c>
      <c r="H392" s="19">
        <f t="shared" si="133"/>
        <v>0</v>
      </c>
      <c r="I392" s="19">
        <f t="shared" si="133"/>
        <v>0</v>
      </c>
      <c r="J392" s="19">
        <f t="shared" si="133"/>
        <v>0</v>
      </c>
      <c r="K392" s="19">
        <f t="shared" si="133"/>
        <v>0</v>
      </c>
      <c r="L392" s="19">
        <f t="shared" si="133"/>
        <v>0</v>
      </c>
      <c r="M392" s="19">
        <f t="shared" si="133"/>
        <v>0</v>
      </c>
      <c r="N392" s="19">
        <f t="shared" si="133"/>
        <v>0</v>
      </c>
      <c r="O392" s="18"/>
      <c r="P392" s="20"/>
      <c r="Q392" s="21"/>
    </row>
    <row r="393" spans="1:17" ht="40.5" x14ac:dyDescent="0.25">
      <c r="A393" s="22" t="s">
        <v>889</v>
      </c>
      <c r="B393" s="23" t="s">
        <v>890</v>
      </c>
      <c r="C393" s="24" t="s">
        <v>179</v>
      </c>
      <c r="D393" s="24" t="s">
        <v>789</v>
      </c>
      <c r="E393" s="25">
        <f>SUM(E394:E394)+25000</f>
        <v>25000</v>
      </c>
      <c r="F393" s="25">
        <f>SUM(F394:F394)+25000</f>
        <v>25000</v>
      </c>
      <c r="G393" s="25">
        <f t="shared" ref="G393:N393" si="134">SUM(G394:G394)</f>
        <v>0</v>
      </c>
      <c r="H393" s="25">
        <f t="shared" si="134"/>
        <v>0</v>
      </c>
      <c r="I393" s="25">
        <f t="shared" si="134"/>
        <v>0</v>
      </c>
      <c r="J393" s="25">
        <f t="shared" si="134"/>
        <v>0</v>
      </c>
      <c r="K393" s="25">
        <f t="shared" si="134"/>
        <v>0</v>
      </c>
      <c r="L393" s="25">
        <f t="shared" si="134"/>
        <v>0</v>
      </c>
      <c r="M393" s="25">
        <f t="shared" si="134"/>
        <v>0</v>
      </c>
      <c r="N393" s="25">
        <f t="shared" si="134"/>
        <v>0</v>
      </c>
      <c r="O393" s="24" t="s">
        <v>891</v>
      </c>
      <c r="P393" s="26" t="s">
        <v>31</v>
      </c>
      <c r="Q393" s="27" t="s">
        <v>38</v>
      </c>
    </row>
    <row r="394" spans="1:17" ht="40.5" x14ac:dyDescent="0.25">
      <c r="A394" s="22" t="s">
        <v>892</v>
      </c>
      <c r="B394" s="23" t="s">
        <v>893</v>
      </c>
      <c r="C394" s="24"/>
      <c r="D394" s="24"/>
      <c r="E394" s="28">
        <v>0</v>
      </c>
      <c r="F394" s="28">
        <v>0</v>
      </c>
      <c r="G394" s="28">
        <v>0</v>
      </c>
      <c r="H394" s="28">
        <v>0</v>
      </c>
      <c r="I394" s="28">
        <v>0</v>
      </c>
      <c r="J394" s="28">
        <v>0</v>
      </c>
      <c r="K394" s="28">
        <v>0</v>
      </c>
      <c r="L394" s="28">
        <v>0</v>
      </c>
      <c r="M394" s="28">
        <v>0</v>
      </c>
      <c r="N394" s="28">
        <v>0</v>
      </c>
      <c r="O394" s="24"/>
      <c r="P394" s="26"/>
      <c r="Q394" s="27"/>
    </row>
    <row r="395" spans="1:17" ht="40.5" x14ac:dyDescent="0.25">
      <c r="A395" s="22" t="s">
        <v>894</v>
      </c>
      <c r="B395" s="23" t="s">
        <v>895</v>
      </c>
      <c r="C395" s="24" t="s">
        <v>179</v>
      </c>
      <c r="D395" s="24" t="s">
        <v>789</v>
      </c>
      <c r="E395" s="25">
        <f t="shared" ref="E395:N395" si="135">SUM(E396:E396)</f>
        <v>0</v>
      </c>
      <c r="F395" s="25">
        <f t="shared" si="135"/>
        <v>0</v>
      </c>
      <c r="G395" s="25">
        <f t="shared" si="135"/>
        <v>0</v>
      </c>
      <c r="H395" s="25">
        <f t="shared" si="135"/>
        <v>0</v>
      </c>
      <c r="I395" s="25">
        <f t="shared" si="135"/>
        <v>0</v>
      </c>
      <c r="J395" s="25">
        <f t="shared" si="135"/>
        <v>0</v>
      </c>
      <c r="K395" s="25">
        <f t="shared" si="135"/>
        <v>0</v>
      </c>
      <c r="L395" s="25">
        <f t="shared" si="135"/>
        <v>0</v>
      </c>
      <c r="M395" s="25">
        <f t="shared" si="135"/>
        <v>0</v>
      </c>
      <c r="N395" s="25">
        <f t="shared" si="135"/>
        <v>0</v>
      </c>
      <c r="O395" s="24" t="s">
        <v>896</v>
      </c>
      <c r="P395" s="26" t="s">
        <v>31</v>
      </c>
      <c r="Q395" s="27" t="s">
        <v>123</v>
      </c>
    </row>
    <row r="396" spans="1:17" ht="40.5" x14ac:dyDescent="0.25">
      <c r="A396" s="22" t="s">
        <v>897</v>
      </c>
      <c r="B396" s="23" t="s">
        <v>898</v>
      </c>
      <c r="C396" s="24"/>
      <c r="D396" s="24"/>
      <c r="E396" s="28">
        <v>0</v>
      </c>
      <c r="F396" s="28">
        <v>0</v>
      </c>
      <c r="G396" s="28">
        <v>0</v>
      </c>
      <c r="H396" s="28">
        <v>0</v>
      </c>
      <c r="I396" s="28">
        <v>0</v>
      </c>
      <c r="J396" s="28">
        <v>0</v>
      </c>
      <c r="K396" s="28">
        <v>0</v>
      </c>
      <c r="L396" s="28">
        <v>0</v>
      </c>
      <c r="M396" s="28">
        <v>0</v>
      </c>
      <c r="N396" s="28">
        <v>0</v>
      </c>
      <c r="O396" s="24"/>
      <c r="P396" s="26"/>
      <c r="Q396" s="27"/>
    </row>
    <row r="397" spans="1:17" ht="40.5" x14ac:dyDescent="0.25">
      <c r="A397" s="22" t="s">
        <v>899</v>
      </c>
      <c r="B397" s="23" t="s">
        <v>900</v>
      </c>
      <c r="C397" s="24" t="s">
        <v>179</v>
      </c>
      <c r="D397" s="24" t="s">
        <v>789</v>
      </c>
      <c r="E397" s="25">
        <f>SUM(E398:E398)+24000</f>
        <v>24000</v>
      </c>
      <c r="F397" s="25">
        <f>SUM(F398:F398)+24000</f>
        <v>24000</v>
      </c>
      <c r="G397" s="25">
        <f t="shared" ref="G397:N397" si="136">SUM(G398:G398)</f>
        <v>0</v>
      </c>
      <c r="H397" s="25">
        <f t="shared" si="136"/>
        <v>0</v>
      </c>
      <c r="I397" s="25">
        <f t="shared" si="136"/>
        <v>0</v>
      </c>
      <c r="J397" s="25">
        <f t="shared" si="136"/>
        <v>0</v>
      </c>
      <c r="K397" s="25">
        <f t="shared" si="136"/>
        <v>0</v>
      </c>
      <c r="L397" s="25">
        <f t="shared" si="136"/>
        <v>0</v>
      </c>
      <c r="M397" s="25">
        <f t="shared" si="136"/>
        <v>0</v>
      </c>
      <c r="N397" s="25">
        <f t="shared" si="136"/>
        <v>0</v>
      </c>
      <c r="O397" s="24" t="s">
        <v>901</v>
      </c>
      <c r="P397" s="26" t="s">
        <v>31</v>
      </c>
      <c r="Q397" s="27" t="s">
        <v>902</v>
      </c>
    </row>
    <row r="398" spans="1:17" ht="40.5" x14ac:dyDescent="0.25">
      <c r="A398" s="22" t="s">
        <v>903</v>
      </c>
      <c r="B398" s="23" t="s">
        <v>904</v>
      </c>
      <c r="C398" s="24"/>
      <c r="D398" s="24"/>
      <c r="E398" s="28">
        <v>0</v>
      </c>
      <c r="F398" s="28">
        <v>0</v>
      </c>
      <c r="G398" s="28">
        <v>0</v>
      </c>
      <c r="H398" s="28">
        <v>0</v>
      </c>
      <c r="I398" s="28">
        <v>0</v>
      </c>
      <c r="J398" s="28">
        <v>0</v>
      </c>
      <c r="K398" s="28">
        <v>0</v>
      </c>
      <c r="L398" s="28">
        <v>0</v>
      </c>
      <c r="M398" s="28">
        <v>0</v>
      </c>
      <c r="N398" s="28">
        <v>0</v>
      </c>
      <c r="O398" s="24"/>
      <c r="P398" s="26"/>
      <c r="Q398" s="27"/>
    </row>
    <row r="399" spans="1:17" ht="81" x14ac:dyDescent="0.25">
      <c r="A399" s="22" t="s">
        <v>905</v>
      </c>
      <c r="B399" s="23" t="s">
        <v>906</v>
      </c>
      <c r="C399" s="24" t="s">
        <v>179</v>
      </c>
      <c r="D399" s="24" t="s">
        <v>789</v>
      </c>
      <c r="E399" s="25">
        <f>SUM(E400:E400)+40000</f>
        <v>40000</v>
      </c>
      <c r="F399" s="25">
        <f>SUM(F400:F400)+40000</f>
        <v>40000</v>
      </c>
      <c r="G399" s="25">
        <f t="shared" ref="G399:N399" si="137">SUM(G400:G400)</f>
        <v>0</v>
      </c>
      <c r="H399" s="25">
        <f t="shared" si="137"/>
        <v>0</v>
      </c>
      <c r="I399" s="25">
        <f t="shared" si="137"/>
        <v>0</v>
      </c>
      <c r="J399" s="25">
        <f t="shared" si="137"/>
        <v>0</v>
      </c>
      <c r="K399" s="25">
        <f t="shared" si="137"/>
        <v>0</v>
      </c>
      <c r="L399" s="25">
        <f t="shared" si="137"/>
        <v>0</v>
      </c>
      <c r="M399" s="25">
        <f t="shared" si="137"/>
        <v>0</v>
      </c>
      <c r="N399" s="25">
        <f t="shared" si="137"/>
        <v>0</v>
      </c>
      <c r="O399" s="24" t="s">
        <v>907</v>
      </c>
      <c r="P399" s="26" t="s">
        <v>31</v>
      </c>
      <c r="Q399" s="27" t="s">
        <v>38</v>
      </c>
    </row>
    <row r="400" spans="1:17" ht="60.75" x14ac:dyDescent="0.25">
      <c r="A400" s="22" t="s">
        <v>908</v>
      </c>
      <c r="B400" s="23" t="s">
        <v>909</v>
      </c>
      <c r="C400" s="24"/>
      <c r="D400" s="24"/>
      <c r="E400" s="28">
        <v>0</v>
      </c>
      <c r="F400" s="28">
        <v>0</v>
      </c>
      <c r="G400" s="28">
        <v>0</v>
      </c>
      <c r="H400" s="28">
        <v>0</v>
      </c>
      <c r="I400" s="28">
        <v>0</v>
      </c>
      <c r="J400" s="28">
        <v>0</v>
      </c>
      <c r="K400" s="28">
        <v>0</v>
      </c>
      <c r="L400" s="28">
        <v>0</v>
      </c>
      <c r="M400" s="28">
        <v>0</v>
      </c>
      <c r="N400" s="28">
        <v>0</v>
      </c>
      <c r="O400" s="24"/>
      <c r="P400" s="26"/>
      <c r="Q400" s="27"/>
    </row>
    <row r="401" spans="1:17" ht="40.5" x14ac:dyDescent="0.25">
      <c r="A401" s="16" t="s">
        <v>910</v>
      </c>
      <c r="B401" s="17" t="s">
        <v>911</v>
      </c>
      <c r="C401" s="18"/>
      <c r="D401" s="18" t="s">
        <v>789</v>
      </c>
      <c r="E401" s="19">
        <f t="shared" ref="E401:N401" si="138">E402+E404</f>
        <v>40000</v>
      </c>
      <c r="F401" s="19">
        <f t="shared" si="138"/>
        <v>40000</v>
      </c>
      <c r="G401" s="19">
        <f t="shared" si="138"/>
        <v>0</v>
      </c>
      <c r="H401" s="19">
        <f t="shared" si="138"/>
        <v>0</v>
      </c>
      <c r="I401" s="19">
        <f t="shared" si="138"/>
        <v>0</v>
      </c>
      <c r="J401" s="19">
        <f t="shared" si="138"/>
        <v>0</v>
      </c>
      <c r="K401" s="19">
        <f t="shared" si="138"/>
        <v>0</v>
      </c>
      <c r="L401" s="19">
        <f t="shared" si="138"/>
        <v>0</v>
      </c>
      <c r="M401" s="19">
        <f t="shared" si="138"/>
        <v>0</v>
      </c>
      <c r="N401" s="19">
        <f t="shared" si="138"/>
        <v>0</v>
      </c>
      <c r="O401" s="18"/>
      <c r="P401" s="20"/>
      <c r="Q401" s="21"/>
    </row>
    <row r="402" spans="1:17" ht="60.75" x14ac:dyDescent="0.25">
      <c r="A402" s="22" t="s">
        <v>912</v>
      </c>
      <c r="B402" s="23" t="s">
        <v>913</v>
      </c>
      <c r="C402" s="24" t="s">
        <v>179</v>
      </c>
      <c r="D402" s="24" t="s">
        <v>789</v>
      </c>
      <c r="E402" s="25">
        <f>SUM(E403:E403)+30000</f>
        <v>30000</v>
      </c>
      <c r="F402" s="25">
        <f>SUM(F403:F403)+30000</f>
        <v>30000</v>
      </c>
      <c r="G402" s="25">
        <f t="shared" ref="G402:N402" si="139">SUM(G403:G403)</f>
        <v>0</v>
      </c>
      <c r="H402" s="25">
        <f t="shared" si="139"/>
        <v>0</v>
      </c>
      <c r="I402" s="25">
        <f t="shared" si="139"/>
        <v>0</v>
      </c>
      <c r="J402" s="25">
        <f t="shared" si="139"/>
        <v>0</v>
      </c>
      <c r="K402" s="25">
        <f t="shared" si="139"/>
        <v>0</v>
      </c>
      <c r="L402" s="25">
        <f t="shared" si="139"/>
        <v>0</v>
      </c>
      <c r="M402" s="25">
        <f t="shared" si="139"/>
        <v>0</v>
      </c>
      <c r="N402" s="25">
        <f t="shared" si="139"/>
        <v>0</v>
      </c>
      <c r="O402" s="24" t="s">
        <v>914</v>
      </c>
      <c r="P402" s="26" t="s">
        <v>31</v>
      </c>
      <c r="Q402" s="27" t="s">
        <v>915</v>
      </c>
    </row>
    <row r="403" spans="1:17" ht="40.5" x14ac:dyDescent="0.25">
      <c r="A403" s="22" t="s">
        <v>916</v>
      </c>
      <c r="B403" s="23" t="s">
        <v>917</v>
      </c>
      <c r="C403" s="24"/>
      <c r="D403" s="24"/>
      <c r="E403" s="28">
        <v>0</v>
      </c>
      <c r="F403" s="28">
        <v>0</v>
      </c>
      <c r="G403" s="28">
        <v>0</v>
      </c>
      <c r="H403" s="28">
        <v>0</v>
      </c>
      <c r="I403" s="28">
        <v>0</v>
      </c>
      <c r="J403" s="28">
        <v>0</v>
      </c>
      <c r="K403" s="28">
        <v>0</v>
      </c>
      <c r="L403" s="28">
        <v>0</v>
      </c>
      <c r="M403" s="28">
        <v>0</v>
      </c>
      <c r="N403" s="28">
        <v>0</v>
      </c>
      <c r="O403" s="24"/>
      <c r="P403" s="26"/>
      <c r="Q403" s="27"/>
    </row>
    <row r="404" spans="1:17" ht="40.5" x14ac:dyDescent="0.25">
      <c r="A404" s="22" t="s">
        <v>918</v>
      </c>
      <c r="B404" s="23" t="s">
        <v>919</v>
      </c>
      <c r="C404" s="24" t="s">
        <v>179</v>
      </c>
      <c r="D404" s="24" t="s">
        <v>427</v>
      </c>
      <c r="E404" s="25">
        <f>SUM(E405:E405)+10000</f>
        <v>10000</v>
      </c>
      <c r="F404" s="25">
        <f>SUM(F405:F405)+10000</f>
        <v>10000</v>
      </c>
      <c r="G404" s="25">
        <f t="shared" ref="G404:N404" si="140">SUM(G405:G405)</f>
        <v>0</v>
      </c>
      <c r="H404" s="25">
        <f t="shared" si="140"/>
        <v>0</v>
      </c>
      <c r="I404" s="25">
        <f t="shared" si="140"/>
        <v>0</v>
      </c>
      <c r="J404" s="25">
        <f t="shared" si="140"/>
        <v>0</v>
      </c>
      <c r="K404" s="25">
        <f t="shared" si="140"/>
        <v>0</v>
      </c>
      <c r="L404" s="25">
        <f t="shared" si="140"/>
        <v>0</v>
      </c>
      <c r="M404" s="25">
        <f t="shared" si="140"/>
        <v>0</v>
      </c>
      <c r="N404" s="25">
        <f t="shared" si="140"/>
        <v>0</v>
      </c>
      <c r="O404" s="24" t="s">
        <v>920</v>
      </c>
      <c r="P404" s="26" t="s">
        <v>31</v>
      </c>
      <c r="Q404" s="27" t="s">
        <v>921</v>
      </c>
    </row>
    <row r="405" spans="1:17" ht="40.5" x14ac:dyDescent="0.25">
      <c r="A405" s="22" t="s">
        <v>922</v>
      </c>
      <c r="B405" s="23" t="s">
        <v>923</v>
      </c>
      <c r="C405" s="24"/>
      <c r="D405" s="24"/>
      <c r="E405" s="28">
        <v>0</v>
      </c>
      <c r="F405" s="28">
        <v>0</v>
      </c>
      <c r="G405" s="28">
        <v>0</v>
      </c>
      <c r="H405" s="28">
        <v>0</v>
      </c>
      <c r="I405" s="28">
        <v>0</v>
      </c>
      <c r="J405" s="28">
        <v>0</v>
      </c>
      <c r="K405" s="28">
        <v>0</v>
      </c>
      <c r="L405" s="28">
        <v>0</v>
      </c>
      <c r="M405" s="28">
        <v>0</v>
      </c>
      <c r="N405" s="28">
        <v>0</v>
      </c>
      <c r="O405" s="24"/>
      <c r="P405" s="26"/>
      <c r="Q405" s="27"/>
    </row>
    <row r="406" spans="1:17" ht="40.5" x14ac:dyDescent="0.25">
      <c r="A406" s="10" t="s">
        <v>924</v>
      </c>
      <c r="B406" s="11" t="s">
        <v>925</v>
      </c>
      <c r="C406" s="12"/>
      <c r="D406" s="12"/>
      <c r="E406" s="13">
        <f t="shared" ref="E406:N406" si="141">E407+E414+E417+E420</f>
        <v>1954502</v>
      </c>
      <c r="F406" s="13">
        <f t="shared" si="141"/>
        <v>1954502</v>
      </c>
      <c r="G406" s="13">
        <f t="shared" si="141"/>
        <v>0</v>
      </c>
      <c r="H406" s="13">
        <f t="shared" si="141"/>
        <v>0</v>
      </c>
      <c r="I406" s="13">
        <f t="shared" si="141"/>
        <v>0</v>
      </c>
      <c r="J406" s="13">
        <f t="shared" si="141"/>
        <v>0</v>
      </c>
      <c r="K406" s="13">
        <f t="shared" si="141"/>
        <v>0</v>
      </c>
      <c r="L406" s="13">
        <f t="shared" si="141"/>
        <v>0</v>
      </c>
      <c r="M406" s="13">
        <f t="shared" si="141"/>
        <v>0</v>
      </c>
      <c r="N406" s="13">
        <f t="shared" si="141"/>
        <v>0</v>
      </c>
      <c r="O406" s="12"/>
      <c r="P406" s="14"/>
      <c r="Q406" s="15"/>
    </row>
    <row r="407" spans="1:17" ht="60.75" x14ac:dyDescent="0.25">
      <c r="A407" s="16" t="s">
        <v>926</v>
      </c>
      <c r="B407" s="17" t="s">
        <v>927</v>
      </c>
      <c r="C407" s="18"/>
      <c r="D407" s="18"/>
      <c r="E407" s="19">
        <f t="shared" ref="E407:N407" si="142">E408+E410+E412</f>
        <v>1773902</v>
      </c>
      <c r="F407" s="19">
        <f t="shared" si="142"/>
        <v>1773902</v>
      </c>
      <c r="G407" s="19">
        <f t="shared" si="142"/>
        <v>0</v>
      </c>
      <c r="H407" s="19">
        <f t="shared" si="142"/>
        <v>0</v>
      </c>
      <c r="I407" s="19">
        <f t="shared" si="142"/>
        <v>0</v>
      </c>
      <c r="J407" s="19">
        <f t="shared" si="142"/>
        <v>0</v>
      </c>
      <c r="K407" s="19">
        <f t="shared" si="142"/>
        <v>0</v>
      </c>
      <c r="L407" s="19">
        <f t="shared" si="142"/>
        <v>0</v>
      </c>
      <c r="M407" s="19">
        <f t="shared" si="142"/>
        <v>0</v>
      </c>
      <c r="N407" s="19">
        <f t="shared" si="142"/>
        <v>0</v>
      </c>
      <c r="O407" s="18"/>
      <c r="P407" s="20"/>
      <c r="Q407" s="21"/>
    </row>
    <row r="408" spans="1:17" ht="81" x14ac:dyDescent="0.25">
      <c r="A408" s="22" t="s">
        <v>928</v>
      </c>
      <c r="B408" s="23" t="s">
        <v>929</v>
      </c>
      <c r="C408" s="24" t="s">
        <v>179</v>
      </c>
      <c r="D408" s="24" t="s">
        <v>233</v>
      </c>
      <c r="E408" s="25">
        <f>SUM(E409:E409)+1416400</f>
        <v>1416400</v>
      </c>
      <c r="F408" s="25">
        <f>SUM(F409:F409)+1416400</f>
        <v>1416400</v>
      </c>
      <c r="G408" s="25">
        <f t="shared" ref="G408:N408" si="143">SUM(G409:G409)</f>
        <v>0</v>
      </c>
      <c r="H408" s="25">
        <f t="shared" si="143"/>
        <v>0</v>
      </c>
      <c r="I408" s="25">
        <f t="shared" si="143"/>
        <v>0</v>
      </c>
      <c r="J408" s="25">
        <f t="shared" si="143"/>
        <v>0</v>
      </c>
      <c r="K408" s="25">
        <f t="shared" si="143"/>
        <v>0</v>
      </c>
      <c r="L408" s="25">
        <f t="shared" si="143"/>
        <v>0</v>
      </c>
      <c r="M408" s="25">
        <f t="shared" si="143"/>
        <v>0</v>
      </c>
      <c r="N408" s="25">
        <f t="shared" si="143"/>
        <v>0</v>
      </c>
      <c r="O408" s="24" t="s">
        <v>930</v>
      </c>
      <c r="P408" s="26" t="s">
        <v>327</v>
      </c>
      <c r="Q408" s="27" t="s">
        <v>548</v>
      </c>
    </row>
    <row r="409" spans="1:17" ht="162" x14ac:dyDescent="0.25">
      <c r="A409" s="22" t="s">
        <v>931</v>
      </c>
      <c r="B409" s="23" t="s">
        <v>932</v>
      </c>
      <c r="C409" s="24"/>
      <c r="D409" s="24"/>
      <c r="E409" s="28">
        <v>0</v>
      </c>
      <c r="F409" s="28">
        <v>0</v>
      </c>
      <c r="G409" s="28">
        <v>0</v>
      </c>
      <c r="H409" s="28">
        <v>0</v>
      </c>
      <c r="I409" s="28">
        <v>0</v>
      </c>
      <c r="J409" s="28">
        <v>0</v>
      </c>
      <c r="K409" s="28">
        <v>0</v>
      </c>
      <c r="L409" s="28">
        <v>0</v>
      </c>
      <c r="M409" s="28">
        <v>0</v>
      </c>
      <c r="N409" s="28">
        <v>0</v>
      </c>
      <c r="O409" s="24"/>
      <c r="P409" s="26"/>
      <c r="Q409" s="27"/>
    </row>
    <row r="410" spans="1:17" ht="40.5" x14ac:dyDescent="0.25">
      <c r="A410" s="22" t="s">
        <v>933</v>
      </c>
      <c r="B410" s="23" t="s">
        <v>934</v>
      </c>
      <c r="C410" s="24" t="s">
        <v>179</v>
      </c>
      <c r="D410" s="24" t="s">
        <v>233</v>
      </c>
      <c r="E410" s="25">
        <f>SUM(E411:E411)+350000</f>
        <v>350000</v>
      </c>
      <c r="F410" s="25">
        <f>SUM(F411:F411)+350000</f>
        <v>350000</v>
      </c>
      <c r="G410" s="25">
        <f t="shared" ref="G410:N410" si="144">SUM(G411:G411)</f>
        <v>0</v>
      </c>
      <c r="H410" s="25">
        <f t="shared" si="144"/>
        <v>0</v>
      </c>
      <c r="I410" s="25">
        <f t="shared" si="144"/>
        <v>0</v>
      </c>
      <c r="J410" s="25">
        <f t="shared" si="144"/>
        <v>0</v>
      </c>
      <c r="K410" s="25">
        <f t="shared" si="144"/>
        <v>0</v>
      </c>
      <c r="L410" s="25">
        <f t="shared" si="144"/>
        <v>0</v>
      </c>
      <c r="M410" s="25">
        <f t="shared" si="144"/>
        <v>0</v>
      </c>
      <c r="N410" s="25">
        <f t="shared" si="144"/>
        <v>0</v>
      </c>
      <c r="O410" s="24" t="s">
        <v>829</v>
      </c>
      <c r="P410" s="26" t="s">
        <v>31</v>
      </c>
      <c r="Q410" s="27" t="s">
        <v>830</v>
      </c>
    </row>
    <row r="411" spans="1:17" ht="60.75" x14ac:dyDescent="0.25">
      <c r="A411" s="22" t="s">
        <v>935</v>
      </c>
      <c r="B411" s="23" t="s">
        <v>936</v>
      </c>
      <c r="C411" s="24"/>
      <c r="D411" s="24"/>
      <c r="E411" s="28">
        <v>0</v>
      </c>
      <c r="F411" s="28">
        <v>0</v>
      </c>
      <c r="G411" s="28">
        <v>0</v>
      </c>
      <c r="H411" s="28">
        <v>0</v>
      </c>
      <c r="I411" s="28">
        <v>0</v>
      </c>
      <c r="J411" s="28">
        <v>0</v>
      </c>
      <c r="K411" s="28">
        <v>0</v>
      </c>
      <c r="L411" s="28">
        <v>0</v>
      </c>
      <c r="M411" s="28">
        <v>0</v>
      </c>
      <c r="N411" s="28">
        <v>0</v>
      </c>
      <c r="O411" s="24"/>
      <c r="P411" s="26"/>
      <c r="Q411" s="27"/>
    </row>
    <row r="412" spans="1:17" ht="40.5" x14ac:dyDescent="0.25">
      <c r="A412" s="22" t="s">
        <v>937</v>
      </c>
      <c r="B412" s="23" t="s">
        <v>938</v>
      </c>
      <c r="C412" s="24"/>
      <c r="D412" s="24" t="s">
        <v>427</v>
      </c>
      <c r="E412" s="25">
        <f>SUM(E413:E413)+7502</f>
        <v>7502</v>
      </c>
      <c r="F412" s="25">
        <f>SUM(F413:F413)+7502</f>
        <v>7502</v>
      </c>
      <c r="G412" s="25">
        <f t="shared" ref="G412:N412" si="145">SUM(G413:G413)</f>
        <v>0</v>
      </c>
      <c r="H412" s="25">
        <f t="shared" si="145"/>
        <v>0</v>
      </c>
      <c r="I412" s="25">
        <f t="shared" si="145"/>
        <v>0</v>
      </c>
      <c r="J412" s="25">
        <f t="shared" si="145"/>
        <v>0</v>
      </c>
      <c r="K412" s="25">
        <f t="shared" si="145"/>
        <v>0</v>
      </c>
      <c r="L412" s="25">
        <f t="shared" si="145"/>
        <v>0</v>
      </c>
      <c r="M412" s="25">
        <f t="shared" si="145"/>
        <v>0</v>
      </c>
      <c r="N412" s="25">
        <f t="shared" si="145"/>
        <v>0</v>
      </c>
      <c r="O412" s="24" t="s">
        <v>201</v>
      </c>
      <c r="P412" s="26" t="s">
        <v>31</v>
      </c>
      <c r="Q412" s="27" t="s">
        <v>38</v>
      </c>
    </row>
    <row r="413" spans="1:17" ht="40.5" x14ac:dyDescent="0.25">
      <c r="A413" s="22" t="s">
        <v>939</v>
      </c>
      <c r="B413" s="23" t="s">
        <v>940</v>
      </c>
      <c r="C413" s="24"/>
      <c r="D413" s="24"/>
      <c r="E413" s="28">
        <v>0</v>
      </c>
      <c r="F413" s="28">
        <v>0</v>
      </c>
      <c r="G413" s="28">
        <v>0</v>
      </c>
      <c r="H413" s="28">
        <v>0</v>
      </c>
      <c r="I413" s="28">
        <v>0</v>
      </c>
      <c r="J413" s="28">
        <v>0</v>
      </c>
      <c r="K413" s="28">
        <v>0</v>
      </c>
      <c r="L413" s="28">
        <v>0</v>
      </c>
      <c r="M413" s="28">
        <v>0</v>
      </c>
      <c r="N413" s="28">
        <v>0</v>
      </c>
      <c r="O413" s="24"/>
      <c r="P413" s="26"/>
      <c r="Q413" s="27"/>
    </row>
    <row r="414" spans="1:17" ht="101.25" x14ac:dyDescent="0.25">
      <c r="A414" s="16" t="s">
        <v>941</v>
      </c>
      <c r="B414" s="17" t="s">
        <v>942</v>
      </c>
      <c r="C414" s="18"/>
      <c r="D414" s="18"/>
      <c r="E414" s="19">
        <f t="shared" ref="E414:N414" si="146">SUM(E415:E415)</f>
        <v>107600</v>
      </c>
      <c r="F414" s="19">
        <f t="shared" si="146"/>
        <v>107600</v>
      </c>
      <c r="G414" s="19">
        <f t="shared" si="146"/>
        <v>0</v>
      </c>
      <c r="H414" s="19">
        <f t="shared" si="146"/>
        <v>0</v>
      </c>
      <c r="I414" s="19">
        <f t="shared" si="146"/>
        <v>0</v>
      </c>
      <c r="J414" s="19">
        <f t="shared" si="146"/>
        <v>0</v>
      </c>
      <c r="K414" s="19">
        <f t="shared" si="146"/>
        <v>0</v>
      </c>
      <c r="L414" s="19">
        <f t="shared" si="146"/>
        <v>0</v>
      </c>
      <c r="M414" s="19">
        <f t="shared" si="146"/>
        <v>0</v>
      </c>
      <c r="N414" s="19">
        <f t="shared" si="146"/>
        <v>0</v>
      </c>
      <c r="O414" s="18"/>
      <c r="P414" s="20"/>
      <c r="Q414" s="21"/>
    </row>
    <row r="415" spans="1:17" ht="40.5" x14ac:dyDescent="0.25">
      <c r="A415" s="22" t="s">
        <v>943</v>
      </c>
      <c r="B415" s="23" t="s">
        <v>944</v>
      </c>
      <c r="C415" s="24" t="s">
        <v>179</v>
      </c>
      <c r="D415" s="24" t="s">
        <v>233</v>
      </c>
      <c r="E415" s="25">
        <f>SUM(E416:E416)+107600</f>
        <v>107600</v>
      </c>
      <c r="F415" s="25">
        <f>SUM(F416:F416)+107600</f>
        <v>107600</v>
      </c>
      <c r="G415" s="25">
        <f t="shared" ref="G415:N415" si="147">SUM(G416:G416)</f>
        <v>0</v>
      </c>
      <c r="H415" s="25">
        <f t="shared" si="147"/>
        <v>0</v>
      </c>
      <c r="I415" s="25">
        <f t="shared" si="147"/>
        <v>0</v>
      </c>
      <c r="J415" s="25">
        <f t="shared" si="147"/>
        <v>0</v>
      </c>
      <c r="K415" s="25">
        <f t="shared" si="147"/>
        <v>0</v>
      </c>
      <c r="L415" s="25">
        <f t="shared" si="147"/>
        <v>0</v>
      </c>
      <c r="M415" s="25">
        <f t="shared" si="147"/>
        <v>0</v>
      </c>
      <c r="N415" s="25">
        <f t="shared" si="147"/>
        <v>0</v>
      </c>
      <c r="O415" s="24" t="s">
        <v>945</v>
      </c>
      <c r="P415" s="26" t="s">
        <v>31</v>
      </c>
      <c r="Q415" s="27" t="s">
        <v>946</v>
      </c>
    </row>
    <row r="416" spans="1:17" ht="81" x14ac:dyDescent="0.25">
      <c r="A416" s="22" t="s">
        <v>947</v>
      </c>
      <c r="B416" s="23" t="s">
        <v>948</v>
      </c>
      <c r="C416" s="24"/>
      <c r="D416" s="24"/>
      <c r="E416" s="28">
        <v>0</v>
      </c>
      <c r="F416" s="28">
        <v>0</v>
      </c>
      <c r="G416" s="28">
        <v>0</v>
      </c>
      <c r="H416" s="28">
        <v>0</v>
      </c>
      <c r="I416" s="28">
        <v>0</v>
      </c>
      <c r="J416" s="28">
        <v>0</v>
      </c>
      <c r="K416" s="28">
        <v>0</v>
      </c>
      <c r="L416" s="28">
        <v>0</v>
      </c>
      <c r="M416" s="28">
        <v>0</v>
      </c>
      <c r="N416" s="28">
        <v>0</v>
      </c>
      <c r="O416" s="24"/>
      <c r="P416" s="26"/>
      <c r="Q416" s="27"/>
    </row>
    <row r="417" spans="1:17" ht="81" x14ac:dyDescent="0.25">
      <c r="A417" s="16" t="s">
        <v>949</v>
      </c>
      <c r="B417" s="17" t="s">
        <v>950</v>
      </c>
      <c r="C417" s="18"/>
      <c r="D417" s="18"/>
      <c r="E417" s="19">
        <f t="shared" ref="E417:N417" si="148">SUM(E418:E418)</f>
        <v>60000</v>
      </c>
      <c r="F417" s="19">
        <f t="shared" si="148"/>
        <v>60000</v>
      </c>
      <c r="G417" s="19">
        <f t="shared" si="148"/>
        <v>0</v>
      </c>
      <c r="H417" s="19">
        <f t="shared" si="148"/>
        <v>0</v>
      </c>
      <c r="I417" s="19">
        <f t="shared" si="148"/>
        <v>0</v>
      </c>
      <c r="J417" s="19">
        <f t="shared" si="148"/>
        <v>0</v>
      </c>
      <c r="K417" s="19">
        <f t="shared" si="148"/>
        <v>0</v>
      </c>
      <c r="L417" s="19">
        <f t="shared" si="148"/>
        <v>0</v>
      </c>
      <c r="M417" s="19">
        <f t="shared" si="148"/>
        <v>0</v>
      </c>
      <c r="N417" s="19">
        <f t="shared" si="148"/>
        <v>0</v>
      </c>
      <c r="O417" s="18"/>
      <c r="P417" s="20"/>
      <c r="Q417" s="21"/>
    </row>
    <row r="418" spans="1:17" ht="40.5" x14ac:dyDescent="0.25">
      <c r="A418" s="22" t="s">
        <v>951</v>
      </c>
      <c r="B418" s="23" t="s">
        <v>952</v>
      </c>
      <c r="C418" s="24" t="s">
        <v>179</v>
      </c>
      <c r="D418" s="24" t="s">
        <v>427</v>
      </c>
      <c r="E418" s="25">
        <f>SUM(E419:E419)+60000</f>
        <v>60000</v>
      </c>
      <c r="F418" s="25">
        <f>SUM(F419:F419)+60000</f>
        <v>60000</v>
      </c>
      <c r="G418" s="25">
        <f t="shared" ref="G418:N418" si="149">SUM(G419:G419)</f>
        <v>0</v>
      </c>
      <c r="H418" s="25">
        <f t="shared" si="149"/>
        <v>0</v>
      </c>
      <c r="I418" s="25">
        <f t="shared" si="149"/>
        <v>0</v>
      </c>
      <c r="J418" s="25">
        <f t="shared" si="149"/>
        <v>0</v>
      </c>
      <c r="K418" s="25">
        <f t="shared" si="149"/>
        <v>0</v>
      </c>
      <c r="L418" s="25">
        <f t="shared" si="149"/>
        <v>0</v>
      </c>
      <c r="M418" s="25">
        <f t="shared" si="149"/>
        <v>0</v>
      </c>
      <c r="N418" s="25">
        <f t="shared" si="149"/>
        <v>0</v>
      </c>
      <c r="O418" s="24" t="s">
        <v>953</v>
      </c>
      <c r="P418" s="26" t="s">
        <v>31</v>
      </c>
      <c r="Q418" s="27" t="s">
        <v>74</v>
      </c>
    </row>
    <row r="419" spans="1:17" ht="40.5" x14ac:dyDescent="0.25">
      <c r="A419" s="22" t="s">
        <v>954</v>
      </c>
      <c r="B419" s="23" t="s">
        <v>955</v>
      </c>
      <c r="C419" s="24"/>
      <c r="D419" s="24"/>
      <c r="E419" s="28">
        <v>0</v>
      </c>
      <c r="F419" s="28">
        <v>0</v>
      </c>
      <c r="G419" s="28">
        <v>0</v>
      </c>
      <c r="H419" s="28">
        <v>0</v>
      </c>
      <c r="I419" s="28">
        <v>0</v>
      </c>
      <c r="J419" s="28">
        <v>0</v>
      </c>
      <c r="K419" s="28">
        <v>0</v>
      </c>
      <c r="L419" s="28">
        <v>0</v>
      </c>
      <c r="M419" s="28">
        <v>0</v>
      </c>
      <c r="N419" s="28">
        <v>0</v>
      </c>
      <c r="O419" s="24"/>
      <c r="P419" s="26"/>
      <c r="Q419" s="27"/>
    </row>
    <row r="420" spans="1:17" ht="60.75" x14ac:dyDescent="0.25">
      <c r="A420" s="16" t="s">
        <v>956</v>
      </c>
      <c r="B420" s="17" t="s">
        <v>957</v>
      </c>
      <c r="C420" s="18"/>
      <c r="D420" s="18"/>
      <c r="E420" s="19">
        <f t="shared" ref="E420:N420" si="150">E421+E423</f>
        <v>13000</v>
      </c>
      <c r="F420" s="19">
        <f t="shared" si="150"/>
        <v>13000</v>
      </c>
      <c r="G420" s="19">
        <f t="shared" si="150"/>
        <v>0</v>
      </c>
      <c r="H420" s="19">
        <f t="shared" si="150"/>
        <v>0</v>
      </c>
      <c r="I420" s="19">
        <f t="shared" si="150"/>
        <v>0</v>
      </c>
      <c r="J420" s="19">
        <f t="shared" si="150"/>
        <v>0</v>
      </c>
      <c r="K420" s="19">
        <f t="shared" si="150"/>
        <v>0</v>
      </c>
      <c r="L420" s="19">
        <f t="shared" si="150"/>
        <v>0</v>
      </c>
      <c r="M420" s="19">
        <f t="shared" si="150"/>
        <v>0</v>
      </c>
      <c r="N420" s="19">
        <f t="shared" si="150"/>
        <v>0</v>
      </c>
      <c r="O420" s="18"/>
      <c r="P420" s="20"/>
      <c r="Q420" s="21"/>
    </row>
    <row r="421" spans="1:17" ht="60.75" x14ac:dyDescent="0.25">
      <c r="A421" s="22" t="s">
        <v>958</v>
      </c>
      <c r="B421" s="23" t="s">
        <v>959</v>
      </c>
      <c r="C421" s="24" t="s">
        <v>179</v>
      </c>
      <c r="D421" s="24" t="s">
        <v>427</v>
      </c>
      <c r="E421" s="25">
        <f>SUM(E422:E422)+8000</f>
        <v>8000</v>
      </c>
      <c r="F421" s="25">
        <f>SUM(F422:F422)+8000</f>
        <v>8000</v>
      </c>
      <c r="G421" s="25">
        <f t="shared" ref="G421:N421" si="151">SUM(G422:G422)</f>
        <v>0</v>
      </c>
      <c r="H421" s="25">
        <f t="shared" si="151"/>
        <v>0</v>
      </c>
      <c r="I421" s="25">
        <f t="shared" si="151"/>
        <v>0</v>
      </c>
      <c r="J421" s="25">
        <f t="shared" si="151"/>
        <v>0</v>
      </c>
      <c r="K421" s="25">
        <f t="shared" si="151"/>
        <v>0</v>
      </c>
      <c r="L421" s="25">
        <f t="shared" si="151"/>
        <v>0</v>
      </c>
      <c r="M421" s="25">
        <f t="shared" si="151"/>
        <v>0</v>
      </c>
      <c r="N421" s="25">
        <f t="shared" si="151"/>
        <v>0</v>
      </c>
      <c r="O421" s="24" t="s">
        <v>829</v>
      </c>
      <c r="P421" s="26" t="s">
        <v>31</v>
      </c>
      <c r="Q421" s="27" t="s">
        <v>171</v>
      </c>
    </row>
    <row r="422" spans="1:17" ht="60.75" x14ac:dyDescent="0.25">
      <c r="A422" s="22" t="s">
        <v>960</v>
      </c>
      <c r="B422" s="23" t="s">
        <v>961</v>
      </c>
      <c r="C422" s="24"/>
      <c r="D422" s="24"/>
      <c r="E422" s="28">
        <v>0</v>
      </c>
      <c r="F422" s="28">
        <v>0</v>
      </c>
      <c r="G422" s="28">
        <v>0</v>
      </c>
      <c r="H422" s="28">
        <v>0</v>
      </c>
      <c r="I422" s="28">
        <v>0</v>
      </c>
      <c r="J422" s="28">
        <v>0</v>
      </c>
      <c r="K422" s="28">
        <v>0</v>
      </c>
      <c r="L422" s="28">
        <v>0</v>
      </c>
      <c r="M422" s="28">
        <v>0</v>
      </c>
      <c r="N422" s="28">
        <v>0</v>
      </c>
      <c r="O422" s="24"/>
      <c r="P422" s="26"/>
      <c r="Q422" s="27"/>
    </row>
    <row r="423" spans="1:17" ht="40.5" x14ac:dyDescent="0.25">
      <c r="A423" s="22" t="s">
        <v>962</v>
      </c>
      <c r="B423" s="23" t="s">
        <v>963</v>
      </c>
      <c r="C423" s="24" t="s">
        <v>179</v>
      </c>
      <c r="D423" s="24" t="s">
        <v>233</v>
      </c>
      <c r="E423" s="25">
        <f>SUM(E424:E424)+5000</f>
        <v>5000</v>
      </c>
      <c r="F423" s="25">
        <f>SUM(F424:F424)+5000</f>
        <v>5000</v>
      </c>
      <c r="G423" s="25">
        <f t="shared" ref="G423:N423" si="152">SUM(G424:G424)</f>
        <v>0</v>
      </c>
      <c r="H423" s="25">
        <f t="shared" si="152"/>
        <v>0</v>
      </c>
      <c r="I423" s="25">
        <f t="shared" si="152"/>
        <v>0</v>
      </c>
      <c r="J423" s="25">
        <f t="shared" si="152"/>
        <v>0</v>
      </c>
      <c r="K423" s="25">
        <f t="shared" si="152"/>
        <v>0</v>
      </c>
      <c r="L423" s="25">
        <f t="shared" si="152"/>
        <v>0</v>
      </c>
      <c r="M423" s="25">
        <f t="shared" si="152"/>
        <v>0</v>
      </c>
      <c r="N423" s="25">
        <f t="shared" si="152"/>
        <v>0</v>
      </c>
      <c r="O423" s="24" t="s">
        <v>964</v>
      </c>
      <c r="P423" s="26" t="s">
        <v>31</v>
      </c>
      <c r="Q423" s="27" t="s">
        <v>74</v>
      </c>
    </row>
    <row r="424" spans="1:17" ht="60.75" x14ac:dyDescent="0.25">
      <c r="A424" s="22" t="s">
        <v>965</v>
      </c>
      <c r="B424" s="23" t="s">
        <v>966</v>
      </c>
      <c r="C424" s="24"/>
      <c r="D424" s="24"/>
      <c r="E424" s="28">
        <v>0</v>
      </c>
      <c r="F424" s="28">
        <v>0</v>
      </c>
      <c r="G424" s="28">
        <v>0</v>
      </c>
      <c r="H424" s="28">
        <v>0</v>
      </c>
      <c r="I424" s="28">
        <v>0</v>
      </c>
      <c r="J424" s="28">
        <v>0</v>
      </c>
      <c r="K424" s="28">
        <v>0</v>
      </c>
      <c r="L424" s="28">
        <v>0</v>
      </c>
      <c r="M424" s="28">
        <v>0</v>
      </c>
      <c r="N424" s="28">
        <v>0</v>
      </c>
      <c r="O424" s="24"/>
      <c r="P424" s="26"/>
      <c r="Q424" s="27"/>
    </row>
    <row r="425" spans="1:17" ht="60.75" x14ac:dyDescent="0.25">
      <c r="A425" s="10" t="s">
        <v>967</v>
      </c>
      <c r="B425" s="11" t="s">
        <v>332</v>
      </c>
      <c r="C425" s="12" t="s">
        <v>337</v>
      </c>
      <c r="D425" s="12" t="s">
        <v>968</v>
      </c>
      <c r="E425" s="13">
        <f t="shared" ref="E425:N425" si="153">SUM(E426:E426)</f>
        <v>351000</v>
      </c>
      <c r="F425" s="13">
        <f t="shared" si="153"/>
        <v>30000</v>
      </c>
      <c r="G425" s="13">
        <f t="shared" si="153"/>
        <v>0</v>
      </c>
      <c r="H425" s="13">
        <f t="shared" si="153"/>
        <v>0</v>
      </c>
      <c r="I425" s="13">
        <f t="shared" si="153"/>
        <v>321000</v>
      </c>
      <c r="J425" s="13">
        <f t="shared" si="153"/>
        <v>0</v>
      </c>
      <c r="K425" s="13">
        <f t="shared" si="153"/>
        <v>0</v>
      </c>
      <c r="L425" s="13">
        <f t="shared" si="153"/>
        <v>0</v>
      </c>
      <c r="M425" s="13">
        <f t="shared" si="153"/>
        <v>0</v>
      </c>
      <c r="N425" s="13">
        <f t="shared" si="153"/>
        <v>0</v>
      </c>
      <c r="O425" s="12"/>
      <c r="P425" s="14"/>
      <c r="Q425" s="15"/>
    </row>
    <row r="426" spans="1:17" ht="60.75" x14ac:dyDescent="0.25">
      <c r="A426" s="16" t="s">
        <v>969</v>
      </c>
      <c r="B426" s="17" t="s">
        <v>970</v>
      </c>
      <c r="C426" s="18"/>
      <c r="D426" s="18"/>
      <c r="E426" s="19">
        <f t="shared" ref="E426:N426" si="154">E427+E429</f>
        <v>351000</v>
      </c>
      <c r="F426" s="19">
        <f t="shared" si="154"/>
        <v>30000</v>
      </c>
      <c r="G426" s="19">
        <f t="shared" si="154"/>
        <v>0</v>
      </c>
      <c r="H426" s="19">
        <f t="shared" si="154"/>
        <v>0</v>
      </c>
      <c r="I426" s="19">
        <f t="shared" si="154"/>
        <v>321000</v>
      </c>
      <c r="J426" s="19">
        <f t="shared" si="154"/>
        <v>0</v>
      </c>
      <c r="K426" s="19">
        <f t="shared" si="154"/>
        <v>0</v>
      </c>
      <c r="L426" s="19">
        <f t="shared" si="154"/>
        <v>0</v>
      </c>
      <c r="M426" s="19">
        <f t="shared" si="154"/>
        <v>0</v>
      </c>
      <c r="N426" s="19">
        <f t="shared" si="154"/>
        <v>0</v>
      </c>
      <c r="O426" s="18"/>
      <c r="P426" s="20"/>
      <c r="Q426" s="21"/>
    </row>
    <row r="427" spans="1:17" ht="40.5" x14ac:dyDescent="0.25">
      <c r="A427" s="22" t="s">
        <v>971</v>
      </c>
      <c r="B427" s="23" t="s">
        <v>972</v>
      </c>
      <c r="C427" s="24"/>
      <c r="D427" s="24" t="s">
        <v>338</v>
      </c>
      <c r="E427" s="25">
        <f>SUM(E428:E428)+321000</f>
        <v>321000</v>
      </c>
      <c r="F427" s="25">
        <f>SUM(F428:F428)</f>
        <v>0</v>
      </c>
      <c r="G427" s="25">
        <f>SUM(G428:G428)</f>
        <v>0</v>
      </c>
      <c r="H427" s="25">
        <f>SUM(H428:H428)</f>
        <v>0</v>
      </c>
      <c r="I427" s="25">
        <f>SUM(I428:I428)+321000</f>
        <v>321000</v>
      </c>
      <c r="J427" s="25">
        <f>SUM(J428:J428)</f>
        <v>0</v>
      </c>
      <c r="K427" s="25">
        <f>SUM(K428:K428)</f>
        <v>0</v>
      </c>
      <c r="L427" s="25">
        <f>SUM(L428:L428)</f>
        <v>0</v>
      </c>
      <c r="M427" s="25">
        <f>SUM(M428:M428)</f>
        <v>0</v>
      </c>
      <c r="N427" s="25">
        <f>SUM(N428:N428)</f>
        <v>0</v>
      </c>
      <c r="O427" s="24" t="s">
        <v>973</v>
      </c>
      <c r="P427" s="26" t="s">
        <v>327</v>
      </c>
      <c r="Q427" s="27" t="s">
        <v>171</v>
      </c>
    </row>
    <row r="428" spans="1:17" ht="81" x14ac:dyDescent="0.25">
      <c r="A428" s="22" t="s">
        <v>974</v>
      </c>
      <c r="B428" s="23" t="s">
        <v>975</v>
      </c>
      <c r="C428" s="24"/>
      <c r="D428" s="24"/>
      <c r="E428" s="28">
        <v>0</v>
      </c>
      <c r="F428" s="28">
        <v>0</v>
      </c>
      <c r="G428" s="28">
        <v>0</v>
      </c>
      <c r="H428" s="28">
        <v>0</v>
      </c>
      <c r="I428" s="28">
        <v>0</v>
      </c>
      <c r="J428" s="28">
        <v>0</v>
      </c>
      <c r="K428" s="28">
        <v>0</v>
      </c>
      <c r="L428" s="28">
        <v>0</v>
      </c>
      <c r="M428" s="28">
        <v>0</v>
      </c>
      <c r="N428" s="28">
        <v>0</v>
      </c>
      <c r="O428" s="24"/>
      <c r="P428" s="26"/>
      <c r="Q428" s="27"/>
    </row>
    <row r="429" spans="1:17" ht="40.5" x14ac:dyDescent="0.25">
      <c r="A429" s="22" t="s">
        <v>976</v>
      </c>
      <c r="B429" s="23" t="s">
        <v>977</v>
      </c>
      <c r="C429" s="24"/>
      <c r="D429" s="24" t="s">
        <v>338</v>
      </c>
      <c r="E429" s="25">
        <f>SUM(E430:E431)+30000</f>
        <v>30000</v>
      </c>
      <c r="F429" s="25">
        <f>SUM(F430:F431)+30000</f>
        <v>30000</v>
      </c>
      <c r="G429" s="25">
        <f t="shared" ref="G429:N429" si="155">SUM(G430:G431)</f>
        <v>0</v>
      </c>
      <c r="H429" s="25">
        <f t="shared" si="155"/>
        <v>0</v>
      </c>
      <c r="I429" s="25">
        <f t="shared" si="155"/>
        <v>0</v>
      </c>
      <c r="J429" s="25">
        <f t="shared" si="155"/>
        <v>0</v>
      </c>
      <c r="K429" s="25">
        <f t="shared" si="155"/>
        <v>0</v>
      </c>
      <c r="L429" s="25">
        <f t="shared" si="155"/>
        <v>0</v>
      </c>
      <c r="M429" s="25">
        <f t="shared" si="155"/>
        <v>0</v>
      </c>
      <c r="N429" s="25">
        <f t="shared" si="155"/>
        <v>0</v>
      </c>
      <c r="O429" s="24" t="s">
        <v>978</v>
      </c>
      <c r="P429" s="26" t="s">
        <v>31</v>
      </c>
      <c r="Q429" s="27" t="s">
        <v>92</v>
      </c>
    </row>
    <row r="430" spans="1:17" ht="40.5" x14ac:dyDescent="0.25">
      <c r="A430" s="29"/>
      <c r="B430" s="30"/>
      <c r="C430" s="31"/>
      <c r="D430" s="31"/>
      <c r="E430" s="32">
        <v>0</v>
      </c>
      <c r="F430" s="32">
        <v>0</v>
      </c>
      <c r="G430" s="32">
        <v>0</v>
      </c>
      <c r="H430" s="32">
        <v>0</v>
      </c>
      <c r="I430" s="32">
        <v>0</v>
      </c>
      <c r="J430" s="32">
        <v>0</v>
      </c>
      <c r="K430" s="32">
        <v>0</v>
      </c>
      <c r="L430" s="32">
        <v>0</v>
      </c>
      <c r="M430" s="32">
        <v>0</v>
      </c>
      <c r="N430" s="32">
        <v>0</v>
      </c>
      <c r="O430" s="31" t="s">
        <v>979</v>
      </c>
      <c r="P430" s="33" t="s">
        <v>31</v>
      </c>
      <c r="Q430" s="34" t="s">
        <v>38</v>
      </c>
    </row>
    <row r="431" spans="1:17" ht="81" x14ac:dyDescent="0.25">
      <c r="A431" s="22" t="s">
        <v>980</v>
      </c>
      <c r="B431" s="23" t="s">
        <v>981</v>
      </c>
      <c r="C431" s="24"/>
      <c r="D431" s="24"/>
      <c r="E431" s="28">
        <v>0</v>
      </c>
      <c r="F431" s="28">
        <v>0</v>
      </c>
      <c r="G431" s="28">
        <v>0</v>
      </c>
      <c r="H431" s="28">
        <v>0</v>
      </c>
      <c r="I431" s="28">
        <v>0</v>
      </c>
      <c r="J431" s="28">
        <v>0</v>
      </c>
      <c r="K431" s="28">
        <v>0</v>
      </c>
      <c r="L431" s="28">
        <v>0</v>
      </c>
      <c r="M431" s="28">
        <v>0</v>
      </c>
      <c r="N431" s="28">
        <v>0</v>
      </c>
      <c r="O431" s="24"/>
      <c r="P431" s="26"/>
      <c r="Q431" s="27"/>
    </row>
    <row r="432" spans="1:17" ht="40.5" x14ac:dyDescent="0.25">
      <c r="A432" s="10" t="s">
        <v>982</v>
      </c>
      <c r="B432" s="11" t="s">
        <v>983</v>
      </c>
      <c r="C432" s="12"/>
      <c r="D432" s="12" t="s">
        <v>984</v>
      </c>
      <c r="E432" s="13">
        <f t="shared" ref="E432:N432" si="156">E433+E436</f>
        <v>5500</v>
      </c>
      <c r="F432" s="13">
        <f t="shared" si="156"/>
        <v>5500</v>
      </c>
      <c r="G432" s="13">
        <f t="shared" si="156"/>
        <v>0</v>
      </c>
      <c r="H432" s="13">
        <f t="shared" si="156"/>
        <v>0</v>
      </c>
      <c r="I432" s="13">
        <f t="shared" si="156"/>
        <v>0</v>
      </c>
      <c r="J432" s="13">
        <f t="shared" si="156"/>
        <v>0</v>
      </c>
      <c r="K432" s="13">
        <f t="shared" si="156"/>
        <v>0</v>
      </c>
      <c r="L432" s="13">
        <f t="shared" si="156"/>
        <v>0</v>
      </c>
      <c r="M432" s="13">
        <f t="shared" si="156"/>
        <v>0</v>
      </c>
      <c r="N432" s="13">
        <f t="shared" si="156"/>
        <v>0</v>
      </c>
      <c r="O432" s="12"/>
      <c r="P432" s="14"/>
      <c r="Q432" s="15"/>
    </row>
    <row r="433" spans="1:17" ht="81" x14ac:dyDescent="0.25">
      <c r="A433" s="16" t="s">
        <v>985</v>
      </c>
      <c r="B433" s="17" t="s">
        <v>986</v>
      </c>
      <c r="C433" s="18"/>
      <c r="D433" s="18"/>
      <c r="E433" s="19">
        <f t="shared" ref="E433:N433" si="157">SUM(E434:E434)</f>
        <v>1500</v>
      </c>
      <c r="F433" s="19">
        <f t="shared" si="157"/>
        <v>1500</v>
      </c>
      <c r="G433" s="19">
        <f t="shared" si="157"/>
        <v>0</v>
      </c>
      <c r="H433" s="19">
        <f t="shared" si="157"/>
        <v>0</v>
      </c>
      <c r="I433" s="19">
        <f t="shared" si="157"/>
        <v>0</v>
      </c>
      <c r="J433" s="19">
        <f t="shared" si="157"/>
        <v>0</v>
      </c>
      <c r="K433" s="19">
        <f t="shared" si="157"/>
        <v>0</v>
      </c>
      <c r="L433" s="19">
        <f t="shared" si="157"/>
        <v>0</v>
      </c>
      <c r="M433" s="19">
        <f t="shared" si="157"/>
        <v>0</v>
      </c>
      <c r="N433" s="19">
        <f t="shared" si="157"/>
        <v>0</v>
      </c>
      <c r="O433" s="18"/>
      <c r="P433" s="20"/>
      <c r="Q433" s="21"/>
    </row>
    <row r="434" spans="1:17" ht="60.75" x14ac:dyDescent="0.25">
      <c r="A434" s="22" t="s">
        <v>987</v>
      </c>
      <c r="B434" s="23" t="s">
        <v>988</v>
      </c>
      <c r="C434" s="24" t="s">
        <v>337</v>
      </c>
      <c r="D434" s="24" t="s">
        <v>984</v>
      </c>
      <c r="E434" s="25">
        <f>SUM(E435:E435)+1500</f>
        <v>1500</v>
      </c>
      <c r="F434" s="25">
        <f>SUM(F435:F435)+1500</f>
        <v>1500</v>
      </c>
      <c r="G434" s="25">
        <f t="shared" ref="G434:N434" si="158">SUM(G435:G435)</f>
        <v>0</v>
      </c>
      <c r="H434" s="25">
        <f t="shared" si="158"/>
        <v>0</v>
      </c>
      <c r="I434" s="25">
        <f t="shared" si="158"/>
        <v>0</v>
      </c>
      <c r="J434" s="25">
        <f t="shared" si="158"/>
        <v>0</v>
      </c>
      <c r="K434" s="25">
        <f t="shared" si="158"/>
        <v>0</v>
      </c>
      <c r="L434" s="25">
        <f t="shared" si="158"/>
        <v>0</v>
      </c>
      <c r="M434" s="25">
        <f t="shared" si="158"/>
        <v>0</v>
      </c>
      <c r="N434" s="25">
        <f t="shared" si="158"/>
        <v>0</v>
      </c>
      <c r="O434" s="24" t="s">
        <v>989</v>
      </c>
      <c r="P434" s="26" t="s">
        <v>31</v>
      </c>
      <c r="Q434" s="27" t="s">
        <v>38</v>
      </c>
    </row>
    <row r="435" spans="1:17" ht="81" x14ac:dyDescent="0.25">
      <c r="A435" s="22" t="s">
        <v>990</v>
      </c>
      <c r="B435" s="23" t="s">
        <v>991</v>
      </c>
      <c r="C435" s="24"/>
      <c r="D435" s="24"/>
      <c r="E435" s="28">
        <v>0</v>
      </c>
      <c r="F435" s="28">
        <v>0</v>
      </c>
      <c r="G435" s="28">
        <v>0</v>
      </c>
      <c r="H435" s="28">
        <v>0</v>
      </c>
      <c r="I435" s="28">
        <v>0</v>
      </c>
      <c r="J435" s="28">
        <v>0</v>
      </c>
      <c r="K435" s="28">
        <v>0</v>
      </c>
      <c r="L435" s="28">
        <v>0</v>
      </c>
      <c r="M435" s="28">
        <v>0</v>
      </c>
      <c r="N435" s="28">
        <v>0</v>
      </c>
      <c r="O435" s="24"/>
      <c r="P435" s="26"/>
      <c r="Q435" s="27"/>
    </row>
    <row r="436" spans="1:17" ht="81" x14ac:dyDescent="0.25">
      <c r="A436" s="16" t="s">
        <v>992</v>
      </c>
      <c r="B436" s="17" t="s">
        <v>993</v>
      </c>
      <c r="C436" s="18"/>
      <c r="D436" s="18"/>
      <c r="E436" s="19">
        <f t="shared" ref="E436:N436" si="159">SUM(E437:E437)</f>
        <v>4000</v>
      </c>
      <c r="F436" s="19">
        <f t="shared" si="159"/>
        <v>4000</v>
      </c>
      <c r="G436" s="19">
        <f t="shared" si="159"/>
        <v>0</v>
      </c>
      <c r="H436" s="19">
        <f t="shared" si="159"/>
        <v>0</v>
      </c>
      <c r="I436" s="19">
        <f t="shared" si="159"/>
        <v>0</v>
      </c>
      <c r="J436" s="19">
        <f t="shared" si="159"/>
        <v>0</v>
      </c>
      <c r="K436" s="19">
        <f t="shared" si="159"/>
        <v>0</v>
      </c>
      <c r="L436" s="19">
        <f t="shared" si="159"/>
        <v>0</v>
      </c>
      <c r="M436" s="19">
        <f t="shared" si="159"/>
        <v>0</v>
      </c>
      <c r="N436" s="19">
        <f t="shared" si="159"/>
        <v>0</v>
      </c>
      <c r="O436" s="18"/>
      <c r="P436" s="20"/>
      <c r="Q436" s="21"/>
    </row>
    <row r="437" spans="1:17" ht="81" x14ac:dyDescent="0.25">
      <c r="A437" s="22" t="s">
        <v>994</v>
      </c>
      <c r="B437" s="23" t="s">
        <v>995</v>
      </c>
      <c r="C437" s="24" t="s">
        <v>337</v>
      </c>
      <c r="D437" s="24" t="s">
        <v>984</v>
      </c>
      <c r="E437" s="25">
        <f>SUM(E438:E438)+4000</f>
        <v>4000</v>
      </c>
      <c r="F437" s="25">
        <f>SUM(F438:F438)+4000</f>
        <v>4000</v>
      </c>
      <c r="G437" s="25">
        <f t="shared" ref="G437:N437" si="160">SUM(G438:G438)</f>
        <v>0</v>
      </c>
      <c r="H437" s="25">
        <f t="shared" si="160"/>
        <v>0</v>
      </c>
      <c r="I437" s="25">
        <f t="shared" si="160"/>
        <v>0</v>
      </c>
      <c r="J437" s="25">
        <f t="shared" si="160"/>
        <v>0</v>
      </c>
      <c r="K437" s="25">
        <f t="shared" si="160"/>
        <v>0</v>
      </c>
      <c r="L437" s="25">
        <f t="shared" si="160"/>
        <v>0</v>
      </c>
      <c r="M437" s="25">
        <f t="shared" si="160"/>
        <v>0</v>
      </c>
      <c r="N437" s="25">
        <f t="shared" si="160"/>
        <v>0</v>
      </c>
      <c r="O437" s="24" t="s">
        <v>996</v>
      </c>
      <c r="P437" s="26" t="s">
        <v>31</v>
      </c>
      <c r="Q437" s="27" t="s">
        <v>997</v>
      </c>
    </row>
    <row r="438" spans="1:17" ht="81" x14ac:dyDescent="0.25">
      <c r="A438" s="22" t="s">
        <v>998</v>
      </c>
      <c r="B438" s="23" t="s">
        <v>999</v>
      </c>
      <c r="C438" s="24"/>
      <c r="D438" s="24"/>
      <c r="E438" s="28">
        <v>0</v>
      </c>
      <c r="F438" s="28">
        <v>0</v>
      </c>
      <c r="G438" s="28">
        <v>0</v>
      </c>
      <c r="H438" s="28">
        <v>0</v>
      </c>
      <c r="I438" s="28">
        <v>0</v>
      </c>
      <c r="J438" s="28">
        <v>0</v>
      </c>
      <c r="K438" s="28">
        <v>0</v>
      </c>
      <c r="L438" s="28">
        <v>0</v>
      </c>
      <c r="M438" s="28">
        <v>0</v>
      </c>
      <c r="N438" s="28">
        <v>0</v>
      </c>
      <c r="O438" s="24"/>
      <c r="P438" s="26"/>
      <c r="Q438" s="27"/>
    </row>
    <row r="439" spans="1:17" ht="40.5" x14ac:dyDescent="0.25">
      <c r="A439" s="10" t="s">
        <v>1000</v>
      </c>
      <c r="B439" s="11" t="s">
        <v>1001</v>
      </c>
      <c r="C439" s="12"/>
      <c r="D439" s="12" t="s">
        <v>1002</v>
      </c>
      <c r="E439" s="13">
        <f t="shared" ref="E439:N439" si="161">E440+E445+E448</f>
        <v>3100</v>
      </c>
      <c r="F439" s="13">
        <f t="shared" si="161"/>
        <v>0</v>
      </c>
      <c r="G439" s="13">
        <f t="shared" si="161"/>
        <v>0</v>
      </c>
      <c r="H439" s="13">
        <f t="shared" si="161"/>
        <v>0</v>
      </c>
      <c r="I439" s="13">
        <f t="shared" si="161"/>
        <v>0</v>
      </c>
      <c r="J439" s="13">
        <f t="shared" si="161"/>
        <v>0</v>
      </c>
      <c r="K439" s="13">
        <f t="shared" si="161"/>
        <v>0</v>
      </c>
      <c r="L439" s="13">
        <f t="shared" si="161"/>
        <v>0</v>
      </c>
      <c r="M439" s="13">
        <f t="shared" si="161"/>
        <v>0</v>
      </c>
      <c r="N439" s="13">
        <f t="shared" si="161"/>
        <v>3100</v>
      </c>
      <c r="O439" s="12"/>
      <c r="P439" s="14"/>
      <c r="Q439" s="15"/>
    </row>
    <row r="440" spans="1:17" ht="60.75" x14ac:dyDescent="0.25">
      <c r="A440" s="16" t="s">
        <v>1003</v>
      </c>
      <c r="B440" s="17" t="s">
        <v>1004</v>
      </c>
      <c r="C440" s="18"/>
      <c r="D440" s="18" t="s">
        <v>1002</v>
      </c>
      <c r="E440" s="19">
        <f t="shared" ref="E440:N440" si="162">E441+E443</f>
        <v>1600</v>
      </c>
      <c r="F440" s="19">
        <f t="shared" si="162"/>
        <v>0</v>
      </c>
      <c r="G440" s="19">
        <f t="shared" si="162"/>
        <v>0</v>
      </c>
      <c r="H440" s="19">
        <f t="shared" si="162"/>
        <v>0</v>
      </c>
      <c r="I440" s="19">
        <f t="shared" si="162"/>
        <v>0</v>
      </c>
      <c r="J440" s="19">
        <f t="shared" si="162"/>
        <v>0</v>
      </c>
      <c r="K440" s="19">
        <f t="shared" si="162"/>
        <v>0</v>
      </c>
      <c r="L440" s="19">
        <f t="shared" si="162"/>
        <v>0</v>
      </c>
      <c r="M440" s="19">
        <f t="shared" si="162"/>
        <v>0</v>
      </c>
      <c r="N440" s="19">
        <f t="shared" si="162"/>
        <v>1600</v>
      </c>
      <c r="O440" s="18"/>
      <c r="P440" s="20"/>
      <c r="Q440" s="21"/>
    </row>
    <row r="441" spans="1:17" ht="60.75" x14ac:dyDescent="0.25">
      <c r="A441" s="22" t="s">
        <v>1005</v>
      </c>
      <c r="B441" s="23" t="s">
        <v>1006</v>
      </c>
      <c r="C441" s="24" t="s">
        <v>1007</v>
      </c>
      <c r="D441" s="24" t="s">
        <v>1002</v>
      </c>
      <c r="E441" s="25">
        <f>SUM(E442:E442)+1000</f>
        <v>1000</v>
      </c>
      <c r="F441" s="25">
        <f t="shared" ref="F441:M441" si="163">SUM(F442:F442)</f>
        <v>0</v>
      </c>
      <c r="G441" s="25">
        <f t="shared" si="163"/>
        <v>0</v>
      </c>
      <c r="H441" s="25">
        <f t="shared" si="163"/>
        <v>0</v>
      </c>
      <c r="I441" s="25">
        <f t="shared" si="163"/>
        <v>0</v>
      </c>
      <c r="J441" s="25">
        <f t="shared" si="163"/>
        <v>0</v>
      </c>
      <c r="K441" s="25">
        <f t="shared" si="163"/>
        <v>0</v>
      </c>
      <c r="L441" s="25">
        <f t="shared" si="163"/>
        <v>0</v>
      </c>
      <c r="M441" s="25">
        <f t="shared" si="163"/>
        <v>0</v>
      </c>
      <c r="N441" s="25">
        <f>SUM(N442:N442)+1000</f>
        <v>1000</v>
      </c>
      <c r="O441" s="24" t="s">
        <v>1008</v>
      </c>
      <c r="P441" s="26" t="s">
        <v>31</v>
      </c>
      <c r="Q441" s="27" t="s">
        <v>74</v>
      </c>
    </row>
    <row r="442" spans="1:17" ht="60.75" x14ac:dyDescent="0.25">
      <c r="A442" s="22" t="s">
        <v>1009</v>
      </c>
      <c r="B442" s="23" t="s">
        <v>1010</v>
      </c>
      <c r="C442" s="24"/>
      <c r="D442" s="24"/>
      <c r="E442" s="28">
        <v>0</v>
      </c>
      <c r="F442" s="28">
        <v>0</v>
      </c>
      <c r="G442" s="28">
        <v>0</v>
      </c>
      <c r="H442" s="28">
        <v>0</v>
      </c>
      <c r="I442" s="28">
        <v>0</v>
      </c>
      <c r="J442" s="28">
        <v>0</v>
      </c>
      <c r="K442" s="28">
        <v>0</v>
      </c>
      <c r="L442" s="28">
        <v>0</v>
      </c>
      <c r="M442" s="28">
        <v>0</v>
      </c>
      <c r="N442" s="28">
        <v>0</v>
      </c>
      <c r="O442" s="24"/>
      <c r="P442" s="26"/>
      <c r="Q442" s="27"/>
    </row>
    <row r="443" spans="1:17" ht="60.75" x14ac:dyDescent="0.25">
      <c r="A443" s="22" t="s">
        <v>1011</v>
      </c>
      <c r="B443" s="23" t="s">
        <v>1012</v>
      </c>
      <c r="C443" s="24"/>
      <c r="D443" s="24" t="s">
        <v>1002</v>
      </c>
      <c r="E443" s="25">
        <f>SUM(E444:E444)+600</f>
        <v>600</v>
      </c>
      <c r="F443" s="25">
        <f t="shared" ref="F443:M443" si="164">SUM(F444:F444)</f>
        <v>0</v>
      </c>
      <c r="G443" s="25">
        <f t="shared" si="164"/>
        <v>0</v>
      </c>
      <c r="H443" s="25">
        <f t="shared" si="164"/>
        <v>0</v>
      </c>
      <c r="I443" s="25">
        <f t="shared" si="164"/>
        <v>0</v>
      </c>
      <c r="J443" s="25">
        <f t="shared" si="164"/>
        <v>0</v>
      </c>
      <c r="K443" s="25">
        <f t="shared" si="164"/>
        <v>0</v>
      </c>
      <c r="L443" s="25">
        <f t="shared" si="164"/>
        <v>0</v>
      </c>
      <c r="M443" s="25">
        <f t="shared" si="164"/>
        <v>0</v>
      </c>
      <c r="N443" s="25">
        <f>SUM(N444:N444)+600</f>
        <v>600</v>
      </c>
      <c r="O443" s="24" t="s">
        <v>1013</v>
      </c>
      <c r="P443" s="26" t="s">
        <v>31</v>
      </c>
      <c r="Q443" s="27" t="s">
        <v>123</v>
      </c>
    </row>
    <row r="444" spans="1:17" ht="60.75" x14ac:dyDescent="0.25">
      <c r="A444" s="22" t="s">
        <v>1014</v>
      </c>
      <c r="B444" s="23" t="s">
        <v>1015</v>
      </c>
      <c r="C444" s="24"/>
      <c r="D444" s="24"/>
      <c r="E444" s="28">
        <v>0</v>
      </c>
      <c r="F444" s="28">
        <v>0</v>
      </c>
      <c r="G444" s="28">
        <v>0</v>
      </c>
      <c r="H444" s="28">
        <v>0</v>
      </c>
      <c r="I444" s="28">
        <v>0</v>
      </c>
      <c r="J444" s="28">
        <v>0</v>
      </c>
      <c r="K444" s="28">
        <v>0</v>
      </c>
      <c r="L444" s="28">
        <v>0</v>
      </c>
      <c r="M444" s="28">
        <v>0</v>
      </c>
      <c r="N444" s="28">
        <v>0</v>
      </c>
      <c r="O444" s="24"/>
      <c r="P444" s="26"/>
      <c r="Q444" s="27"/>
    </row>
    <row r="445" spans="1:17" ht="60.75" x14ac:dyDescent="0.25">
      <c r="A445" s="16" t="s">
        <v>1016</v>
      </c>
      <c r="B445" s="17" t="s">
        <v>1017</v>
      </c>
      <c r="C445" s="18"/>
      <c r="D445" s="18" t="s">
        <v>1002</v>
      </c>
      <c r="E445" s="19">
        <f t="shared" ref="E445:N445" si="165">SUM(E446:E446)</f>
        <v>1000</v>
      </c>
      <c r="F445" s="19">
        <f t="shared" si="165"/>
        <v>0</v>
      </c>
      <c r="G445" s="19">
        <f t="shared" si="165"/>
        <v>0</v>
      </c>
      <c r="H445" s="19">
        <f t="shared" si="165"/>
        <v>0</v>
      </c>
      <c r="I445" s="19">
        <f t="shared" si="165"/>
        <v>0</v>
      </c>
      <c r="J445" s="19">
        <f t="shared" si="165"/>
        <v>0</v>
      </c>
      <c r="K445" s="19">
        <f t="shared" si="165"/>
        <v>0</v>
      </c>
      <c r="L445" s="19">
        <f t="shared" si="165"/>
        <v>0</v>
      </c>
      <c r="M445" s="19">
        <f t="shared" si="165"/>
        <v>0</v>
      </c>
      <c r="N445" s="19">
        <f t="shared" si="165"/>
        <v>1000</v>
      </c>
      <c r="O445" s="18"/>
      <c r="P445" s="20"/>
      <c r="Q445" s="21"/>
    </row>
    <row r="446" spans="1:17" ht="60.75" x14ac:dyDescent="0.25">
      <c r="A446" s="22" t="s">
        <v>1018</v>
      </c>
      <c r="B446" s="23" t="s">
        <v>1019</v>
      </c>
      <c r="C446" s="24"/>
      <c r="D446" s="24" t="s">
        <v>1002</v>
      </c>
      <c r="E446" s="25">
        <f>SUM(E447:E447)+1000</f>
        <v>1000</v>
      </c>
      <c r="F446" s="25">
        <f t="shared" ref="F446:M446" si="166">SUM(F447:F447)</f>
        <v>0</v>
      </c>
      <c r="G446" s="25">
        <f t="shared" si="166"/>
        <v>0</v>
      </c>
      <c r="H446" s="25">
        <f t="shared" si="166"/>
        <v>0</v>
      </c>
      <c r="I446" s="25">
        <f t="shared" si="166"/>
        <v>0</v>
      </c>
      <c r="J446" s="25">
        <f t="shared" si="166"/>
        <v>0</v>
      </c>
      <c r="K446" s="25">
        <f t="shared" si="166"/>
        <v>0</v>
      </c>
      <c r="L446" s="25">
        <f t="shared" si="166"/>
        <v>0</v>
      </c>
      <c r="M446" s="25">
        <f t="shared" si="166"/>
        <v>0</v>
      </c>
      <c r="N446" s="25">
        <f>SUM(N447:N447)+1000</f>
        <v>1000</v>
      </c>
      <c r="O446" s="24" t="s">
        <v>1020</v>
      </c>
      <c r="P446" s="26" t="s">
        <v>31</v>
      </c>
      <c r="Q446" s="27" t="s">
        <v>1021</v>
      </c>
    </row>
    <row r="447" spans="1:17" ht="60.75" x14ac:dyDescent="0.25">
      <c r="A447" s="22" t="s">
        <v>1022</v>
      </c>
      <c r="B447" s="23" t="s">
        <v>1023</v>
      </c>
      <c r="C447" s="24"/>
      <c r="D447" s="24"/>
      <c r="E447" s="28">
        <v>0</v>
      </c>
      <c r="F447" s="28">
        <v>0</v>
      </c>
      <c r="G447" s="28">
        <v>0</v>
      </c>
      <c r="H447" s="28">
        <v>0</v>
      </c>
      <c r="I447" s="28">
        <v>0</v>
      </c>
      <c r="J447" s="28">
        <v>0</v>
      </c>
      <c r="K447" s="28">
        <v>0</v>
      </c>
      <c r="L447" s="28">
        <v>0</v>
      </c>
      <c r="M447" s="28">
        <v>0</v>
      </c>
      <c r="N447" s="28">
        <v>0</v>
      </c>
      <c r="O447" s="24"/>
      <c r="P447" s="26"/>
      <c r="Q447" s="27"/>
    </row>
    <row r="448" spans="1:17" ht="101.25" x14ac:dyDescent="0.25">
      <c r="A448" s="16" t="s">
        <v>1024</v>
      </c>
      <c r="B448" s="17" t="s">
        <v>1025</v>
      </c>
      <c r="C448" s="18"/>
      <c r="D448" s="18" t="s">
        <v>1002</v>
      </c>
      <c r="E448" s="19">
        <f t="shared" ref="E448:N448" si="167">SUM(E449:E449)</f>
        <v>500</v>
      </c>
      <c r="F448" s="19">
        <f t="shared" si="167"/>
        <v>0</v>
      </c>
      <c r="G448" s="19">
        <f t="shared" si="167"/>
        <v>0</v>
      </c>
      <c r="H448" s="19">
        <f t="shared" si="167"/>
        <v>0</v>
      </c>
      <c r="I448" s="19">
        <f t="shared" si="167"/>
        <v>0</v>
      </c>
      <c r="J448" s="19">
        <f t="shared" si="167"/>
        <v>0</v>
      </c>
      <c r="K448" s="19">
        <f t="shared" si="167"/>
        <v>0</v>
      </c>
      <c r="L448" s="19">
        <f t="shared" si="167"/>
        <v>0</v>
      </c>
      <c r="M448" s="19">
        <f t="shared" si="167"/>
        <v>0</v>
      </c>
      <c r="N448" s="19">
        <f t="shared" si="167"/>
        <v>500</v>
      </c>
      <c r="O448" s="18"/>
      <c r="P448" s="20"/>
      <c r="Q448" s="21"/>
    </row>
    <row r="449" spans="1:17" ht="81" x14ac:dyDescent="0.25">
      <c r="A449" s="22" t="s">
        <v>1026</v>
      </c>
      <c r="B449" s="23" t="s">
        <v>1027</v>
      </c>
      <c r="C449" s="24"/>
      <c r="D449" s="24" t="s">
        <v>1002</v>
      </c>
      <c r="E449" s="25">
        <f>SUM(E450:E450)+500</f>
        <v>500</v>
      </c>
      <c r="F449" s="25">
        <f t="shared" ref="F449:M449" si="168">SUM(F450:F450)</f>
        <v>0</v>
      </c>
      <c r="G449" s="25">
        <f t="shared" si="168"/>
        <v>0</v>
      </c>
      <c r="H449" s="25">
        <f t="shared" si="168"/>
        <v>0</v>
      </c>
      <c r="I449" s="25">
        <f t="shared" si="168"/>
        <v>0</v>
      </c>
      <c r="J449" s="25">
        <f t="shared" si="168"/>
        <v>0</v>
      </c>
      <c r="K449" s="25">
        <f t="shared" si="168"/>
        <v>0</v>
      </c>
      <c r="L449" s="25">
        <f t="shared" si="168"/>
        <v>0</v>
      </c>
      <c r="M449" s="25">
        <f t="shared" si="168"/>
        <v>0</v>
      </c>
      <c r="N449" s="25">
        <f>SUM(N450:N450)+500</f>
        <v>500</v>
      </c>
      <c r="O449" s="24" t="s">
        <v>1028</v>
      </c>
      <c r="P449" s="26" t="s">
        <v>31</v>
      </c>
      <c r="Q449" s="27" t="s">
        <v>38</v>
      </c>
    </row>
    <row r="450" spans="1:17" ht="40.5" x14ac:dyDescent="0.25">
      <c r="A450" s="22" t="s">
        <v>1029</v>
      </c>
      <c r="B450" s="23" t="s">
        <v>1030</v>
      </c>
      <c r="C450" s="24"/>
      <c r="D450" s="24"/>
      <c r="E450" s="28">
        <v>0</v>
      </c>
      <c r="F450" s="28">
        <v>0</v>
      </c>
      <c r="G450" s="28">
        <v>0</v>
      </c>
      <c r="H450" s="28">
        <v>0</v>
      </c>
      <c r="I450" s="28">
        <v>0</v>
      </c>
      <c r="J450" s="28">
        <v>0</v>
      </c>
      <c r="K450" s="28">
        <v>0</v>
      </c>
      <c r="L450" s="28">
        <v>0</v>
      </c>
      <c r="M450" s="28">
        <v>0</v>
      </c>
      <c r="N450" s="28">
        <v>0</v>
      </c>
      <c r="O450" s="24"/>
      <c r="P450" s="26"/>
      <c r="Q450" s="27"/>
    </row>
    <row r="451" spans="1:17" ht="40.5" x14ac:dyDescent="0.25">
      <c r="A451" s="10" t="s">
        <v>1031</v>
      </c>
      <c r="B451" s="11" t="s">
        <v>1032</v>
      </c>
      <c r="C451" s="12"/>
      <c r="D451" s="12" t="s">
        <v>1002</v>
      </c>
      <c r="E451" s="13">
        <f t="shared" ref="E451:N451" si="169">E452+E457</f>
        <v>11000</v>
      </c>
      <c r="F451" s="13">
        <f t="shared" si="169"/>
        <v>6500</v>
      </c>
      <c r="G451" s="13">
        <f t="shared" si="169"/>
        <v>0</v>
      </c>
      <c r="H451" s="13">
        <f t="shared" si="169"/>
        <v>0</v>
      </c>
      <c r="I451" s="13">
        <f t="shared" si="169"/>
        <v>0</v>
      </c>
      <c r="J451" s="13">
        <f t="shared" si="169"/>
        <v>0</v>
      </c>
      <c r="K451" s="13">
        <f t="shared" si="169"/>
        <v>0</v>
      </c>
      <c r="L451" s="13">
        <f t="shared" si="169"/>
        <v>0</v>
      </c>
      <c r="M451" s="13">
        <f t="shared" si="169"/>
        <v>0</v>
      </c>
      <c r="N451" s="13">
        <f t="shared" si="169"/>
        <v>4500</v>
      </c>
      <c r="O451" s="12"/>
      <c r="P451" s="14"/>
      <c r="Q451" s="15"/>
    </row>
    <row r="452" spans="1:17" ht="81" x14ac:dyDescent="0.25">
      <c r="A452" s="16" t="s">
        <v>1033</v>
      </c>
      <c r="B452" s="17" t="s">
        <v>1034</v>
      </c>
      <c r="C452" s="18"/>
      <c r="D452" s="18" t="s">
        <v>1002</v>
      </c>
      <c r="E452" s="19">
        <f t="shared" ref="E452:N452" si="170">SUM(E453:E453)</f>
        <v>6000</v>
      </c>
      <c r="F452" s="19">
        <f t="shared" si="170"/>
        <v>3500</v>
      </c>
      <c r="G452" s="19">
        <f t="shared" si="170"/>
        <v>0</v>
      </c>
      <c r="H452" s="19">
        <f t="shared" si="170"/>
        <v>0</v>
      </c>
      <c r="I452" s="19">
        <f t="shared" si="170"/>
        <v>0</v>
      </c>
      <c r="J452" s="19">
        <f t="shared" si="170"/>
        <v>0</v>
      </c>
      <c r="K452" s="19">
        <f t="shared" si="170"/>
        <v>0</v>
      </c>
      <c r="L452" s="19">
        <f t="shared" si="170"/>
        <v>0</v>
      </c>
      <c r="M452" s="19">
        <f t="shared" si="170"/>
        <v>0</v>
      </c>
      <c r="N452" s="19">
        <f t="shared" si="170"/>
        <v>2500</v>
      </c>
      <c r="O452" s="18"/>
      <c r="P452" s="20"/>
      <c r="Q452" s="21"/>
    </row>
    <row r="453" spans="1:17" ht="60.75" x14ac:dyDescent="0.25">
      <c r="A453" s="22" t="s">
        <v>1035</v>
      </c>
      <c r="B453" s="23" t="s">
        <v>1036</v>
      </c>
      <c r="C453" s="24" t="s">
        <v>1007</v>
      </c>
      <c r="D453" s="24" t="s">
        <v>1002</v>
      </c>
      <c r="E453" s="25">
        <f>SUM(E454:E456)+6000</f>
        <v>6000</v>
      </c>
      <c r="F453" s="25">
        <f>SUM(F454:F456)+3500</f>
        <v>3500</v>
      </c>
      <c r="G453" s="25">
        <f t="shared" ref="G453:M453" si="171">SUM(G454:G456)</f>
        <v>0</v>
      </c>
      <c r="H453" s="25">
        <f t="shared" si="171"/>
        <v>0</v>
      </c>
      <c r="I453" s="25">
        <f t="shared" si="171"/>
        <v>0</v>
      </c>
      <c r="J453" s="25">
        <f t="shared" si="171"/>
        <v>0</v>
      </c>
      <c r="K453" s="25">
        <f t="shared" si="171"/>
        <v>0</v>
      </c>
      <c r="L453" s="25">
        <f t="shared" si="171"/>
        <v>0</v>
      </c>
      <c r="M453" s="25">
        <f t="shared" si="171"/>
        <v>0</v>
      </c>
      <c r="N453" s="25">
        <f>SUM(N454:N456)+2500</f>
        <v>2500</v>
      </c>
      <c r="O453" s="24" t="s">
        <v>1037</v>
      </c>
      <c r="P453" s="26" t="s">
        <v>31</v>
      </c>
      <c r="Q453" s="27" t="s">
        <v>117</v>
      </c>
    </row>
    <row r="454" spans="1:17" x14ac:dyDescent="0.25">
      <c r="A454" s="29"/>
      <c r="B454" s="30"/>
      <c r="C454" s="31"/>
      <c r="D454" s="31"/>
      <c r="E454" s="32">
        <v>0</v>
      </c>
      <c r="F454" s="32">
        <v>0</v>
      </c>
      <c r="G454" s="32">
        <v>0</v>
      </c>
      <c r="H454" s="32">
        <v>0</v>
      </c>
      <c r="I454" s="32">
        <v>0</v>
      </c>
      <c r="J454" s="32">
        <v>0</v>
      </c>
      <c r="K454" s="32">
        <v>0</v>
      </c>
      <c r="L454" s="32">
        <v>0</v>
      </c>
      <c r="M454" s="32">
        <v>0</v>
      </c>
      <c r="N454" s="32">
        <v>0</v>
      </c>
      <c r="O454" s="31" t="s">
        <v>1038</v>
      </c>
      <c r="P454" s="33" t="s">
        <v>31</v>
      </c>
      <c r="Q454" s="34" t="s">
        <v>117</v>
      </c>
    </row>
    <row r="455" spans="1:17" ht="60.75" x14ac:dyDescent="0.25">
      <c r="A455" s="22" t="s">
        <v>1039</v>
      </c>
      <c r="B455" s="23" t="s">
        <v>1040</v>
      </c>
      <c r="C455" s="24"/>
      <c r="D455" s="24"/>
      <c r="E455" s="28">
        <v>0</v>
      </c>
      <c r="F455" s="28">
        <v>0</v>
      </c>
      <c r="G455" s="28">
        <v>0</v>
      </c>
      <c r="H455" s="28">
        <v>0</v>
      </c>
      <c r="I455" s="28">
        <v>0</v>
      </c>
      <c r="J455" s="28">
        <v>0</v>
      </c>
      <c r="K455" s="28">
        <v>0</v>
      </c>
      <c r="L455" s="28">
        <v>0</v>
      </c>
      <c r="M455" s="28">
        <v>0</v>
      </c>
      <c r="N455" s="28">
        <v>0</v>
      </c>
      <c r="O455" s="24"/>
      <c r="P455" s="26"/>
      <c r="Q455" s="27"/>
    </row>
    <row r="456" spans="1:17" ht="60.75" x14ac:dyDescent="0.25">
      <c r="A456" s="22" t="s">
        <v>1041</v>
      </c>
      <c r="B456" s="23" t="s">
        <v>1042</v>
      </c>
      <c r="C456" s="24"/>
      <c r="D456" s="24"/>
      <c r="E456" s="28">
        <v>0</v>
      </c>
      <c r="F456" s="28">
        <v>0</v>
      </c>
      <c r="G456" s="28">
        <v>0</v>
      </c>
      <c r="H456" s="28">
        <v>0</v>
      </c>
      <c r="I456" s="28">
        <v>0</v>
      </c>
      <c r="J456" s="28">
        <v>0</v>
      </c>
      <c r="K456" s="28">
        <v>0</v>
      </c>
      <c r="L456" s="28">
        <v>0</v>
      </c>
      <c r="M456" s="28">
        <v>0</v>
      </c>
      <c r="N456" s="28">
        <v>0</v>
      </c>
      <c r="O456" s="24"/>
      <c r="P456" s="26"/>
      <c r="Q456" s="27"/>
    </row>
    <row r="457" spans="1:17" ht="81" x14ac:dyDescent="0.25">
      <c r="A457" s="16" t="s">
        <v>1043</v>
      </c>
      <c r="B457" s="17" t="s">
        <v>1044</v>
      </c>
      <c r="C457" s="18"/>
      <c r="D457" s="18" t="s">
        <v>1002</v>
      </c>
      <c r="E457" s="19">
        <f t="shared" ref="E457:N457" si="172">SUM(E458:E458)</f>
        <v>5000</v>
      </c>
      <c r="F457" s="19">
        <f t="shared" si="172"/>
        <v>3000</v>
      </c>
      <c r="G457" s="19">
        <f t="shared" si="172"/>
        <v>0</v>
      </c>
      <c r="H457" s="19">
        <f t="shared" si="172"/>
        <v>0</v>
      </c>
      <c r="I457" s="19">
        <f t="shared" si="172"/>
        <v>0</v>
      </c>
      <c r="J457" s="19">
        <f t="shared" si="172"/>
        <v>0</v>
      </c>
      <c r="K457" s="19">
        <f t="shared" si="172"/>
        <v>0</v>
      </c>
      <c r="L457" s="19">
        <f t="shared" si="172"/>
        <v>0</v>
      </c>
      <c r="M457" s="19">
        <f t="shared" si="172"/>
        <v>0</v>
      </c>
      <c r="N457" s="19">
        <f t="shared" si="172"/>
        <v>2000</v>
      </c>
      <c r="O457" s="18"/>
      <c r="P457" s="20"/>
      <c r="Q457" s="21"/>
    </row>
    <row r="458" spans="1:17" ht="60.75" x14ac:dyDescent="0.25">
      <c r="A458" s="22" t="s">
        <v>1045</v>
      </c>
      <c r="B458" s="23" t="s">
        <v>1046</v>
      </c>
      <c r="C458" s="24"/>
      <c r="D458" s="24" t="s">
        <v>1002</v>
      </c>
      <c r="E458" s="25">
        <f>SUM(E459:E462)+5000</f>
        <v>5000</v>
      </c>
      <c r="F458" s="25">
        <f>SUM(F459:F462)+3000</f>
        <v>3000</v>
      </c>
      <c r="G458" s="25">
        <f t="shared" ref="G458:M458" si="173">SUM(G459:G462)</f>
        <v>0</v>
      </c>
      <c r="H458" s="25">
        <f t="shared" si="173"/>
        <v>0</v>
      </c>
      <c r="I458" s="25">
        <f t="shared" si="173"/>
        <v>0</v>
      </c>
      <c r="J458" s="25">
        <f t="shared" si="173"/>
        <v>0</v>
      </c>
      <c r="K458" s="25">
        <f t="shared" si="173"/>
        <v>0</v>
      </c>
      <c r="L458" s="25">
        <f t="shared" si="173"/>
        <v>0</v>
      </c>
      <c r="M458" s="25">
        <f t="shared" si="173"/>
        <v>0</v>
      </c>
      <c r="N458" s="25">
        <f>SUM(N459:N462)+2000</f>
        <v>2000</v>
      </c>
      <c r="O458" s="24" t="s">
        <v>1047</v>
      </c>
      <c r="P458" s="26" t="s">
        <v>31</v>
      </c>
      <c r="Q458" s="27" t="s">
        <v>1048</v>
      </c>
    </row>
    <row r="459" spans="1:17" x14ac:dyDescent="0.25">
      <c r="A459" s="29"/>
      <c r="B459" s="30"/>
      <c r="C459" s="31"/>
      <c r="D459" s="31"/>
      <c r="E459" s="32">
        <v>0</v>
      </c>
      <c r="F459" s="32">
        <v>0</v>
      </c>
      <c r="G459" s="32">
        <v>0</v>
      </c>
      <c r="H459" s="32">
        <v>0</v>
      </c>
      <c r="I459" s="32">
        <v>0</v>
      </c>
      <c r="J459" s="32">
        <v>0</v>
      </c>
      <c r="K459" s="32">
        <v>0</v>
      </c>
      <c r="L459" s="32">
        <v>0</v>
      </c>
      <c r="M459" s="32">
        <v>0</v>
      </c>
      <c r="N459" s="32">
        <v>0</v>
      </c>
      <c r="O459" s="31" t="s">
        <v>1049</v>
      </c>
      <c r="P459" s="33" t="s">
        <v>31</v>
      </c>
      <c r="Q459" s="34" t="s">
        <v>174</v>
      </c>
    </row>
    <row r="460" spans="1:17" ht="40.5" x14ac:dyDescent="0.25">
      <c r="A460" s="22" t="s">
        <v>1050</v>
      </c>
      <c r="B460" s="23" t="s">
        <v>1051</v>
      </c>
      <c r="C460" s="24"/>
      <c r="D460" s="24"/>
      <c r="E460" s="28">
        <v>0</v>
      </c>
      <c r="F460" s="28">
        <v>0</v>
      </c>
      <c r="G460" s="28">
        <v>0</v>
      </c>
      <c r="H460" s="28">
        <v>0</v>
      </c>
      <c r="I460" s="28">
        <v>0</v>
      </c>
      <c r="J460" s="28">
        <v>0</v>
      </c>
      <c r="K460" s="28">
        <v>0</v>
      </c>
      <c r="L460" s="28">
        <v>0</v>
      </c>
      <c r="M460" s="28">
        <v>0</v>
      </c>
      <c r="N460" s="28">
        <v>0</v>
      </c>
      <c r="O460" s="24"/>
      <c r="P460" s="26"/>
      <c r="Q460" s="27"/>
    </row>
    <row r="461" spans="1:17" ht="40.5" x14ac:dyDescent="0.25">
      <c r="A461" s="22" t="s">
        <v>1052</v>
      </c>
      <c r="B461" s="23" t="s">
        <v>1053</v>
      </c>
      <c r="C461" s="24"/>
      <c r="D461" s="24"/>
      <c r="E461" s="28">
        <v>0</v>
      </c>
      <c r="F461" s="28">
        <v>0</v>
      </c>
      <c r="G461" s="28">
        <v>0</v>
      </c>
      <c r="H461" s="28">
        <v>0</v>
      </c>
      <c r="I461" s="28">
        <v>0</v>
      </c>
      <c r="J461" s="28">
        <v>0</v>
      </c>
      <c r="K461" s="28">
        <v>0</v>
      </c>
      <c r="L461" s="28">
        <v>0</v>
      </c>
      <c r="M461" s="28">
        <v>0</v>
      </c>
      <c r="N461" s="28">
        <v>0</v>
      </c>
      <c r="O461" s="24"/>
      <c r="P461" s="26"/>
      <c r="Q461" s="27"/>
    </row>
    <row r="462" spans="1:17" x14ac:dyDescent="0.25">
      <c r="A462" s="22" t="s">
        <v>1054</v>
      </c>
      <c r="B462" s="23" t="s">
        <v>1055</v>
      </c>
      <c r="C462" s="24"/>
      <c r="D462" s="24"/>
      <c r="E462" s="28">
        <v>0</v>
      </c>
      <c r="F462" s="28">
        <v>0</v>
      </c>
      <c r="G462" s="28">
        <v>0</v>
      </c>
      <c r="H462" s="28">
        <v>0</v>
      </c>
      <c r="I462" s="28">
        <v>0</v>
      </c>
      <c r="J462" s="28">
        <v>0</v>
      </c>
      <c r="K462" s="28">
        <v>0</v>
      </c>
      <c r="L462" s="28">
        <v>0</v>
      </c>
      <c r="M462" s="28">
        <v>0</v>
      </c>
      <c r="N462" s="28">
        <v>0</v>
      </c>
      <c r="O462" s="24"/>
      <c r="P462" s="26"/>
      <c r="Q462" s="27"/>
    </row>
    <row r="463" spans="1:17" ht="40.5" x14ac:dyDescent="0.25">
      <c r="A463" s="10" t="s">
        <v>1056</v>
      </c>
      <c r="B463" s="11" t="s">
        <v>1057</v>
      </c>
      <c r="C463" s="12"/>
      <c r="D463" s="12" t="s">
        <v>1002</v>
      </c>
      <c r="E463" s="13">
        <f t="shared" ref="E463:N463" si="174">E464+E471</f>
        <v>209695</v>
      </c>
      <c r="F463" s="13">
        <f t="shared" si="174"/>
        <v>56500</v>
      </c>
      <c r="G463" s="13">
        <f t="shared" si="174"/>
        <v>0</v>
      </c>
      <c r="H463" s="13">
        <f t="shared" si="174"/>
        <v>0</v>
      </c>
      <c r="I463" s="13">
        <f t="shared" si="174"/>
        <v>0</v>
      </c>
      <c r="J463" s="13">
        <f t="shared" si="174"/>
        <v>0</v>
      </c>
      <c r="K463" s="13">
        <f t="shared" si="174"/>
        <v>135995</v>
      </c>
      <c r="L463" s="13">
        <f t="shared" si="174"/>
        <v>0</v>
      </c>
      <c r="M463" s="13">
        <f t="shared" si="174"/>
        <v>0</v>
      </c>
      <c r="N463" s="13">
        <f t="shared" si="174"/>
        <v>17200</v>
      </c>
      <c r="O463" s="12"/>
      <c r="P463" s="14"/>
      <c r="Q463" s="15"/>
    </row>
    <row r="464" spans="1:17" ht="60.75" x14ac:dyDescent="0.25">
      <c r="A464" s="16" t="s">
        <v>1058</v>
      </c>
      <c r="B464" s="17" t="s">
        <v>1059</v>
      </c>
      <c r="C464" s="18"/>
      <c r="D464" s="18" t="s">
        <v>1002</v>
      </c>
      <c r="E464" s="19">
        <f t="shared" ref="E464:N464" si="175">E465+E468</f>
        <v>27200</v>
      </c>
      <c r="F464" s="19">
        <f t="shared" si="175"/>
        <v>25000</v>
      </c>
      <c r="G464" s="19">
        <f t="shared" si="175"/>
        <v>0</v>
      </c>
      <c r="H464" s="19">
        <f t="shared" si="175"/>
        <v>0</v>
      </c>
      <c r="I464" s="19">
        <f t="shared" si="175"/>
        <v>0</v>
      </c>
      <c r="J464" s="19">
        <f t="shared" si="175"/>
        <v>0</v>
      </c>
      <c r="K464" s="19">
        <f t="shared" si="175"/>
        <v>0</v>
      </c>
      <c r="L464" s="19">
        <f t="shared" si="175"/>
        <v>0</v>
      </c>
      <c r="M464" s="19">
        <f t="shared" si="175"/>
        <v>0</v>
      </c>
      <c r="N464" s="19">
        <f t="shared" si="175"/>
        <v>2200</v>
      </c>
      <c r="O464" s="18"/>
      <c r="P464" s="20"/>
      <c r="Q464" s="21"/>
    </row>
    <row r="465" spans="1:17" ht="40.5" x14ac:dyDescent="0.25">
      <c r="A465" s="22" t="s">
        <v>1060</v>
      </c>
      <c r="B465" s="23" t="s">
        <v>1061</v>
      </c>
      <c r="C465" s="24"/>
      <c r="D465" s="24" t="s">
        <v>1002</v>
      </c>
      <c r="E465" s="25">
        <f>SUM(E466:E467)+16200</f>
        <v>16200</v>
      </c>
      <c r="F465" s="25">
        <f>SUM(F466:F467)+15000</f>
        <v>15000</v>
      </c>
      <c r="G465" s="25">
        <f t="shared" ref="G465:M465" si="176">SUM(G466:G467)</f>
        <v>0</v>
      </c>
      <c r="H465" s="25">
        <f t="shared" si="176"/>
        <v>0</v>
      </c>
      <c r="I465" s="25">
        <f t="shared" si="176"/>
        <v>0</v>
      </c>
      <c r="J465" s="25">
        <f t="shared" si="176"/>
        <v>0</v>
      </c>
      <c r="K465" s="25">
        <f t="shared" si="176"/>
        <v>0</v>
      </c>
      <c r="L465" s="25">
        <f t="shared" si="176"/>
        <v>0</v>
      </c>
      <c r="M465" s="25">
        <f t="shared" si="176"/>
        <v>0</v>
      </c>
      <c r="N465" s="25">
        <f>SUM(N466:N467)+1200</f>
        <v>1200</v>
      </c>
      <c r="O465" s="24" t="s">
        <v>1062</v>
      </c>
      <c r="P465" s="26" t="s">
        <v>31</v>
      </c>
      <c r="Q465" s="27" t="s">
        <v>117</v>
      </c>
    </row>
    <row r="466" spans="1:17" ht="40.5" x14ac:dyDescent="0.25">
      <c r="A466" s="22" t="s">
        <v>1063</v>
      </c>
      <c r="B466" s="23" t="s">
        <v>1064</v>
      </c>
      <c r="C466" s="24"/>
      <c r="D466" s="24"/>
      <c r="E466" s="28">
        <v>0</v>
      </c>
      <c r="F466" s="28">
        <v>0</v>
      </c>
      <c r="G466" s="28">
        <v>0</v>
      </c>
      <c r="H466" s="28">
        <v>0</v>
      </c>
      <c r="I466" s="28">
        <v>0</v>
      </c>
      <c r="J466" s="28">
        <v>0</v>
      </c>
      <c r="K466" s="28">
        <v>0</v>
      </c>
      <c r="L466" s="28">
        <v>0</v>
      </c>
      <c r="M466" s="28">
        <v>0</v>
      </c>
      <c r="N466" s="28">
        <v>0</v>
      </c>
      <c r="O466" s="24"/>
      <c r="P466" s="26"/>
      <c r="Q466" s="27"/>
    </row>
    <row r="467" spans="1:17" ht="40.5" x14ac:dyDescent="0.25">
      <c r="A467" s="22" t="s">
        <v>1065</v>
      </c>
      <c r="B467" s="23" t="s">
        <v>1066</v>
      </c>
      <c r="C467" s="24"/>
      <c r="D467" s="24"/>
      <c r="E467" s="28">
        <v>0</v>
      </c>
      <c r="F467" s="28">
        <v>0</v>
      </c>
      <c r="G467" s="28">
        <v>0</v>
      </c>
      <c r="H467" s="28">
        <v>0</v>
      </c>
      <c r="I467" s="28">
        <v>0</v>
      </c>
      <c r="J467" s="28">
        <v>0</v>
      </c>
      <c r="K467" s="28">
        <v>0</v>
      </c>
      <c r="L467" s="28">
        <v>0</v>
      </c>
      <c r="M467" s="28">
        <v>0</v>
      </c>
      <c r="N467" s="28">
        <v>0</v>
      </c>
      <c r="O467" s="24"/>
      <c r="P467" s="26"/>
      <c r="Q467" s="27"/>
    </row>
    <row r="468" spans="1:17" ht="101.25" x14ac:dyDescent="0.25">
      <c r="A468" s="22" t="s">
        <v>1067</v>
      </c>
      <c r="B468" s="23" t="s">
        <v>1068</v>
      </c>
      <c r="C468" s="24" t="s">
        <v>1007</v>
      </c>
      <c r="D468" s="24" t="s">
        <v>1002</v>
      </c>
      <c r="E468" s="25">
        <f>SUM(E469:E470)+11000</f>
        <v>11000</v>
      </c>
      <c r="F468" s="25">
        <f>SUM(F469:F470)+10000</f>
        <v>10000</v>
      </c>
      <c r="G468" s="25">
        <f t="shared" ref="G468:M468" si="177">SUM(G469:G470)</f>
        <v>0</v>
      </c>
      <c r="H468" s="25">
        <f t="shared" si="177"/>
        <v>0</v>
      </c>
      <c r="I468" s="25">
        <f t="shared" si="177"/>
        <v>0</v>
      </c>
      <c r="J468" s="25">
        <f t="shared" si="177"/>
        <v>0</v>
      </c>
      <c r="K468" s="25">
        <f t="shared" si="177"/>
        <v>0</v>
      </c>
      <c r="L468" s="25">
        <f t="shared" si="177"/>
        <v>0</v>
      </c>
      <c r="M468" s="25">
        <f t="shared" si="177"/>
        <v>0</v>
      </c>
      <c r="N468" s="25">
        <f>SUM(N469:N470)+1000</f>
        <v>1000</v>
      </c>
      <c r="O468" s="24" t="s">
        <v>1069</v>
      </c>
      <c r="P468" s="26" t="s">
        <v>31</v>
      </c>
      <c r="Q468" s="27" t="s">
        <v>70</v>
      </c>
    </row>
    <row r="469" spans="1:17" ht="81" x14ac:dyDescent="0.25">
      <c r="A469" s="22" t="s">
        <v>1070</v>
      </c>
      <c r="B469" s="23" t="s">
        <v>1071</v>
      </c>
      <c r="C469" s="24"/>
      <c r="D469" s="24"/>
      <c r="E469" s="28">
        <v>0</v>
      </c>
      <c r="F469" s="28">
        <v>0</v>
      </c>
      <c r="G469" s="28">
        <v>0</v>
      </c>
      <c r="H469" s="28">
        <v>0</v>
      </c>
      <c r="I469" s="28">
        <v>0</v>
      </c>
      <c r="J469" s="28">
        <v>0</v>
      </c>
      <c r="K469" s="28">
        <v>0</v>
      </c>
      <c r="L469" s="28">
        <v>0</v>
      </c>
      <c r="M469" s="28">
        <v>0</v>
      </c>
      <c r="N469" s="28">
        <v>0</v>
      </c>
      <c r="O469" s="24"/>
      <c r="P469" s="26"/>
      <c r="Q469" s="27"/>
    </row>
    <row r="470" spans="1:17" ht="40.5" x14ac:dyDescent="0.25">
      <c r="A470" s="22" t="s">
        <v>1072</v>
      </c>
      <c r="B470" s="23" t="s">
        <v>1066</v>
      </c>
      <c r="C470" s="24"/>
      <c r="D470" s="24"/>
      <c r="E470" s="28">
        <v>0</v>
      </c>
      <c r="F470" s="28">
        <v>0</v>
      </c>
      <c r="G470" s="28">
        <v>0</v>
      </c>
      <c r="H470" s="28">
        <v>0</v>
      </c>
      <c r="I470" s="28">
        <v>0</v>
      </c>
      <c r="J470" s="28">
        <v>0</v>
      </c>
      <c r="K470" s="28">
        <v>0</v>
      </c>
      <c r="L470" s="28">
        <v>0</v>
      </c>
      <c r="M470" s="28">
        <v>0</v>
      </c>
      <c r="N470" s="28">
        <v>0</v>
      </c>
      <c r="O470" s="24"/>
      <c r="P470" s="26"/>
      <c r="Q470" s="27"/>
    </row>
    <row r="471" spans="1:17" ht="40.5" x14ac:dyDescent="0.25">
      <c r="A471" s="16" t="s">
        <v>1073</v>
      </c>
      <c r="B471" s="17" t="s">
        <v>1074</v>
      </c>
      <c r="C471" s="18" t="s">
        <v>1007</v>
      </c>
      <c r="D471" s="18" t="s">
        <v>1002</v>
      </c>
      <c r="E471" s="19">
        <f t="shared" ref="E471:N471" si="178">E472+E479</f>
        <v>182495</v>
      </c>
      <c r="F471" s="19">
        <f t="shared" si="178"/>
        <v>31500</v>
      </c>
      <c r="G471" s="19">
        <f t="shared" si="178"/>
        <v>0</v>
      </c>
      <c r="H471" s="19">
        <f t="shared" si="178"/>
        <v>0</v>
      </c>
      <c r="I471" s="19">
        <f t="shared" si="178"/>
        <v>0</v>
      </c>
      <c r="J471" s="19">
        <f t="shared" si="178"/>
        <v>0</v>
      </c>
      <c r="K471" s="19">
        <f t="shared" si="178"/>
        <v>135995</v>
      </c>
      <c r="L471" s="19">
        <f t="shared" si="178"/>
        <v>0</v>
      </c>
      <c r="M471" s="19">
        <f t="shared" si="178"/>
        <v>0</v>
      </c>
      <c r="N471" s="19">
        <f t="shared" si="178"/>
        <v>15000</v>
      </c>
      <c r="O471" s="18"/>
      <c r="P471" s="20"/>
      <c r="Q471" s="21"/>
    </row>
    <row r="472" spans="1:17" ht="81" x14ac:dyDescent="0.25">
      <c r="A472" s="22" t="s">
        <v>1075</v>
      </c>
      <c r="B472" s="23" t="s">
        <v>1076</v>
      </c>
      <c r="C472" s="24" t="s">
        <v>1007</v>
      </c>
      <c r="D472" s="24" t="s">
        <v>1002</v>
      </c>
      <c r="E472" s="25">
        <f>SUM(E473:E478)+28495</f>
        <v>28495</v>
      </c>
      <c r="F472" s="25">
        <f>SUM(F473:F478)+13500</f>
        <v>13500</v>
      </c>
      <c r="G472" s="25">
        <f>SUM(G473:G478)</f>
        <v>0</v>
      </c>
      <c r="H472" s="25">
        <f>SUM(H473:H478)</f>
        <v>0</v>
      </c>
      <c r="I472" s="25">
        <f>SUM(I473:I478)</f>
        <v>0</v>
      </c>
      <c r="J472" s="25">
        <f>SUM(J473:J478)</f>
        <v>0</v>
      </c>
      <c r="K472" s="25">
        <f>SUM(K473:K478)+9995</f>
        <v>9995</v>
      </c>
      <c r="L472" s="25">
        <f>SUM(L473:L478)</f>
        <v>0</v>
      </c>
      <c r="M472" s="25">
        <f>SUM(M473:M478)</f>
        <v>0</v>
      </c>
      <c r="N472" s="25">
        <f>SUM(N473:N478)+5000</f>
        <v>5000</v>
      </c>
      <c r="O472" s="24" t="s">
        <v>1077</v>
      </c>
      <c r="P472" s="26" t="s">
        <v>1078</v>
      </c>
      <c r="Q472" s="27" t="s">
        <v>1079</v>
      </c>
    </row>
    <row r="473" spans="1:17" x14ac:dyDescent="0.25">
      <c r="A473" s="29"/>
      <c r="B473" s="30"/>
      <c r="C473" s="31"/>
      <c r="D473" s="31"/>
      <c r="E473" s="32">
        <v>0</v>
      </c>
      <c r="F473" s="32">
        <v>0</v>
      </c>
      <c r="G473" s="32">
        <v>0</v>
      </c>
      <c r="H473" s="32">
        <v>0</v>
      </c>
      <c r="I473" s="32">
        <v>0</v>
      </c>
      <c r="J473" s="32">
        <v>0</v>
      </c>
      <c r="K473" s="32">
        <v>0</v>
      </c>
      <c r="L473" s="32">
        <v>0</v>
      </c>
      <c r="M473" s="32">
        <v>0</v>
      </c>
      <c r="N473" s="32">
        <v>0</v>
      </c>
      <c r="O473" s="31" t="s">
        <v>1080</v>
      </c>
      <c r="P473" s="33" t="s">
        <v>31</v>
      </c>
      <c r="Q473" s="34" t="s">
        <v>1048</v>
      </c>
    </row>
    <row r="474" spans="1:17" ht="40.5" x14ac:dyDescent="0.25">
      <c r="A474" s="29"/>
      <c r="B474" s="30"/>
      <c r="C474" s="31"/>
      <c r="D474" s="31"/>
      <c r="E474" s="32">
        <v>0</v>
      </c>
      <c r="F474" s="32">
        <v>0</v>
      </c>
      <c r="G474" s="32">
        <v>0</v>
      </c>
      <c r="H474" s="32">
        <v>0</v>
      </c>
      <c r="I474" s="32">
        <v>0</v>
      </c>
      <c r="J474" s="32">
        <v>0</v>
      </c>
      <c r="K474" s="32">
        <v>0</v>
      </c>
      <c r="L474" s="32">
        <v>0</v>
      </c>
      <c r="M474" s="32">
        <v>0</v>
      </c>
      <c r="N474" s="32">
        <v>0</v>
      </c>
      <c r="O474" s="31" t="s">
        <v>1081</v>
      </c>
      <c r="P474" s="33" t="s">
        <v>31</v>
      </c>
      <c r="Q474" s="34" t="s">
        <v>174</v>
      </c>
    </row>
    <row r="475" spans="1:17" ht="40.5" x14ac:dyDescent="0.25">
      <c r="A475" s="29"/>
      <c r="B475" s="30"/>
      <c r="C475" s="31"/>
      <c r="D475" s="31"/>
      <c r="E475" s="32">
        <v>0</v>
      </c>
      <c r="F475" s="32">
        <v>0</v>
      </c>
      <c r="G475" s="32">
        <v>0</v>
      </c>
      <c r="H475" s="32">
        <v>0</v>
      </c>
      <c r="I475" s="32">
        <v>0</v>
      </c>
      <c r="J475" s="32">
        <v>0</v>
      </c>
      <c r="K475" s="32">
        <v>0</v>
      </c>
      <c r="L475" s="32">
        <v>0</v>
      </c>
      <c r="M475" s="32">
        <v>0</v>
      </c>
      <c r="N475" s="32">
        <v>0</v>
      </c>
      <c r="O475" s="31" t="s">
        <v>1082</v>
      </c>
      <c r="P475" s="33" t="s">
        <v>31</v>
      </c>
      <c r="Q475" s="34" t="s">
        <v>171</v>
      </c>
    </row>
    <row r="476" spans="1:17" ht="40.5" x14ac:dyDescent="0.25">
      <c r="A476" s="22" t="s">
        <v>1083</v>
      </c>
      <c r="B476" s="23" t="s">
        <v>1084</v>
      </c>
      <c r="C476" s="24"/>
      <c r="D476" s="24"/>
      <c r="E476" s="28">
        <v>0</v>
      </c>
      <c r="F476" s="28">
        <v>0</v>
      </c>
      <c r="G476" s="28">
        <v>0</v>
      </c>
      <c r="H476" s="28">
        <v>0</v>
      </c>
      <c r="I476" s="28">
        <v>0</v>
      </c>
      <c r="J476" s="28">
        <v>0</v>
      </c>
      <c r="K476" s="28">
        <v>0</v>
      </c>
      <c r="L476" s="28">
        <v>0</v>
      </c>
      <c r="M476" s="28">
        <v>0</v>
      </c>
      <c r="N476" s="28">
        <v>0</v>
      </c>
      <c r="O476" s="24"/>
      <c r="P476" s="26"/>
      <c r="Q476" s="27"/>
    </row>
    <row r="477" spans="1:17" ht="60.75" x14ac:dyDescent="0.25">
      <c r="A477" s="22" t="s">
        <v>1085</v>
      </c>
      <c r="B477" s="23" t="s">
        <v>1086</v>
      </c>
      <c r="C477" s="24"/>
      <c r="D477" s="24"/>
      <c r="E477" s="28">
        <v>0</v>
      </c>
      <c r="F477" s="28">
        <v>0</v>
      </c>
      <c r="G477" s="28">
        <v>0</v>
      </c>
      <c r="H477" s="28">
        <v>0</v>
      </c>
      <c r="I477" s="28">
        <v>0</v>
      </c>
      <c r="J477" s="28">
        <v>0</v>
      </c>
      <c r="K477" s="28">
        <v>0</v>
      </c>
      <c r="L477" s="28">
        <v>0</v>
      </c>
      <c r="M477" s="28">
        <v>0</v>
      </c>
      <c r="N477" s="28">
        <v>0</v>
      </c>
      <c r="O477" s="24"/>
      <c r="P477" s="26"/>
      <c r="Q477" s="27"/>
    </row>
    <row r="478" spans="1:17" ht="60.75" x14ac:dyDescent="0.25">
      <c r="A478" s="22" t="s">
        <v>1087</v>
      </c>
      <c r="B478" s="23" t="s">
        <v>1088</v>
      </c>
      <c r="C478" s="24"/>
      <c r="D478" s="24"/>
      <c r="E478" s="28">
        <v>0</v>
      </c>
      <c r="F478" s="28">
        <v>0</v>
      </c>
      <c r="G478" s="28">
        <v>0</v>
      </c>
      <c r="H478" s="28">
        <v>0</v>
      </c>
      <c r="I478" s="28">
        <v>0</v>
      </c>
      <c r="J478" s="28">
        <v>0</v>
      </c>
      <c r="K478" s="28">
        <v>0</v>
      </c>
      <c r="L478" s="28">
        <v>0</v>
      </c>
      <c r="M478" s="28">
        <v>0</v>
      </c>
      <c r="N478" s="28">
        <v>0</v>
      </c>
      <c r="O478" s="24" t="s">
        <v>1089</v>
      </c>
      <c r="P478" s="26" t="s">
        <v>31</v>
      </c>
      <c r="Q478" s="27" t="s">
        <v>117</v>
      </c>
    </row>
    <row r="479" spans="1:17" ht="81" x14ac:dyDescent="0.25">
      <c r="A479" s="22" t="s">
        <v>1090</v>
      </c>
      <c r="B479" s="23" t="s">
        <v>1091</v>
      </c>
      <c r="C479" s="24"/>
      <c r="D479" s="24" t="s">
        <v>1002</v>
      </c>
      <c r="E479" s="25">
        <f>SUM(E480:E483)+154000</f>
        <v>154000</v>
      </c>
      <c r="F479" s="25">
        <f>SUM(F480:F483)+18000</f>
        <v>18000</v>
      </c>
      <c r="G479" s="25">
        <f>SUM(G480:G483)</f>
        <v>0</v>
      </c>
      <c r="H479" s="25">
        <f>SUM(H480:H483)</f>
        <v>0</v>
      </c>
      <c r="I479" s="25">
        <f>SUM(I480:I483)</f>
        <v>0</v>
      </c>
      <c r="J479" s="25">
        <f>SUM(J480:J483)</f>
        <v>0</v>
      </c>
      <c r="K479" s="25">
        <f>SUM(K480:K483)+126000</f>
        <v>126000</v>
      </c>
      <c r="L479" s="25">
        <f>SUM(L480:L483)</f>
        <v>0</v>
      </c>
      <c r="M479" s="25">
        <f>SUM(M480:M483)</f>
        <v>0</v>
      </c>
      <c r="N479" s="25">
        <f>SUM(N480:N483)+10000</f>
        <v>10000</v>
      </c>
      <c r="O479" s="24" t="s">
        <v>1092</v>
      </c>
      <c r="P479" s="26" t="s">
        <v>31</v>
      </c>
      <c r="Q479" s="27" t="s">
        <v>1093</v>
      </c>
    </row>
    <row r="480" spans="1:17" ht="40.5" x14ac:dyDescent="0.25">
      <c r="A480" s="29"/>
      <c r="B480" s="30"/>
      <c r="C480" s="31"/>
      <c r="D480" s="31"/>
      <c r="E480" s="32">
        <v>0</v>
      </c>
      <c r="F480" s="32">
        <v>0</v>
      </c>
      <c r="G480" s="32">
        <v>0</v>
      </c>
      <c r="H480" s="32">
        <v>0</v>
      </c>
      <c r="I480" s="32">
        <v>0</v>
      </c>
      <c r="J480" s="32">
        <v>0</v>
      </c>
      <c r="K480" s="32">
        <v>0</v>
      </c>
      <c r="L480" s="32">
        <v>0</v>
      </c>
      <c r="M480" s="32">
        <v>0</v>
      </c>
      <c r="N480" s="32">
        <v>0</v>
      </c>
      <c r="O480" s="31" t="s">
        <v>1094</v>
      </c>
      <c r="P480" s="33" t="s">
        <v>31</v>
      </c>
      <c r="Q480" s="34" t="s">
        <v>1095</v>
      </c>
    </row>
    <row r="481" spans="1:17" ht="40.5" x14ac:dyDescent="0.25">
      <c r="A481" s="22" t="s">
        <v>1096</v>
      </c>
      <c r="B481" s="23" t="s">
        <v>1097</v>
      </c>
      <c r="C481" s="24"/>
      <c r="D481" s="24"/>
      <c r="E481" s="28">
        <v>0</v>
      </c>
      <c r="F481" s="28">
        <v>0</v>
      </c>
      <c r="G481" s="28">
        <v>0</v>
      </c>
      <c r="H481" s="28">
        <v>0</v>
      </c>
      <c r="I481" s="28">
        <v>0</v>
      </c>
      <c r="J481" s="28">
        <v>0</v>
      </c>
      <c r="K481" s="28">
        <v>0</v>
      </c>
      <c r="L481" s="28">
        <v>0</v>
      </c>
      <c r="M481" s="28">
        <v>0</v>
      </c>
      <c r="N481" s="28">
        <v>0</v>
      </c>
      <c r="O481" s="24"/>
      <c r="P481" s="26"/>
      <c r="Q481" s="27"/>
    </row>
    <row r="482" spans="1:17" ht="40.5" x14ac:dyDescent="0.25">
      <c r="A482" s="22" t="s">
        <v>1098</v>
      </c>
      <c r="B482" s="23" t="s">
        <v>1099</v>
      </c>
      <c r="C482" s="24"/>
      <c r="D482" s="24"/>
      <c r="E482" s="28">
        <v>0</v>
      </c>
      <c r="F482" s="28">
        <v>0</v>
      </c>
      <c r="G482" s="28">
        <v>0</v>
      </c>
      <c r="H482" s="28">
        <v>0</v>
      </c>
      <c r="I482" s="28">
        <v>0</v>
      </c>
      <c r="J482" s="28">
        <v>0</v>
      </c>
      <c r="K482" s="28">
        <v>0</v>
      </c>
      <c r="L482" s="28">
        <v>0</v>
      </c>
      <c r="M482" s="28">
        <v>0</v>
      </c>
      <c r="N482" s="28">
        <v>0</v>
      </c>
      <c r="O482" s="24"/>
      <c r="P482" s="26"/>
      <c r="Q482" s="27"/>
    </row>
    <row r="483" spans="1:17" ht="40.5" x14ac:dyDescent="0.25">
      <c r="A483" s="22" t="s">
        <v>1100</v>
      </c>
      <c r="B483" s="23" t="s">
        <v>1101</v>
      </c>
      <c r="C483" s="24"/>
      <c r="D483" s="24"/>
      <c r="E483" s="28">
        <v>0</v>
      </c>
      <c r="F483" s="28">
        <v>0</v>
      </c>
      <c r="G483" s="28">
        <v>0</v>
      </c>
      <c r="H483" s="28">
        <v>0</v>
      </c>
      <c r="I483" s="28">
        <v>0</v>
      </c>
      <c r="J483" s="28">
        <v>0</v>
      </c>
      <c r="K483" s="28">
        <v>0</v>
      </c>
      <c r="L483" s="28">
        <v>0</v>
      </c>
      <c r="M483" s="28">
        <v>0</v>
      </c>
      <c r="N483" s="28">
        <v>0</v>
      </c>
      <c r="O483" s="24"/>
      <c r="P483" s="26"/>
      <c r="Q483" s="27"/>
    </row>
    <row r="484" spans="1:17" ht="40.5" x14ac:dyDescent="0.25">
      <c r="A484" s="4" t="s">
        <v>1102</v>
      </c>
      <c r="B484" s="5" t="s">
        <v>1103</v>
      </c>
      <c r="C484" s="6" t="s">
        <v>1104</v>
      </c>
      <c r="D484" s="6" t="s">
        <v>1105</v>
      </c>
      <c r="E484" s="7">
        <f t="shared" ref="E484:N484" si="179">E485+E523+E569+E584+E588+E597</f>
        <v>4737988.17</v>
      </c>
      <c r="F484" s="7">
        <f t="shared" si="179"/>
        <v>2358496</v>
      </c>
      <c r="G484" s="7">
        <f t="shared" si="179"/>
        <v>44156</v>
      </c>
      <c r="H484" s="7">
        <f t="shared" si="179"/>
        <v>0</v>
      </c>
      <c r="I484" s="7">
        <f t="shared" si="179"/>
        <v>2109091</v>
      </c>
      <c r="J484" s="7">
        <f t="shared" si="179"/>
        <v>0</v>
      </c>
      <c r="K484" s="7">
        <f t="shared" si="179"/>
        <v>225862.17</v>
      </c>
      <c r="L484" s="7">
        <f t="shared" si="179"/>
        <v>383</v>
      </c>
      <c r="M484" s="7">
        <f t="shared" si="179"/>
        <v>0</v>
      </c>
      <c r="N484" s="7">
        <f t="shared" si="179"/>
        <v>0</v>
      </c>
      <c r="O484" s="6"/>
      <c r="P484" s="8"/>
      <c r="Q484" s="9"/>
    </row>
    <row r="485" spans="1:17" ht="68.25" customHeight="1" x14ac:dyDescent="0.25">
      <c r="A485" s="10" t="s">
        <v>1106</v>
      </c>
      <c r="B485" s="11" t="s">
        <v>487</v>
      </c>
      <c r="C485" s="12" t="s">
        <v>1104</v>
      </c>
      <c r="D485" s="12" t="s">
        <v>1107</v>
      </c>
      <c r="E485" s="13">
        <f t="shared" ref="E485:N485" si="180">E486+E507+E510+E520</f>
        <v>1030366</v>
      </c>
      <c r="F485" s="13">
        <f t="shared" si="180"/>
        <v>561808</v>
      </c>
      <c r="G485" s="13">
        <f t="shared" si="180"/>
        <v>9300</v>
      </c>
      <c r="H485" s="13">
        <f t="shared" si="180"/>
        <v>0</v>
      </c>
      <c r="I485" s="13">
        <f t="shared" si="180"/>
        <v>402191</v>
      </c>
      <c r="J485" s="13">
        <f t="shared" si="180"/>
        <v>0</v>
      </c>
      <c r="K485" s="13">
        <f t="shared" si="180"/>
        <v>56684</v>
      </c>
      <c r="L485" s="13">
        <f t="shared" si="180"/>
        <v>383</v>
      </c>
      <c r="M485" s="13">
        <f t="shared" si="180"/>
        <v>0</v>
      </c>
      <c r="N485" s="13">
        <f t="shared" si="180"/>
        <v>0</v>
      </c>
      <c r="O485" s="12"/>
      <c r="P485" s="14"/>
      <c r="Q485" s="15"/>
    </row>
    <row r="486" spans="1:17" ht="40.5" x14ac:dyDescent="0.25">
      <c r="A486" s="16" t="s">
        <v>1108</v>
      </c>
      <c r="B486" s="17" t="s">
        <v>1109</v>
      </c>
      <c r="C486" s="18"/>
      <c r="D486" s="18" t="s">
        <v>1107</v>
      </c>
      <c r="E486" s="19">
        <f t="shared" ref="E486:N486" si="181">E487+E491+E497+E499+E501+E505</f>
        <v>979036</v>
      </c>
      <c r="F486" s="19">
        <f t="shared" si="181"/>
        <v>510478</v>
      </c>
      <c r="G486" s="19">
        <f t="shared" si="181"/>
        <v>9300</v>
      </c>
      <c r="H486" s="19">
        <f t="shared" si="181"/>
        <v>0</v>
      </c>
      <c r="I486" s="19">
        <f t="shared" si="181"/>
        <v>402191</v>
      </c>
      <c r="J486" s="19">
        <f t="shared" si="181"/>
        <v>0</v>
      </c>
      <c r="K486" s="19">
        <f t="shared" si="181"/>
        <v>56684</v>
      </c>
      <c r="L486" s="19">
        <f t="shared" si="181"/>
        <v>383</v>
      </c>
      <c r="M486" s="19">
        <f t="shared" si="181"/>
        <v>0</v>
      </c>
      <c r="N486" s="19">
        <f t="shared" si="181"/>
        <v>0</v>
      </c>
      <c r="O486" s="18"/>
      <c r="P486" s="20"/>
      <c r="Q486" s="21"/>
    </row>
    <row r="487" spans="1:17" ht="40.5" x14ac:dyDescent="0.25">
      <c r="A487" s="22" t="s">
        <v>1110</v>
      </c>
      <c r="B487" s="23" t="s">
        <v>1111</v>
      </c>
      <c r="C487" s="24" t="s">
        <v>1104</v>
      </c>
      <c r="D487" s="24" t="s">
        <v>1112</v>
      </c>
      <c r="E487" s="25">
        <f>SUM(E488:E490)+115067</f>
        <v>115067</v>
      </c>
      <c r="F487" s="25">
        <f>SUM(F488:F490)</f>
        <v>0</v>
      </c>
      <c r="G487" s="25">
        <f>SUM(G488:G490)</f>
        <v>0</v>
      </c>
      <c r="H487" s="25">
        <f>SUM(H488:H490)</f>
        <v>0</v>
      </c>
      <c r="I487" s="25">
        <f>SUM(I488:I490)+58000</f>
        <v>58000</v>
      </c>
      <c r="J487" s="25">
        <f>SUM(J488:J490)</f>
        <v>0</v>
      </c>
      <c r="K487" s="25">
        <f>SUM(K488:K490)+56684</f>
        <v>56684</v>
      </c>
      <c r="L487" s="25">
        <f>SUM(L488:L490)+383</f>
        <v>383</v>
      </c>
      <c r="M487" s="25">
        <f>SUM(M488:M490)</f>
        <v>0</v>
      </c>
      <c r="N487" s="25">
        <f>SUM(N488:N490)</f>
        <v>0</v>
      </c>
      <c r="O487" s="24" t="s">
        <v>1113</v>
      </c>
      <c r="P487" s="26" t="s">
        <v>31</v>
      </c>
      <c r="Q487" s="27" t="s">
        <v>1114</v>
      </c>
    </row>
    <row r="488" spans="1:17" ht="40.5" x14ac:dyDescent="0.25">
      <c r="A488" s="29"/>
      <c r="B488" s="30"/>
      <c r="C488" s="31"/>
      <c r="D488" s="31"/>
      <c r="E488" s="32">
        <v>0</v>
      </c>
      <c r="F488" s="32">
        <v>0</v>
      </c>
      <c r="G488" s="32">
        <v>0</v>
      </c>
      <c r="H488" s="32">
        <v>0</v>
      </c>
      <c r="I488" s="32">
        <v>0</v>
      </c>
      <c r="J488" s="32">
        <v>0</v>
      </c>
      <c r="K488" s="32">
        <v>0</v>
      </c>
      <c r="L488" s="32">
        <v>0</v>
      </c>
      <c r="M488" s="32">
        <v>0</v>
      </c>
      <c r="N488" s="32">
        <v>0</v>
      </c>
      <c r="O488" s="31" t="s">
        <v>1115</v>
      </c>
      <c r="P488" s="33" t="s">
        <v>31</v>
      </c>
      <c r="Q488" s="34" t="s">
        <v>1116</v>
      </c>
    </row>
    <row r="489" spans="1:17" ht="60.75" x14ac:dyDescent="0.25">
      <c r="A489" s="22" t="s">
        <v>1117</v>
      </c>
      <c r="B489" s="23" t="s">
        <v>1118</v>
      </c>
      <c r="C489" s="24"/>
      <c r="D489" s="24"/>
      <c r="E489" s="28">
        <v>0</v>
      </c>
      <c r="F489" s="28">
        <v>0</v>
      </c>
      <c r="G489" s="28">
        <v>0</v>
      </c>
      <c r="H489" s="28">
        <v>0</v>
      </c>
      <c r="I489" s="28">
        <v>0</v>
      </c>
      <c r="J489" s="28">
        <v>0</v>
      </c>
      <c r="K489" s="28">
        <v>0</v>
      </c>
      <c r="L489" s="28">
        <v>0</v>
      </c>
      <c r="M489" s="28">
        <v>0</v>
      </c>
      <c r="N489" s="28">
        <v>0</v>
      </c>
      <c r="O489" s="24"/>
      <c r="P489" s="26"/>
      <c r="Q489" s="27"/>
    </row>
    <row r="490" spans="1:17" ht="60.75" x14ac:dyDescent="0.25">
      <c r="A490" s="22" t="s">
        <v>1119</v>
      </c>
      <c r="B490" s="23" t="s">
        <v>1120</v>
      </c>
      <c r="C490" s="24"/>
      <c r="D490" s="24"/>
      <c r="E490" s="28">
        <v>0</v>
      </c>
      <c r="F490" s="28">
        <v>0</v>
      </c>
      <c r="G490" s="28">
        <v>0</v>
      </c>
      <c r="H490" s="28">
        <v>0</v>
      </c>
      <c r="I490" s="28">
        <v>0</v>
      </c>
      <c r="J490" s="28">
        <v>0</v>
      </c>
      <c r="K490" s="28">
        <v>0</v>
      </c>
      <c r="L490" s="28">
        <v>0</v>
      </c>
      <c r="M490" s="28">
        <v>0</v>
      </c>
      <c r="N490" s="28">
        <v>0</v>
      </c>
      <c r="O490" s="24"/>
      <c r="P490" s="26"/>
      <c r="Q490" s="27"/>
    </row>
    <row r="491" spans="1:17" ht="60.75" x14ac:dyDescent="0.25">
      <c r="A491" s="22" t="s">
        <v>1121</v>
      </c>
      <c r="B491" s="23" t="s">
        <v>1122</v>
      </c>
      <c r="C491" s="24"/>
      <c r="D491" s="24" t="s">
        <v>1107</v>
      </c>
      <c r="E491" s="25">
        <f>SUM(E492:E496)+163878</f>
        <v>163878</v>
      </c>
      <c r="F491" s="25">
        <f>SUM(F492:F496)+75578</f>
        <v>75578</v>
      </c>
      <c r="G491" s="25">
        <f>SUM(G492:G496)+9300</f>
        <v>9300</v>
      </c>
      <c r="H491" s="25">
        <f>SUM(H492:H496)</f>
        <v>0</v>
      </c>
      <c r="I491" s="25">
        <f>SUM(I492:I496)+79000</f>
        <v>79000</v>
      </c>
      <c r="J491" s="25">
        <f>SUM(J492:J496)</f>
        <v>0</v>
      </c>
      <c r="K491" s="25">
        <f>SUM(K492:K496)</f>
        <v>0</v>
      </c>
      <c r="L491" s="25">
        <f>SUM(L492:L496)</f>
        <v>0</v>
      </c>
      <c r="M491" s="25">
        <f>SUM(M492:M496)</f>
        <v>0</v>
      </c>
      <c r="N491" s="25">
        <f>SUM(N492:N496)</f>
        <v>0</v>
      </c>
      <c r="O491" s="24" t="s">
        <v>1123</v>
      </c>
      <c r="P491" s="26" t="s">
        <v>31</v>
      </c>
      <c r="Q491" s="27" t="s">
        <v>458</v>
      </c>
    </row>
    <row r="492" spans="1:17" ht="60.75" x14ac:dyDescent="0.25">
      <c r="A492" s="29"/>
      <c r="B492" s="30"/>
      <c r="C492" s="31"/>
      <c r="D492" s="31"/>
      <c r="E492" s="32">
        <v>0</v>
      </c>
      <c r="F492" s="32">
        <v>0</v>
      </c>
      <c r="G492" s="32">
        <v>0</v>
      </c>
      <c r="H492" s="32">
        <v>0</v>
      </c>
      <c r="I492" s="32">
        <v>0</v>
      </c>
      <c r="J492" s="32">
        <v>0</v>
      </c>
      <c r="K492" s="32">
        <v>0</v>
      </c>
      <c r="L492" s="32">
        <v>0</v>
      </c>
      <c r="M492" s="32">
        <v>0</v>
      </c>
      <c r="N492" s="32">
        <v>0</v>
      </c>
      <c r="O492" s="31" t="s">
        <v>1124</v>
      </c>
      <c r="P492" s="33" t="s">
        <v>31</v>
      </c>
      <c r="Q492" s="34" t="s">
        <v>1095</v>
      </c>
    </row>
    <row r="493" spans="1:17" ht="81" x14ac:dyDescent="0.25">
      <c r="A493" s="29"/>
      <c r="B493" s="30"/>
      <c r="C493" s="31"/>
      <c r="D493" s="31"/>
      <c r="E493" s="32">
        <v>0</v>
      </c>
      <c r="F493" s="32">
        <v>0</v>
      </c>
      <c r="G493" s="32">
        <v>0</v>
      </c>
      <c r="H493" s="32">
        <v>0</v>
      </c>
      <c r="I493" s="32">
        <v>0</v>
      </c>
      <c r="J493" s="32">
        <v>0</v>
      </c>
      <c r="K493" s="32">
        <v>0</v>
      </c>
      <c r="L493" s="32">
        <v>0</v>
      </c>
      <c r="M493" s="32">
        <v>0</v>
      </c>
      <c r="N493" s="32">
        <v>0</v>
      </c>
      <c r="O493" s="31" t="s">
        <v>1125</v>
      </c>
      <c r="P493" s="33" t="s">
        <v>31</v>
      </c>
      <c r="Q493" s="34" t="s">
        <v>799</v>
      </c>
    </row>
    <row r="494" spans="1:17" ht="60.75" x14ac:dyDescent="0.25">
      <c r="A494" s="22" t="s">
        <v>1126</v>
      </c>
      <c r="B494" s="23" t="s">
        <v>1127</v>
      </c>
      <c r="C494" s="24"/>
      <c r="D494" s="24"/>
      <c r="E494" s="28">
        <v>0</v>
      </c>
      <c r="F494" s="28">
        <v>0</v>
      </c>
      <c r="G494" s="28">
        <v>0</v>
      </c>
      <c r="H494" s="28">
        <v>0</v>
      </c>
      <c r="I494" s="28">
        <v>0</v>
      </c>
      <c r="J494" s="28">
        <v>0</v>
      </c>
      <c r="K494" s="28">
        <v>0</v>
      </c>
      <c r="L494" s="28">
        <v>0</v>
      </c>
      <c r="M494" s="28">
        <v>0</v>
      </c>
      <c r="N494" s="28">
        <v>0</v>
      </c>
      <c r="O494" s="24"/>
      <c r="P494" s="26"/>
      <c r="Q494" s="27"/>
    </row>
    <row r="495" spans="1:17" ht="60.75" x14ac:dyDescent="0.25">
      <c r="A495" s="22" t="s">
        <v>1128</v>
      </c>
      <c r="B495" s="23" t="s">
        <v>1129</v>
      </c>
      <c r="C495" s="24"/>
      <c r="D495" s="24"/>
      <c r="E495" s="28">
        <v>0</v>
      </c>
      <c r="F495" s="28">
        <v>0</v>
      </c>
      <c r="G495" s="28">
        <v>0</v>
      </c>
      <c r="H495" s="28">
        <v>0</v>
      </c>
      <c r="I495" s="28">
        <v>0</v>
      </c>
      <c r="J495" s="28">
        <v>0</v>
      </c>
      <c r="K495" s="28">
        <v>0</v>
      </c>
      <c r="L495" s="28">
        <v>0</v>
      </c>
      <c r="M495" s="28">
        <v>0</v>
      </c>
      <c r="N495" s="28">
        <v>0</v>
      </c>
      <c r="O495" s="24"/>
      <c r="P495" s="26"/>
      <c r="Q495" s="27"/>
    </row>
    <row r="496" spans="1:17" ht="60.75" x14ac:dyDescent="0.25">
      <c r="A496" s="22" t="s">
        <v>1130</v>
      </c>
      <c r="B496" s="23" t="s">
        <v>1131</v>
      </c>
      <c r="C496" s="24"/>
      <c r="D496" s="24"/>
      <c r="E496" s="28">
        <v>0</v>
      </c>
      <c r="F496" s="28">
        <v>0</v>
      </c>
      <c r="G496" s="28">
        <v>0</v>
      </c>
      <c r="H496" s="28">
        <v>0</v>
      </c>
      <c r="I496" s="28">
        <v>0</v>
      </c>
      <c r="J496" s="28">
        <v>0</v>
      </c>
      <c r="K496" s="28">
        <v>0</v>
      </c>
      <c r="L496" s="28">
        <v>0</v>
      </c>
      <c r="M496" s="28">
        <v>0</v>
      </c>
      <c r="N496" s="28">
        <v>0</v>
      </c>
      <c r="O496" s="24"/>
      <c r="P496" s="26"/>
      <c r="Q496" s="27"/>
    </row>
    <row r="497" spans="1:17" ht="60.75" x14ac:dyDescent="0.25">
      <c r="A497" s="22" t="s">
        <v>1132</v>
      </c>
      <c r="B497" s="23" t="s">
        <v>1133</v>
      </c>
      <c r="C497" s="24"/>
      <c r="D497" s="24" t="s">
        <v>1107</v>
      </c>
      <c r="E497" s="25">
        <f>SUM(E498:E498)+122500</f>
        <v>122500</v>
      </c>
      <c r="F497" s="25">
        <f>SUM(F498:F498)+122500</f>
        <v>122500</v>
      </c>
      <c r="G497" s="25">
        <f t="shared" ref="G497:N497" si="182">SUM(G498:G498)</f>
        <v>0</v>
      </c>
      <c r="H497" s="25">
        <f t="shared" si="182"/>
        <v>0</v>
      </c>
      <c r="I497" s="25">
        <f t="shared" si="182"/>
        <v>0</v>
      </c>
      <c r="J497" s="25">
        <f t="shared" si="182"/>
        <v>0</v>
      </c>
      <c r="K497" s="25">
        <f t="shared" si="182"/>
        <v>0</v>
      </c>
      <c r="L497" s="25">
        <f t="shared" si="182"/>
        <v>0</v>
      </c>
      <c r="M497" s="25">
        <f t="shared" si="182"/>
        <v>0</v>
      </c>
      <c r="N497" s="25">
        <f t="shared" si="182"/>
        <v>0</v>
      </c>
      <c r="O497" s="24" t="s">
        <v>1134</v>
      </c>
      <c r="P497" s="26" t="s">
        <v>31</v>
      </c>
      <c r="Q497" s="27" t="s">
        <v>1135</v>
      </c>
    </row>
    <row r="498" spans="1:17" ht="40.5" x14ac:dyDescent="0.25">
      <c r="A498" s="22" t="s">
        <v>1136</v>
      </c>
      <c r="B498" s="23" t="s">
        <v>1137</v>
      </c>
      <c r="C498" s="24"/>
      <c r="D498" s="24"/>
      <c r="E498" s="28">
        <v>0</v>
      </c>
      <c r="F498" s="28">
        <v>0</v>
      </c>
      <c r="G498" s="28">
        <v>0</v>
      </c>
      <c r="H498" s="28">
        <v>0</v>
      </c>
      <c r="I498" s="28">
        <v>0</v>
      </c>
      <c r="J498" s="28">
        <v>0</v>
      </c>
      <c r="K498" s="28">
        <v>0</v>
      </c>
      <c r="L498" s="28">
        <v>0</v>
      </c>
      <c r="M498" s="28">
        <v>0</v>
      </c>
      <c r="N498" s="28">
        <v>0</v>
      </c>
      <c r="O498" s="24"/>
      <c r="P498" s="26"/>
      <c r="Q498" s="27"/>
    </row>
    <row r="499" spans="1:17" ht="60.75" x14ac:dyDescent="0.25">
      <c r="A499" s="22" t="s">
        <v>1138</v>
      </c>
      <c r="B499" s="23" t="s">
        <v>1139</v>
      </c>
      <c r="C499" s="24"/>
      <c r="D499" s="24" t="s">
        <v>1107</v>
      </c>
      <c r="E499" s="25">
        <f>SUM(E500:E500)+132091</f>
        <v>132091</v>
      </c>
      <c r="F499" s="25">
        <f>SUM(F500:F500)+118900</f>
        <v>118900</v>
      </c>
      <c r="G499" s="25">
        <f>SUM(G500:G500)</f>
        <v>0</v>
      </c>
      <c r="H499" s="25">
        <f>SUM(H500:H500)</f>
        <v>0</v>
      </c>
      <c r="I499" s="25">
        <f>SUM(I500:I500)+13191</f>
        <v>13191</v>
      </c>
      <c r="J499" s="25">
        <f>SUM(J500:J500)</f>
        <v>0</v>
      </c>
      <c r="K499" s="25">
        <f>SUM(K500:K500)</f>
        <v>0</v>
      </c>
      <c r="L499" s="25">
        <f>SUM(L500:L500)</f>
        <v>0</v>
      </c>
      <c r="M499" s="25">
        <f>SUM(M500:M500)</f>
        <v>0</v>
      </c>
      <c r="N499" s="25">
        <f>SUM(N500:N500)</f>
        <v>0</v>
      </c>
      <c r="O499" s="24" t="s">
        <v>1140</v>
      </c>
      <c r="P499" s="26" t="s">
        <v>31</v>
      </c>
      <c r="Q499" s="27" t="s">
        <v>1048</v>
      </c>
    </row>
    <row r="500" spans="1:17" ht="81" x14ac:dyDescent="0.25">
      <c r="A500" s="22" t="s">
        <v>1141</v>
      </c>
      <c r="B500" s="23" t="s">
        <v>1142</v>
      </c>
      <c r="C500" s="24"/>
      <c r="D500" s="24"/>
      <c r="E500" s="28">
        <v>0</v>
      </c>
      <c r="F500" s="28">
        <v>0</v>
      </c>
      <c r="G500" s="28">
        <v>0</v>
      </c>
      <c r="H500" s="28">
        <v>0</v>
      </c>
      <c r="I500" s="28">
        <v>0</v>
      </c>
      <c r="J500" s="28">
        <v>0</v>
      </c>
      <c r="K500" s="28">
        <v>0</v>
      </c>
      <c r="L500" s="28">
        <v>0</v>
      </c>
      <c r="M500" s="28">
        <v>0</v>
      </c>
      <c r="N500" s="28">
        <v>0</v>
      </c>
      <c r="O500" s="24"/>
      <c r="P500" s="26"/>
      <c r="Q500" s="27"/>
    </row>
    <row r="501" spans="1:17" ht="60.75" x14ac:dyDescent="0.25">
      <c r="A501" s="22" t="s">
        <v>1143</v>
      </c>
      <c r="B501" s="23" t="s">
        <v>1144</v>
      </c>
      <c r="C501" s="24"/>
      <c r="D501" s="24" t="s">
        <v>1107</v>
      </c>
      <c r="E501" s="25">
        <f>SUM(E502:E504)+63500</f>
        <v>63500</v>
      </c>
      <c r="F501" s="25">
        <f>SUM(F502:F504)+63500</f>
        <v>63500</v>
      </c>
      <c r="G501" s="25">
        <f t="shared" ref="G501:N501" si="183">SUM(G502:G504)</f>
        <v>0</v>
      </c>
      <c r="H501" s="25">
        <f t="shared" si="183"/>
        <v>0</v>
      </c>
      <c r="I501" s="25">
        <f t="shared" si="183"/>
        <v>0</v>
      </c>
      <c r="J501" s="25">
        <f t="shared" si="183"/>
        <v>0</v>
      </c>
      <c r="K501" s="25">
        <f t="shared" si="183"/>
        <v>0</v>
      </c>
      <c r="L501" s="25">
        <f t="shared" si="183"/>
        <v>0</v>
      </c>
      <c r="M501" s="25">
        <f t="shared" si="183"/>
        <v>0</v>
      </c>
      <c r="N501" s="25">
        <f t="shared" si="183"/>
        <v>0</v>
      </c>
      <c r="O501" s="24" t="s">
        <v>1145</v>
      </c>
      <c r="P501" s="26" t="s">
        <v>31</v>
      </c>
      <c r="Q501" s="27" t="s">
        <v>294</v>
      </c>
    </row>
    <row r="502" spans="1:17" ht="40.5" x14ac:dyDescent="0.25">
      <c r="A502" s="22" t="s">
        <v>1146</v>
      </c>
      <c r="B502" s="23" t="s">
        <v>1147</v>
      </c>
      <c r="C502" s="24"/>
      <c r="D502" s="24"/>
      <c r="E502" s="28">
        <v>0</v>
      </c>
      <c r="F502" s="28">
        <v>0</v>
      </c>
      <c r="G502" s="28">
        <v>0</v>
      </c>
      <c r="H502" s="28">
        <v>0</v>
      </c>
      <c r="I502" s="28">
        <v>0</v>
      </c>
      <c r="J502" s="28">
        <v>0</v>
      </c>
      <c r="K502" s="28">
        <v>0</v>
      </c>
      <c r="L502" s="28">
        <v>0</v>
      </c>
      <c r="M502" s="28">
        <v>0</v>
      </c>
      <c r="N502" s="28">
        <v>0</v>
      </c>
      <c r="O502" s="24"/>
      <c r="P502" s="26"/>
      <c r="Q502" s="27"/>
    </row>
    <row r="503" spans="1:17" ht="60.75" x14ac:dyDescent="0.25">
      <c r="A503" s="22" t="s">
        <v>1148</v>
      </c>
      <c r="B503" s="23" t="s">
        <v>1149</v>
      </c>
      <c r="C503" s="24"/>
      <c r="D503" s="24"/>
      <c r="E503" s="28">
        <v>0</v>
      </c>
      <c r="F503" s="28">
        <v>0</v>
      </c>
      <c r="G503" s="28">
        <v>0</v>
      </c>
      <c r="H503" s="28">
        <v>0</v>
      </c>
      <c r="I503" s="28">
        <v>0</v>
      </c>
      <c r="J503" s="28">
        <v>0</v>
      </c>
      <c r="K503" s="28">
        <v>0</v>
      </c>
      <c r="L503" s="28">
        <v>0</v>
      </c>
      <c r="M503" s="28">
        <v>0</v>
      </c>
      <c r="N503" s="28">
        <v>0</v>
      </c>
      <c r="O503" s="24"/>
      <c r="P503" s="26"/>
      <c r="Q503" s="27"/>
    </row>
    <row r="504" spans="1:17" ht="40.5" x14ac:dyDescent="0.25">
      <c r="A504" s="22" t="s">
        <v>1150</v>
      </c>
      <c r="B504" s="23" t="s">
        <v>1151</v>
      </c>
      <c r="C504" s="24"/>
      <c r="D504" s="24"/>
      <c r="E504" s="28">
        <v>0</v>
      </c>
      <c r="F504" s="28">
        <v>0</v>
      </c>
      <c r="G504" s="28">
        <v>0</v>
      </c>
      <c r="H504" s="28">
        <v>0</v>
      </c>
      <c r="I504" s="28">
        <v>0</v>
      </c>
      <c r="J504" s="28">
        <v>0</v>
      </c>
      <c r="K504" s="28">
        <v>0</v>
      </c>
      <c r="L504" s="28">
        <v>0</v>
      </c>
      <c r="M504" s="28">
        <v>0</v>
      </c>
      <c r="N504" s="28">
        <v>0</v>
      </c>
      <c r="O504" s="24"/>
      <c r="P504" s="26"/>
      <c r="Q504" s="27"/>
    </row>
    <row r="505" spans="1:17" ht="81" x14ac:dyDescent="0.25">
      <c r="A505" s="22" t="s">
        <v>1152</v>
      </c>
      <c r="B505" s="23" t="s">
        <v>1153</v>
      </c>
      <c r="C505" s="24"/>
      <c r="D505" s="24" t="s">
        <v>1107</v>
      </c>
      <c r="E505" s="25">
        <f>SUM(E506:E506)+382000</f>
        <v>382000</v>
      </c>
      <c r="F505" s="25">
        <f>SUM(F506:F506)+130000</f>
        <v>130000</v>
      </c>
      <c r="G505" s="25">
        <f>SUM(G506:G506)</f>
        <v>0</v>
      </c>
      <c r="H505" s="25">
        <f>SUM(H506:H506)</f>
        <v>0</v>
      </c>
      <c r="I505" s="25">
        <f>SUM(I506:I506)+252000</f>
        <v>252000</v>
      </c>
      <c r="J505" s="25">
        <f>SUM(J506:J506)</f>
        <v>0</v>
      </c>
      <c r="K505" s="25">
        <f>SUM(K506:K506)</f>
        <v>0</v>
      </c>
      <c r="L505" s="25">
        <f>SUM(L506:L506)</f>
        <v>0</v>
      </c>
      <c r="M505" s="25">
        <f>SUM(M506:M506)</f>
        <v>0</v>
      </c>
      <c r="N505" s="25">
        <f>SUM(N506:N506)</f>
        <v>0</v>
      </c>
      <c r="O505" s="24" t="s">
        <v>1154</v>
      </c>
      <c r="P505" s="26" t="s">
        <v>31</v>
      </c>
      <c r="Q505" s="27" t="s">
        <v>701</v>
      </c>
    </row>
    <row r="506" spans="1:17" ht="81" x14ac:dyDescent="0.25">
      <c r="A506" s="22" t="s">
        <v>1155</v>
      </c>
      <c r="B506" s="23" t="s">
        <v>1156</v>
      </c>
      <c r="C506" s="24"/>
      <c r="D506" s="24"/>
      <c r="E506" s="28">
        <v>0</v>
      </c>
      <c r="F506" s="28">
        <v>0</v>
      </c>
      <c r="G506" s="28">
        <v>0</v>
      </c>
      <c r="H506" s="28">
        <v>0</v>
      </c>
      <c r="I506" s="28">
        <v>0</v>
      </c>
      <c r="J506" s="28">
        <v>0</v>
      </c>
      <c r="K506" s="28">
        <v>0</v>
      </c>
      <c r="L506" s="28">
        <v>0</v>
      </c>
      <c r="M506" s="28">
        <v>0</v>
      </c>
      <c r="N506" s="28">
        <v>0</v>
      </c>
      <c r="O506" s="24"/>
      <c r="P506" s="26"/>
      <c r="Q506" s="27"/>
    </row>
    <row r="507" spans="1:17" ht="40.5" x14ac:dyDescent="0.25">
      <c r="A507" s="16" t="s">
        <v>1157</v>
      </c>
      <c r="B507" s="17" t="s">
        <v>1158</v>
      </c>
      <c r="C507" s="18"/>
      <c r="D507" s="18" t="s">
        <v>1107</v>
      </c>
      <c r="E507" s="19">
        <f t="shared" ref="E507:N508" si="184">SUM(E508:E508)</f>
        <v>0</v>
      </c>
      <c r="F507" s="19">
        <f t="shared" si="184"/>
        <v>0</v>
      </c>
      <c r="G507" s="19">
        <f t="shared" si="184"/>
        <v>0</v>
      </c>
      <c r="H507" s="19">
        <f t="shared" si="184"/>
        <v>0</v>
      </c>
      <c r="I507" s="19">
        <f t="shared" si="184"/>
        <v>0</v>
      </c>
      <c r="J507" s="19">
        <f t="shared" si="184"/>
        <v>0</v>
      </c>
      <c r="K507" s="19">
        <f t="shared" si="184"/>
        <v>0</v>
      </c>
      <c r="L507" s="19">
        <f t="shared" si="184"/>
        <v>0</v>
      </c>
      <c r="M507" s="19">
        <f t="shared" si="184"/>
        <v>0</v>
      </c>
      <c r="N507" s="19">
        <f t="shared" si="184"/>
        <v>0</v>
      </c>
      <c r="O507" s="18"/>
      <c r="P507" s="20"/>
      <c r="Q507" s="21"/>
    </row>
    <row r="508" spans="1:17" ht="40.5" x14ac:dyDescent="0.25">
      <c r="A508" s="22" t="s">
        <v>1159</v>
      </c>
      <c r="B508" s="23" t="s">
        <v>1160</v>
      </c>
      <c r="C508" s="24"/>
      <c r="D508" s="24" t="s">
        <v>1107</v>
      </c>
      <c r="E508" s="25">
        <f t="shared" si="184"/>
        <v>0</v>
      </c>
      <c r="F508" s="25">
        <f t="shared" si="184"/>
        <v>0</v>
      </c>
      <c r="G508" s="25">
        <f t="shared" si="184"/>
        <v>0</v>
      </c>
      <c r="H508" s="25">
        <f t="shared" si="184"/>
        <v>0</v>
      </c>
      <c r="I508" s="25">
        <f t="shared" si="184"/>
        <v>0</v>
      </c>
      <c r="J508" s="25">
        <f t="shared" si="184"/>
        <v>0</v>
      </c>
      <c r="K508" s="25">
        <f t="shared" si="184"/>
        <v>0</v>
      </c>
      <c r="L508" s="25">
        <f t="shared" si="184"/>
        <v>0</v>
      </c>
      <c r="M508" s="25">
        <f t="shared" si="184"/>
        <v>0</v>
      </c>
      <c r="N508" s="25">
        <f t="shared" si="184"/>
        <v>0</v>
      </c>
      <c r="O508" s="24" t="s">
        <v>1161</v>
      </c>
      <c r="P508" s="26" t="s">
        <v>31</v>
      </c>
      <c r="Q508" s="27" t="s">
        <v>1162</v>
      </c>
    </row>
    <row r="509" spans="1:17" ht="40.5" x14ac:dyDescent="0.25">
      <c r="A509" s="22" t="s">
        <v>1163</v>
      </c>
      <c r="B509" s="23" t="s">
        <v>1164</v>
      </c>
      <c r="C509" s="24"/>
      <c r="D509" s="24"/>
      <c r="E509" s="28">
        <v>0</v>
      </c>
      <c r="F509" s="28">
        <v>0</v>
      </c>
      <c r="G509" s="28">
        <v>0</v>
      </c>
      <c r="H509" s="28">
        <v>0</v>
      </c>
      <c r="I509" s="28">
        <v>0</v>
      </c>
      <c r="J509" s="28">
        <v>0</v>
      </c>
      <c r="K509" s="28">
        <v>0</v>
      </c>
      <c r="L509" s="28">
        <v>0</v>
      </c>
      <c r="M509" s="28">
        <v>0</v>
      </c>
      <c r="N509" s="28">
        <v>0</v>
      </c>
      <c r="O509" s="24"/>
      <c r="P509" s="26"/>
      <c r="Q509" s="27"/>
    </row>
    <row r="510" spans="1:17" ht="40.5" x14ac:dyDescent="0.25">
      <c r="A510" s="16" t="s">
        <v>1165</v>
      </c>
      <c r="B510" s="17" t="s">
        <v>1166</v>
      </c>
      <c r="C510" s="18"/>
      <c r="D510" s="18" t="s">
        <v>1107</v>
      </c>
      <c r="E510" s="19">
        <f t="shared" ref="E510:N510" si="185">E511+E514+E516+E518</f>
        <v>47330</v>
      </c>
      <c r="F510" s="19">
        <f t="shared" si="185"/>
        <v>47330</v>
      </c>
      <c r="G510" s="19">
        <f t="shared" si="185"/>
        <v>0</v>
      </c>
      <c r="H510" s="19">
        <f t="shared" si="185"/>
        <v>0</v>
      </c>
      <c r="I510" s="19">
        <f t="shared" si="185"/>
        <v>0</v>
      </c>
      <c r="J510" s="19">
        <f t="shared" si="185"/>
        <v>0</v>
      </c>
      <c r="K510" s="19">
        <f t="shared" si="185"/>
        <v>0</v>
      </c>
      <c r="L510" s="19">
        <f t="shared" si="185"/>
        <v>0</v>
      </c>
      <c r="M510" s="19">
        <f t="shared" si="185"/>
        <v>0</v>
      </c>
      <c r="N510" s="19">
        <f t="shared" si="185"/>
        <v>0</v>
      </c>
      <c r="O510" s="18"/>
      <c r="P510" s="20"/>
      <c r="Q510" s="21"/>
    </row>
    <row r="511" spans="1:17" ht="40.5" x14ac:dyDescent="0.25">
      <c r="A511" s="22" t="s">
        <v>1167</v>
      </c>
      <c r="B511" s="23" t="s">
        <v>1168</v>
      </c>
      <c r="C511" s="24"/>
      <c r="D511" s="24" t="s">
        <v>1107</v>
      </c>
      <c r="E511" s="25">
        <f>SUM(E512:E513)+22000</f>
        <v>22000</v>
      </c>
      <c r="F511" s="25">
        <f>SUM(F512:F513)+22000</f>
        <v>22000</v>
      </c>
      <c r="G511" s="25">
        <f t="shared" ref="G511:N511" si="186">SUM(G512:G513)</f>
        <v>0</v>
      </c>
      <c r="H511" s="25">
        <f t="shared" si="186"/>
        <v>0</v>
      </c>
      <c r="I511" s="25">
        <f t="shared" si="186"/>
        <v>0</v>
      </c>
      <c r="J511" s="25">
        <f t="shared" si="186"/>
        <v>0</v>
      </c>
      <c r="K511" s="25">
        <f t="shared" si="186"/>
        <v>0</v>
      </c>
      <c r="L511" s="25">
        <f t="shared" si="186"/>
        <v>0</v>
      </c>
      <c r="M511" s="25">
        <f t="shared" si="186"/>
        <v>0</v>
      </c>
      <c r="N511" s="25">
        <f t="shared" si="186"/>
        <v>0</v>
      </c>
      <c r="O511" s="24" t="s">
        <v>1169</v>
      </c>
      <c r="P511" s="26" t="s">
        <v>31</v>
      </c>
      <c r="Q511" s="27" t="s">
        <v>1170</v>
      </c>
    </row>
    <row r="512" spans="1:17" ht="60.75" x14ac:dyDescent="0.25">
      <c r="A512" s="22" t="s">
        <v>1171</v>
      </c>
      <c r="B512" s="23" t="s">
        <v>1172</v>
      </c>
      <c r="C512" s="24"/>
      <c r="D512" s="24"/>
      <c r="E512" s="28">
        <v>0</v>
      </c>
      <c r="F512" s="28">
        <v>0</v>
      </c>
      <c r="G512" s="28">
        <v>0</v>
      </c>
      <c r="H512" s="28">
        <v>0</v>
      </c>
      <c r="I512" s="28">
        <v>0</v>
      </c>
      <c r="J512" s="28">
        <v>0</v>
      </c>
      <c r="K512" s="28">
        <v>0</v>
      </c>
      <c r="L512" s="28">
        <v>0</v>
      </c>
      <c r="M512" s="28">
        <v>0</v>
      </c>
      <c r="N512" s="28">
        <v>0</v>
      </c>
      <c r="O512" s="24"/>
      <c r="P512" s="26"/>
      <c r="Q512" s="27"/>
    </row>
    <row r="513" spans="1:17" ht="60.75" x14ac:dyDescent="0.25">
      <c r="A513" s="22" t="s">
        <v>1173</v>
      </c>
      <c r="B513" s="23" t="s">
        <v>1174</v>
      </c>
      <c r="C513" s="24"/>
      <c r="D513" s="24"/>
      <c r="E513" s="28">
        <v>0</v>
      </c>
      <c r="F513" s="28">
        <v>0</v>
      </c>
      <c r="G513" s="28">
        <v>0</v>
      </c>
      <c r="H513" s="28">
        <v>0</v>
      </c>
      <c r="I513" s="28">
        <v>0</v>
      </c>
      <c r="J513" s="28">
        <v>0</v>
      </c>
      <c r="K513" s="28">
        <v>0</v>
      </c>
      <c r="L513" s="28">
        <v>0</v>
      </c>
      <c r="M513" s="28">
        <v>0</v>
      </c>
      <c r="N513" s="28">
        <v>0</v>
      </c>
      <c r="O513" s="24"/>
      <c r="P513" s="26"/>
      <c r="Q513" s="27"/>
    </row>
    <row r="514" spans="1:17" ht="40.5" x14ac:dyDescent="0.25">
      <c r="A514" s="22" t="s">
        <v>1175</v>
      </c>
      <c r="B514" s="23" t="s">
        <v>1176</v>
      </c>
      <c r="C514" s="24"/>
      <c r="D514" s="24" t="s">
        <v>1107</v>
      </c>
      <c r="E514" s="25">
        <f>SUM(E515:E515)+14100</f>
        <v>14100</v>
      </c>
      <c r="F514" s="25">
        <f>SUM(F515:F515)+14100</f>
        <v>14100</v>
      </c>
      <c r="G514" s="25">
        <f t="shared" ref="G514:N514" si="187">SUM(G515:G515)</f>
        <v>0</v>
      </c>
      <c r="H514" s="25">
        <f t="shared" si="187"/>
        <v>0</v>
      </c>
      <c r="I514" s="25">
        <f t="shared" si="187"/>
        <v>0</v>
      </c>
      <c r="J514" s="25">
        <f t="shared" si="187"/>
        <v>0</v>
      </c>
      <c r="K514" s="25">
        <f t="shared" si="187"/>
        <v>0</v>
      </c>
      <c r="L514" s="25">
        <f t="shared" si="187"/>
        <v>0</v>
      </c>
      <c r="M514" s="25">
        <f t="shared" si="187"/>
        <v>0</v>
      </c>
      <c r="N514" s="25">
        <f t="shared" si="187"/>
        <v>0</v>
      </c>
      <c r="O514" s="24" t="s">
        <v>1177</v>
      </c>
      <c r="P514" s="26" t="s">
        <v>31</v>
      </c>
      <c r="Q514" s="27" t="s">
        <v>171</v>
      </c>
    </row>
    <row r="515" spans="1:17" ht="40.5" x14ac:dyDescent="0.25">
      <c r="A515" s="22" t="s">
        <v>1178</v>
      </c>
      <c r="B515" s="23" t="s">
        <v>1179</v>
      </c>
      <c r="C515" s="24"/>
      <c r="D515" s="24"/>
      <c r="E515" s="28">
        <v>0</v>
      </c>
      <c r="F515" s="28">
        <v>0</v>
      </c>
      <c r="G515" s="28">
        <v>0</v>
      </c>
      <c r="H515" s="28">
        <v>0</v>
      </c>
      <c r="I515" s="28">
        <v>0</v>
      </c>
      <c r="J515" s="28">
        <v>0</v>
      </c>
      <c r="K515" s="28">
        <v>0</v>
      </c>
      <c r="L515" s="28">
        <v>0</v>
      </c>
      <c r="M515" s="28">
        <v>0</v>
      </c>
      <c r="N515" s="28">
        <v>0</v>
      </c>
      <c r="O515" s="24"/>
      <c r="P515" s="26"/>
      <c r="Q515" s="27"/>
    </row>
    <row r="516" spans="1:17" ht="60.75" x14ac:dyDescent="0.25">
      <c r="A516" s="22" t="s">
        <v>1180</v>
      </c>
      <c r="B516" s="23" t="s">
        <v>1181</v>
      </c>
      <c r="C516" s="24"/>
      <c r="D516" s="24" t="s">
        <v>1107</v>
      </c>
      <c r="E516" s="25">
        <f t="shared" ref="E516:N516" si="188">SUM(E517:E517)</f>
        <v>0</v>
      </c>
      <c r="F516" s="25">
        <f t="shared" si="188"/>
        <v>0</v>
      </c>
      <c r="G516" s="25">
        <f t="shared" si="188"/>
        <v>0</v>
      </c>
      <c r="H516" s="25">
        <f t="shared" si="188"/>
        <v>0</v>
      </c>
      <c r="I516" s="25">
        <f t="shared" si="188"/>
        <v>0</v>
      </c>
      <c r="J516" s="25">
        <f t="shared" si="188"/>
        <v>0</v>
      </c>
      <c r="K516" s="25">
        <f t="shared" si="188"/>
        <v>0</v>
      </c>
      <c r="L516" s="25">
        <f t="shared" si="188"/>
        <v>0</v>
      </c>
      <c r="M516" s="25">
        <f t="shared" si="188"/>
        <v>0</v>
      </c>
      <c r="N516" s="25">
        <f t="shared" si="188"/>
        <v>0</v>
      </c>
      <c r="O516" s="24" t="s">
        <v>1182</v>
      </c>
      <c r="P516" s="26" t="s">
        <v>31</v>
      </c>
      <c r="Q516" s="27" t="s">
        <v>123</v>
      </c>
    </row>
    <row r="517" spans="1:17" ht="40.5" x14ac:dyDescent="0.25">
      <c r="A517" s="22" t="s">
        <v>1183</v>
      </c>
      <c r="B517" s="23" t="s">
        <v>1184</v>
      </c>
      <c r="C517" s="24"/>
      <c r="D517" s="24"/>
      <c r="E517" s="28">
        <v>0</v>
      </c>
      <c r="F517" s="28">
        <v>0</v>
      </c>
      <c r="G517" s="28">
        <v>0</v>
      </c>
      <c r="H517" s="28">
        <v>0</v>
      </c>
      <c r="I517" s="28">
        <v>0</v>
      </c>
      <c r="J517" s="28">
        <v>0</v>
      </c>
      <c r="K517" s="28">
        <v>0</v>
      </c>
      <c r="L517" s="28">
        <v>0</v>
      </c>
      <c r="M517" s="28">
        <v>0</v>
      </c>
      <c r="N517" s="28">
        <v>0</v>
      </c>
      <c r="O517" s="24"/>
      <c r="P517" s="26"/>
      <c r="Q517" s="27"/>
    </row>
    <row r="518" spans="1:17" ht="101.25" x14ac:dyDescent="0.25">
      <c r="A518" s="22" t="s">
        <v>1185</v>
      </c>
      <c r="B518" s="23" t="s">
        <v>1186</v>
      </c>
      <c r="C518" s="24"/>
      <c r="D518" s="24" t="s">
        <v>1107</v>
      </c>
      <c r="E518" s="25">
        <f>SUM(E519:E519)+11230</f>
        <v>11230</v>
      </c>
      <c r="F518" s="25">
        <f>SUM(F519:F519)+11230</f>
        <v>11230</v>
      </c>
      <c r="G518" s="25">
        <f t="shared" ref="G518:N518" si="189">SUM(G519:G519)</f>
        <v>0</v>
      </c>
      <c r="H518" s="25">
        <f t="shared" si="189"/>
        <v>0</v>
      </c>
      <c r="I518" s="25">
        <f t="shared" si="189"/>
        <v>0</v>
      </c>
      <c r="J518" s="25">
        <f t="shared" si="189"/>
        <v>0</v>
      </c>
      <c r="K518" s="25">
        <f t="shared" si="189"/>
        <v>0</v>
      </c>
      <c r="L518" s="25">
        <f t="shared" si="189"/>
        <v>0</v>
      </c>
      <c r="M518" s="25">
        <f t="shared" si="189"/>
        <v>0</v>
      </c>
      <c r="N518" s="25">
        <f t="shared" si="189"/>
        <v>0</v>
      </c>
      <c r="O518" s="24" t="s">
        <v>1187</v>
      </c>
      <c r="P518" s="26" t="s">
        <v>31</v>
      </c>
      <c r="Q518" s="27" t="s">
        <v>117</v>
      </c>
    </row>
    <row r="519" spans="1:17" ht="60.75" x14ac:dyDescent="0.25">
      <c r="A519" s="22" t="s">
        <v>1188</v>
      </c>
      <c r="B519" s="23" t="s">
        <v>1189</v>
      </c>
      <c r="C519" s="24"/>
      <c r="D519" s="24"/>
      <c r="E519" s="28">
        <v>0</v>
      </c>
      <c r="F519" s="28">
        <v>0</v>
      </c>
      <c r="G519" s="28">
        <v>0</v>
      </c>
      <c r="H519" s="28">
        <v>0</v>
      </c>
      <c r="I519" s="28">
        <v>0</v>
      </c>
      <c r="J519" s="28">
        <v>0</v>
      </c>
      <c r="K519" s="28">
        <v>0</v>
      </c>
      <c r="L519" s="28">
        <v>0</v>
      </c>
      <c r="M519" s="28">
        <v>0</v>
      </c>
      <c r="N519" s="28">
        <v>0</v>
      </c>
      <c r="O519" s="24"/>
      <c r="P519" s="26"/>
      <c r="Q519" s="27"/>
    </row>
    <row r="520" spans="1:17" x14ac:dyDescent="0.25">
      <c r="A520" s="16" t="s">
        <v>1190</v>
      </c>
      <c r="B520" s="17" t="s">
        <v>1191</v>
      </c>
      <c r="C520" s="18"/>
      <c r="D520" s="18" t="s">
        <v>1107</v>
      </c>
      <c r="E520" s="19">
        <f t="shared" ref="E520:N520" si="190">SUM(E521:E521)</f>
        <v>4000</v>
      </c>
      <c r="F520" s="19">
        <f t="shared" si="190"/>
        <v>4000</v>
      </c>
      <c r="G520" s="19">
        <f t="shared" si="190"/>
        <v>0</v>
      </c>
      <c r="H520" s="19">
        <f t="shared" si="190"/>
        <v>0</v>
      </c>
      <c r="I520" s="19">
        <f t="shared" si="190"/>
        <v>0</v>
      </c>
      <c r="J520" s="19">
        <f t="shared" si="190"/>
        <v>0</v>
      </c>
      <c r="K520" s="19">
        <f t="shared" si="190"/>
        <v>0</v>
      </c>
      <c r="L520" s="19">
        <f t="shared" si="190"/>
        <v>0</v>
      </c>
      <c r="M520" s="19">
        <f t="shared" si="190"/>
        <v>0</v>
      </c>
      <c r="N520" s="19">
        <f t="shared" si="190"/>
        <v>0</v>
      </c>
      <c r="O520" s="18"/>
      <c r="P520" s="20"/>
      <c r="Q520" s="21"/>
    </row>
    <row r="521" spans="1:17" ht="81" x14ac:dyDescent="0.25">
      <c r="A521" s="22" t="s">
        <v>1192</v>
      </c>
      <c r="B521" s="23" t="s">
        <v>1193</v>
      </c>
      <c r="C521" s="24"/>
      <c r="D521" s="24" t="s">
        <v>1107</v>
      </c>
      <c r="E521" s="25">
        <f>SUM(E522:E522)+4000</f>
        <v>4000</v>
      </c>
      <c r="F521" s="25">
        <f>SUM(F522:F522)+4000</f>
        <v>4000</v>
      </c>
      <c r="G521" s="25">
        <f t="shared" ref="G521:N521" si="191">SUM(G522:G522)</f>
        <v>0</v>
      </c>
      <c r="H521" s="25">
        <f t="shared" si="191"/>
        <v>0</v>
      </c>
      <c r="I521" s="25">
        <f t="shared" si="191"/>
        <v>0</v>
      </c>
      <c r="J521" s="25">
        <f t="shared" si="191"/>
        <v>0</v>
      </c>
      <c r="K521" s="25">
        <f t="shared" si="191"/>
        <v>0</v>
      </c>
      <c r="L521" s="25">
        <f t="shared" si="191"/>
        <v>0</v>
      </c>
      <c r="M521" s="25">
        <f t="shared" si="191"/>
        <v>0</v>
      </c>
      <c r="N521" s="25">
        <f t="shared" si="191"/>
        <v>0</v>
      </c>
      <c r="O521" s="24" t="s">
        <v>1194</v>
      </c>
      <c r="P521" s="26" t="s">
        <v>31</v>
      </c>
      <c r="Q521" s="27" t="s">
        <v>1195</v>
      </c>
    </row>
    <row r="522" spans="1:17" ht="40.5" x14ac:dyDescent="0.25">
      <c r="A522" s="22" t="s">
        <v>1196</v>
      </c>
      <c r="B522" s="23" t="s">
        <v>1197</v>
      </c>
      <c r="C522" s="24"/>
      <c r="D522" s="24"/>
      <c r="E522" s="28">
        <v>0</v>
      </c>
      <c r="F522" s="28">
        <v>0</v>
      </c>
      <c r="G522" s="28">
        <v>0</v>
      </c>
      <c r="H522" s="28">
        <v>0</v>
      </c>
      <c r="I522" s="28">
        <v>0</v>
      </c>
      <c r="J522" s="28">
        <v>0</v>
      </c>
      <c r="K522" s="28">
        <v>0</v>
      </c>
      <c r="L522" s="28">
        <v>0</v>
      </c>
      <c r="M522" s="28">
        <v>0</v>
      </c>
      <c r="N522" s="28">
        <v>0</v>
      </c>
      <c r="O522" s="24"/>
      <c r="P522" s="26"/>
      <c r="Q522" s="27"/>
    </row>
    <row r="523" spans="1:17" ht="40.5" x14ac:dyDescent="0.25">
      <c r="A523" s="10" t="s">
        <v>1198</v>
      </c>
      <c r="B523" s="11" t="s">
        <v>1199</v>
      </c>
      <c r="C523" s="12"/>
      <c r="D523" s="12" t="s">
        <v>1107</v>
      </c>
      <c r="E523" s="13">
        <f t="shared" ref="E523:N523" si="192">E524+E527+E537+E540+E543+E546+E558+E561+E564</f>
        <v>2504822.17</v>
      </c>
      <c r="F523" s="13">
        <f t="shared" si="192"/>
        <v>1733188</v>
      </c>
      <c r="G523" s="13">
        <f t="shared" si="192"/>
        <v>34856</v>
      </c>
      <c r="H523" s="13">
        <f t="shared" si="192"/>
        <v>0</v>
      </c>
      <c r="I523" s="13">
        <f t="shared" si="192"/>
        <v>567600</v>
      </c>
      <c r="J523" s="13">
        <f t="shared" si="192"/>
        <v>0</v>
      </c>
      <c r="K523" s="13">
        <f t="shared" si="192"/>
        <v>169178.17</v>
      </c>
      <c r="L523" s="13">
        <f t="shared" si="192"/>
        <v>0</v>
      </c>
      <c r="M523" s="13">
        <f t="shared" si="192"/>
        <v>0</v>
      </c>
      <c r="N523" s="13">
        <f t="shared" si="192"/>
        <v>0</v>
      </c>
      <c r="O523" s="12"/>
      <c r="P523" s="14"/>
      <c r="Q523" s="15"/>
    </row>
    <row r="524" spans="1:17" ht="40.5" x14ac:dyDescent="0.25">
      <c r="A524" s="16" t="s">
        <v>1200</v>
      </c>
      <c r="B524" s="17" t="s">
        <v>1201</v>
      </c>
      <c r="C524" s="18"/>
      <c r="D524" s="18"/>
      <c r="E524" s="19">
        <f t="shared" ref="E524:N525" si="193">SUM(E525:E525)</f>
        <v>0</v>
      </c>
      <c r="F524" s="19">
        <f t="shared" si="193"/>
        <v>0</v>
      </c>
      <c r="G524" s="19">
        <f t="shared" si="193"/>
        <v>0</v>
      </c>
      <c r="H524" s="19">
        <f t="shared" si="193"/>
        <v>0</v>
      </c>
      <c r="I524" s="19">
        <f t="shared" si="193"/>
        <v>0</v>
      </c>
      <c r="J524" s="19">
        <f t="shared" si="193"/>
        <v>0</v>
      </c>
      <c r="K524" s="19">
        <f t="shared" si="193"/>
        <v>0</v>
      </c>
      <c r="L524" s="19">
        <f t="shared" si="193"/>
        <v>0</v>
      </c>
      <c r="M524" s="19">
        <f t="shared" si="193"/>
        <v>0</v>
      </c>
      <c r="N524" s="19">
        <f t="shared" si="193"/>
        <v>0</v>
      </c>
      <c r="O524" s="18"/>
      <c r="P524" s="20"/>
      <c r="Q524" s="21"/>
    </row>
    <row r="525" spans="1:17" ht="40.5" x14ac:dyDescent="0.25">
      <c r="A525" s="22" t="s">
        <v>1202</v>
      </c>
      <c r="B525" s="23" t="s">
        <v>1203</v>
      </c>
      <c r="C525" s="24"/>
      <c r="D525" s="24" t="s">
        <v>1107</v>
      </c>
      <c r="E525" s="25">
        <f t="shared" si="193"/>
        <v>0</v>
      </c>
      <c r="F525" s="25">
        <f t="shared" si="193"/>
        <v>0</v>
      </c>
      <c r="G525" s="25">
        <f t="shared" si="193"/>
        <v>0</v>
      </c>
      <c r="H525" s="25">
        <f t="shared" si="193"/>
        <v>0</v>
      </c>
      <c r="I525" s="25">
        <f t="shared" si="193"/>
        <v>0</v>
      </c>
      <c r="J525" s="25">
        <f t="shared" si="193"/>
        <v>0</v>
      </c>
      <c r="K525" s="25">
        <f t="shared" si="193"/>
        <v>0</v>
      </c>
      <c r="L525" s="25">
        <f t="shared" si="193"/>
        <v>0</v>
      </c>
      <c r="M525" s="25">
        <f t="shared" si="193"/>
        <v>0</v>
      </c>
      <c r="N525" s="25">
        <f t="shared" si="193"/>
        <v>0</v>
      </c>
      <c r="O525" s="24" t="s">
        <v>1204</v>
      </c>
      <c r="P525" s="26" t="s">
        <v>31</v>
      </c>
      <c r="Q525" s="27" t="s">
        <v>1205</v>
      </c>
    </row>
    <row r="526" spans="1:17" ht="60.75" x14ac:dyDescent="0.25">
      <c r="A526" s="22" t="s">
        <v>1206</v>
      </c>
      <c r="B526" s="23" t="s">
        <v>1207</v>
      </c>
      <c r="C526" s="24"/>
      <c r="D526" s="24"/>
      <c r="E526" s="28">
        <v>0</v>
      </c>
      <c r="F526" s="28">
        <v>0</v>
      </c>
      <c r="G526" s="28">
        <v>0</v>
      </c>
      <c r="H526" s="28">
        <v>0</v>
      </c>
      <c r="I526" s="28">
        <v>0</v>
      </c>
      <c r="J526" s="28">
        <v>0</v>
      </c>
      <c r="K526" s="28">
        <v>0</v>
      </c>
      <c r="L526" s="28">
        <v>0</v>
      </c>
      <c r="M526" s="28">
        <v>0</v>
      </c>
      <c r="N526" s="28">
        <v>0</v>
      </c>
      <c r="O526" s="24"/>
      <c r="P526" s="26"/>
      <c r="Q526" s="27"/>
    </row>
    <row r="527" spans="1:17" ht="40.5" x14ac:dyDescent="0.25">
      <c r="A527" s="16" t="s">
        <v>1208</v>
      </c>
      <c r="B527" s="17" t="s">
        <v>1209</v>
      </c>
      <c r="C527" s="18"/>
      <c r="D527" s="18" t="s">
        <v>1107</v>
      </c>
      <c r="E527" s="19">
        <f t="shared" ref="E527:N527" si="194">E528+E530</f>
        <v>177178.17</v>
      </c>
      <c r="F527" s="19">
        <f t="shared" si="194"/>
        <v>8000</v>
      </c>
      <c r="G527" s="19">
        <f t="shared" si="194"/>
        <v>0</v>
      </c>
      <c r="H527" s="19">
        <f t="shared" si="194"/>
        <v>0</v>
      </c>
      <c r="I527" s="19">
        <f t="shared" si="194"/>
        <v>0</v>
      </c>
      <c r="J527" s="19">
        <f t="shared" si="194"/>
        <v>0</v>
      </c>
      <c r="K527" s="19">
        <f t="shared" si="194"/>
        <v>169178.17</v>
      </c>
      <c r="L527" s="19">
        <f t="shared" si="194"/>
        <v>0</v>
      </c>
      <c r="M527" s="19">
        <f t="shared" si="194"/>
        <v>0</v>
      </c>
      <c r="N527" s="19">
        <f t="shared" si="194"/>
        <v>0</v>
      </c>
      <c r="O527" s="18"/>
      <c r="P527" s="20"/>
      <c r="Q527" s="21"/>
    </row>
    <row r="528" spans="1:17" x14ac:dyDescent="0.25">
      <c r="A528" s="22" t="s">
        <v>1210</v>
      </c>
      <c r="B528" s="23" t="s">
        <v>1211</v>
      </c>
      <c r="C528" s="24"/>
      <c r="D528" s="24" t="s">
        <v>1107</v>
      </c>
      <c r="E528" s="25">
        <f>SUM(E529:E529)+8000</f>
        <v>8000</v>
      </c>
      <c r="F528" s="25">
        <f>SUM(F529:F529)+8000</f>
        <v>8000</v>
      </c>
      <c r="G528" s="25">
        <f t="shared" ref="G528:N528" si="195">SUM(G529:G529)</f>
        <v>0</v>
      </c>
      <c r="H528" s="25">
        <f t="shared" si="195"/>
        <v>0</v>
      </c>
      <c r="I528" s="25">
        <f t="shared" si="195"/>
        <v>0</v>
      </c>
      <c r="J528" s="25">
        <f t="shared" si="195"/>
        <v>0</v>
      </c>
      <c r="K528" s="25">
        <f t="shared" si="195"/>
        <v>0</v>
      </c>
      <c r="L528" s="25">
        <f t="shared" si="195"/>
        <v>0</v>
      </c>
      <c r="M528" s="25">
        <f t="shared" si="195"/>
        <v>0</v>
      </c>
      <c r="N528" s="25">
        <f t="shared" si="195"/>
        <v>0</v>
      </c>
      <c r="O528" s="24" t="s">
        <v>1212</v>
      </c>
      <c r="P528" s="26" t="s">
        <v>31</v>
      </c>
      <c r="Q528" s="27" t="s">
        <v>174</v>
      </c>
    </row>
    <row r="529" spans="1:17" ht="40.5" x14ac:dyDescent="0.25">
      <c r="A529" s="22" t="s">
        <v>1213</v>
      </c>
      <c r="B529" s="23" t="s">
        <v>1214</v>
      </c>
      <c r="C529" s="24"/>
      <c r="D529" s="24"/>
      <c r="E529" s="28">
        <v>0</v>
      </c>
      <c r="F529" s="28">
        <v>0</v>
      </c>
      <c r="G529" s="28">
        <v>0</v>
      </c>
      <c r="H529" s="28">
        <v>0</v>
      </c>
      <c r="I529" s="28">
        <v>0</v>
      </c>
      <c r="J529" s="28">
        <v>0</v>
      </c>
      <c r="K529" s="28">
        <v>0</v>
      </c>
      <c r="L529" s="28">
        <v>0</v>
      </c>
      <c r="M529" s="28">
        <v>0</v>
      </c>
      <c r="N529" s="28">
        <v>0</v>
      </c>
      <c r="O529" s="24"/>
      <c r="P529" s="26"/>
      <c r="Q529" s="27"/>
    </row>
    <row r="530" spans="1:17" ht="81" x14ac:dyDescent="0.25">
      <c r="A530" s="22" t="s">
        <v>1215</v>
      </c>
      <c r="B530" s="23" t="s">
        <v>1216</v>
      </c>
      <c r="C530" s="24" t="s">
        <v>1104</v>
      </c>
      <c r="D530" s="24" t="s">
        <v>1217</v>
      </c>
      <c r="E530" s="25">
        <f>SUM(E531:E536)+169178.17</f>
        <v>169178.17</v>
      </c>
      <c r="F530" s="25">
        <f>SUM(F531:F536)</f>
        <v>0</v>
      </c>
      <c r="G530" s="25">
        <f>SUM(G531:G536)</f>
        <v>0</v>
      </c>
      <c r="H530" s="25">
        <f>SUM(H531:H536)</f>
        <v>0</v>
      </c>
      <c r="I530" s="25">
        <f>SUM(I531:I536)</f>
        <v>0</v>
      </c>
      <c r="J530" s="25">
        <f>SUM(J531:J536)</f>
        <v>0</v>
      </c>
      <c r="K530" s="25">
        <f>SUM(K531:K536)+169178.17</f>
        <v>169178.17</v>
      </c>
      <c r="L530" s="25">
        <f>SUM(L531:L536)</f>
        <v>0</v>
      </c>
      <c r="M530" s="25">
        <f>SUM(M531:M536)</f>
        <v>0</v>
      </c>
      <c r="N530" s="25">
        <f>SUM(N531:N536)</f>
        <v>0</v>
      </c>
      <c r="O530" s="24" t="s">
        <v>1218</v>
      </c>
      <c r="P530" s="26" t="s">
        <v>31</v>
      </c>
      <c r="Q530" s="27" t="s">
        <v>38</v>
      </c>
    </row>
    <row r="531" spans="1:17" ht="40.5" x14ac:dyDescent="0.25">
      <c r="A531" s="29"/>
      <c r="B531" s="30"/>
      <c r="C531" s="31"/>
      <c r="D531" s="31"/>
      <c r="E531" s="32">
        <v>0</v>
      </c>
      <c r="F531" s="32">
        <v>0</v>
      </c>
      <c r="G531" s="32">
        <v>0</v>
      </c>
      <c r="H531" s="32">
        <v>0</v>
      </c>
      <c r="I531" s="32">
        <v>0</v>
      </c>
      <c r="J531" s="32">
        <v>0</v>
      </c>
      <c r="K531" s="32">
        <v>0</v>
      </c>
      <c r="L531" s="32">
        <v>0</v>
      </c>
      <c r="M531" s="32">
        <v>0</v>
      </c>
      <c r="N531" s="32">
        <v>0</v>
      </c>
      <c r="O531" s="31" t="s">
        <v>1219</v>
      </c>
      <c r="P531" s="33" t="s">
        <v>31</v>
      </c>
      <c r="Q531" s="34" t="s">
        <v>38</v>
      </c>
    </row>
    <row r="532" spans="1:17" ht="60.75" x14ac:dyDescent="0.25">
      <c r="A532" s="29"/>
      <c r="B532" s="30"/>
      <c r="C532" s="31"/>
      <c r="D532" s="31"/>
      <c r="E532" s="32">
        <v>0</v>
      </c>
      <c r="F532" s="32">
        <v>0</v>
      </c>
      <c r="G532" s="32">
        <v>0</v>
      </c>
      <c r="H532" s="32">
        <v>0</v>
      </c>
      <c r="I532" s="32">
        <v>0</v>
      </c>
      <c r="J532" s="32">
        <v>0</v>
      </c>
      <c r="K532" s="32">
        <v>0</v>
      </c>
      <c r="L532" s="32">
        <v>0</v>
      </c>
      <c r="M532" s="32">
        <v>0</v>
      </c>
      <c r="N532" s="32">
        <v>0</v>
      </c>
      <c r="O532" s="31" t="s">
        <v>1220</v>
      </c>
      <c r="P532" s="33" t="s">
        <v>31</v>
      </c>
      <c r="Q532" s="34" t="s">
        <v>123</v>
      </c>
    </row>
    <row r="533" spans="1:17" ht="40.5" x14ac:dyDescent="0.25">
      <c r="A533" s="29"/>
      <c r="B533" s="30"/>
      <c r="C533" s="31"/>
      <c r="D533" s="31"/>
      <c r="E533" s="32">
        <v>0</v>
      </c>
      <c r="F533" s="32">
        <v>0</v>
      </c>
      <c r="G533" s="32">
        <v>0</v>
      </c>
      <c r="H533" s="32">
        <v>0</v>
      </c>
      <c r="I533" s="32">
        <v>0</v>
      </c>
      <c r="J533" s="32">
        <v>0</v>
      </c>
      <c r="K533" s="32">
        <v>0</v>
      </c>
      <c r="L533" s="32">
        <v>0</v>
      </c>
      <c r="M533" s="32">
        <v>0</v>
      </c>
      <c r="N533" s="32">
        <v>0</v>
      </c>
      <c r="O533" s="31" t="s">
        <v>1221</v>
      </c>
      <c r="P533" s="33" t="s">
        <v>31</v>
      </c>
      <c r="Q533" s="34" t="s">
        <v>74</v>
      </c>
    </row>
    <row r="534" spans="1:17" ht="40.5" x14ac:dyDescent="0.25">
      <c r="A534" s="22" t="s">
        <v>1222</v>
      </c>
      <c r="B534" s="23" t="s">
        <v>1223</v>
      </c>
      <c r="C534" s="24"/>
      <c r="D534" s="24"/>
      <c r="E534" s="28">
        <v>0</v>
      </c>
      <c r="F534" s="28">
        <v>0</v>
      </c>
      <c r="G534" s="28">
        <v>0</v>
      </c>
      <c r="H534" s="28">
        <v>0</v>
      </c>
      <c r="I534" s="28">
        <v>0</v>
      </c>
      <c r="J534" s="28">
        <v>0</v>
      </c>
      <c r="K534" s="28">
        <v>0</v>
      </c>
      <c r="L534" s="28">
        <v>0</v>
      </c>
      <c r="M534" s="28">
        <v>0</v>
      </c>
      <c r="N534" s="28">
        <v>0</v>
      </c>
      <c r="O534" s="24"/>
      <c r="P534" s="26"/>
      <c r="Q534" s="27"/>
    </row>
    <row r="535" spans="1:17" ht="40.5" x14ac:dyDescent="0.25">
      <c r="A535" s="22" t="s">
        <v>1224</v>
      </c>
      <c r="B535" s="23" t="s">
        <v>1225</v>
      </c>
      <c r="C535" s="24"/>
      <c r="D535" s="24"/>
      <c r="E535" s="28">
        <v>0</v>
      </c>
      <c r="F535" s="28">
        <v>0</v>
      </c>
      <c r="G535" s="28">
        <v>0</v>
      </c>
      <c r="H535" s="28">
        <v>0</v>
      </c>
      <c r="I535" s="28">
        <v>0</v>
      </c>
      <c r="J535" s="28">
        <v>0</v>
      </c>
      <c r="K535" s="28">
        <v>0</v>
      </c>
      <c r="L535" s="28">
        <v>0</v>
      </c>
      <c r="M535" s="28">
        <v>0</v>
      </c>
      <c r="N535" s="28">
        <v>0</v>
      </c>
      <c r="O535" s="24"/>
      <c r="P535" s="26"/>
      <c r="Q535" s="27"/>
    </row>
    <row r="536" spans="1:17" ht="40.5" x14ac:dyDescent="0.25">
      <c r="A536" s="22" t="s">
        <v>1226</v>
      </c>
      <c r="B536" s="23" t="s">
        <v>1227</v>
      </c>
      <c r="C536" s="24"/>
      <c r="D536" s="24"/>
      <c r="E536" s="28">
        <v>0</v>
      </c>
      <c r="F536" s="28">
        <v>0</v>
      </c>
      <c r="G536" s="28">
        <v>0</v>
      </c>
      <c r="H536" s="28">
        <v>0</v>
      </c>
      <c r="I536" s="28">
        <v>0</v>
      </c>
      <c r="J536" s="28">
        <v>0</v>
      </c>
      <c r="K536" s="28">
        <v>0</v>
      </c>
      <c r="L536" s="28">
        <v>0</v>
      </c>
      <c r="M536" s="28">
        <v>0</v>
      </c>
      <c r="N536" s="28">
        <v>0</v>
      </c>
      <c r="O536" s="24"/>
      <c r="P536" s="26"/>
      <c r="Q536" s="27"/>
    </row>
    <row r="537" spans="1:17" ht="40.5" x14ac:dyDescent="0.25">
      <c r="A537" s="16" t="s">
        <v>1228</v>
      </c>
      <c r="B537" s="17" t="s">
        <v>1229</v>
      </c>
      <c r="C537" s="18"/>
      <c r="D537" s="18" t="s">
        <v>1107</v>
      </c>
      <c r="E537" s="19">
        <f t="shared" ref="E537:N538" si="196">SUM(E538:E538)</f>
        <v>0</v>
      </c>
      <c r="F537" s="19">
        <f t="shared" si="196"/>
        <v>0</v>
      </c>
      <c r="G537" s="19">
        <f t="shared" si="196"/>
        <v>0</v>
      </c>
      <c r="H537" s="19">
        <f t="shared" si="196"/>
        <v>0</v>
      </c>
      <c r="I537" s="19">
        <f t="shared" si="196"/>
        <v>0</v>
      </c>
      <c r="J537" s="19">
        <f t="shared" si="196"/>
        <v>0</v>
      </c>
      <c r="K537" s="19">
        <f t="shared" si="196"/>
        <v>0</v>
      </c>
      <c r="L537" s="19">
        <f t="shared" si="196"/>
        <v>0</v>
      </c>
      <c r="M537" s="19">
        <f t="shared" si="196"/>
        <v>0</v>
      </c>
      <c r="N537" s="19">
        <f t="shared" si="196"/>
        <v>0</v>
      </c>
      <c r="O537" s="18"/>
      <c r="P537" s="20"/>
      <c r="Q537" s="21"/>
    </row>
    <row r="538" spans="1:17" ht="40.5" x14ac:dyDescent="0.25">
      <c r="A538" s="22" t="s">
        <v>1230</v>
      </c>
      <c r="B538" s="23" t="s">
        <v>1231</v>
      </c>
      <c r="C538" s="24"/>
      <c r="D538" s="24"/>
      <c r="E538" s="25">
        <f t="shared" si="196"/>
        <v>0</v>
      </c>
      <c r="F538" s="25">
        <f t="shared" si="196"/>
        <v>0</v>
      </c>
      <c r="G538" s="25">
        <f t="shared" si="196"/>
        <v>0</v>
      </c>
      <c r="H538" s="25">
        <f t="shared" si="196"/>
        <v>0</v>
      </c>
      <c r="I538" s="25">
        <f t="shared" si="196"/>
        <v>0</v>
      </c>
      <c r="J538" s="25">
        <f t="shared" si="196"/>
        <v>0</v>
      </c>
      <c r="K538" s="25">
        <f t="shared" si="196"/>
        <v>0</v>
      </c>
      <c r="L538" s="25">
        <f t="shared" si="196"/>
        <v>0</v>
      </c>
      <c r="M538" s="25">
        <f t="shared" si="196"/>
        <v>0</v>
      </c>
      <c r="N538" s="25">
        <f t="shared" si="196"/>
        <v>0</v>
      </c>
      <c r="O538" s="24" t="s">
        <v>1232</v>
      </c>
      <c r="P538" s="26" t="s">
        <v>31</v>
      </c>
      <c r="Q538" s="27" t="s">
        <v>1048</v>
      </c>
    </row>
    <row r="539" spans="1:17" x14ac:dyDescent="0.25">
      <c r="A539" s="22" t="s">
        <v>1233</v>
      </c>
      <c r="B539" s="23" t="s">
        <v>1234</v>
      </c>
      <c r="C539" s="24"/>
      <c r="D539" s="24"/>
      <c r="E539" s="28">
        <v>0</v>
      </c>
      <c r="F539" s="28">
        <v>0</v>
      </c>
      <c r="G539" s="28">
        <v>0</v>
      </c>
      <c r="H539" s="28">
        <v>0</v>
      </c>
      <c r="I539" s="28">
        <v>0</v>
      </c>
      <c r="J539" s="28">
        <v>0</v>
      </c>
      <c r="K539" s="28">
        <v>0</v>
      </c>
      <c r="L539" s="28">
        <v>0</v>
      </c>
      <c r="M539" s="28">
        <v>0</v>
      </c>
      <c r="N539" s="28">
        <v>0</v>
      </c>
      <c r="O539" s="24"/>
      <c r="P539" s="26"/>
      <c r="Q539" s="27"/>
    </row>
    <row r="540" spans="1:17" ht="81" x14ac:dyDescent="0.25">
      <c r="A540" s="16" t="s">
        <v>1235</v>
      </c>
      <c r="B540" s="17" t="s">
        <v>1236</v>
      </c>
      <c r="C540" s="18"/>
      <c r="D540" s="18"/>
      <c r="E540" s="19">
        <f t="shared" ref="E540:N541" si="197">SUM(E541:E541)</f>
        <v>0</v>
      </c>
      <c r="F540" s="19">
        <f t="shared" si="197"/>
        <v>0</v>
      </c>
      <c r="G540" s="19">
        <f t="shared" si="197"/>
        <v>0</v>
      </c>
      <c r="H540" s="19">
        <f t="shared" si="197"/>
        <v>0</v>
      </c>
      <c r="I540" s="19">
        <f t="shared" si="197"/>
        <v>0</v>
      </c>
      <c r="J540" s="19">
        <f t="shared" si="197"/>
        <v>0</v>
      </c>
      <c r="K540" s="19">
        <f t="shared" si="197"/>
        <v>0</v>
      </c>
      <c r="L540" s="19">
        <f t="shared" si="197"/>
        <v>0</v>
      </c>
      <c r="M540" s="19">
        <f t="shared" si="197"/>
        <v>0</v>
      </c>
      <c r="N540" s="19">
        <f t="shared" si="197"/>
        <v>0</v>
      </c>
      <c r="O540" s="18"/>
      <c r="P540" s="20"/>
      <c r="Q540" s="21"/>
    </row>
    <row r="541" spans="1:17" ht="40.5" x14ac:dyDescent="0.25">
      <c r="A541" s="22" t="s">
        <v>1237</v>
      </c>
      <c r="B541" s="23" t="s">
        <v>1238</v>
      </c>
      <c r="C541" s="24"/>
      <c r="D541" s="24" t="s">
        <v>1107</v>
      </c>
      <c r="E541" s="25">
        <f t="shared" si="197"/>
        <v>0</v>
      </c>
      <c r="F541" s="25">
        <f t="shared" si="197"/>
        <v>0</v>
      </c>
      <c r="G541" s="25">
        <f t="shared" si="197"/>
        <v>0</v>
      </c>
      <c r="H541" s="25">
        <f t="shared" si="197"/>
        <v>0</v>
      </c>
      <c r="I541" s="25">
        <f t="shared" si="197"/>
        <v>0</v>
      </c>
      <c r="J541" s="25">
        <f t="shared" si="197"/>
        <v>0</v>
      </c>
      <c r="K541" s="25">
        <f t="shared" si="197"/>
        <v>0</v>
      </c>
      <c r="L541" s="25">
        <f t="shared" si="197"/>
        <v>0</v>
      </c>
      <c r="M541" s="25">
        <f t="shared" si="197"/>
        <v>0</v>
      </c>
      <c r="N541" s="25">
        <f t="shared" si="197"/>
        <v>0</v>
      </c>
      <c r="O541" s="24" t="s">
        <v>1239</v>
      </c>
      <c r="P541" s="26" t="s">
        <v>31</v>
      </c>
      <c r="Q541" s="27" t="s">
        <v>123</v>
      </c>
    </row>
    <row r="542" spans="1:17" ht="40.5" x14ac:dyDescent="0.25">
      <c r="A542" s="22" t="s">
        <v>1240</v>
      </c>
      <c r="B542" s="23" t="s">
        <v>1241</v>
      </c>
      <c r="C542" s="24"/>
      <c r="D542" s="24"/>
      <c r="E542" s="28">
        <v>0</v>
      </c>
      <c r="F542" s="28">
        <v>0</v>
      </c>
      <c r="G542" s="28">
        <v>0</v>
      </c>
      <c r="H542" s="28">
        <v>0</v>
      </c>
      <c r="I542" s="28">
        <v>0</v>
      </c>
      <c r="J542" s="28">
        <v>0</v>
      </c>
      <c r="K542" s="28">
        <v>0</v>
      </c>
      <c r="L542" s="28">
        <v>0</v>
      </c>
      <c r="M542" s="28">
        <v>0</v>
      </c>
      <c r="N542" s="28">
        <v>0</v>
      </c>
      <c r="O542" s="24"/>
      <c r="P542" s="26"/>
      <c r="Q542" s="27"/>
    </row>
    <row r="543" spans="1:17" ht="60.75" x14ac:dyDescent="0.25">
      <c r="A543" s="16" t="s">
        <v>1242</v>
      </c>
      <c r="B543" s="17" t="s">
        <v>1243</v>
      </c>
      <c r="C543" s="18"/>
      <c r="D543" s="18" t="s">
        <v>1107</v>
      </c>
      <c r="E543" s="19">
        <f t="shared" ref="E543:N543" si="198">SUM(E544:E544)</f>
        <v>232044</v>
      </c>
      <c r="F543" s="19">
        <f t="shared" si="198"/>
        <v>197188</v>
      </c>
      <c r="G543" s="19">
        <f t="shared" si="198"/>
        <v>34856</v>
      </c>
      <c r="H543" s="19">
        <f t="shared" si="198"/>
        <v>0</v>
      </c>
      <c r="I543" s="19">
        <f t="shared" si="198"/>
        <v>0</v>
      </c>
      <c r="J543" s="19">
        <f t="shared" si="198"/>
        <v>0</v>
      </c>
      <c r="K543" s="19">
        <f t="shared" si="198"/>
        <v>0</v>
      </c>
      <c r="L543" s="19">
        <f t="shared" si="198"/>
        <v>0</v>
      </c>
      <c r="M543" s="19">
        <f t="shared" si="198"/>
        <v>0</v>
      </c>
      <c r="N543" s="19">
        <f t="shared" si="198"/>
        <v>0</v>
      </c>
      <c r="O543" s="18"/>
      <c r="P543" s="20"/>
      <c r="Q543" s="21"/>
    </row>
    <row r="544" spans="1:17" ht="40.5" x14ac:dyDescent="0.25">
      <c r="A544" s="22" t="s">
        <v>1244</v>
      </c>
      <c r="B544" s="23" t="s">
        <v>1245</v>
      </c>
      <c r="C544" s="24"/>
      <c r="D544" s="24" t="s">
        <v>1107</v>
      </c>
      <c r="E544" s="25">
        <f>SUM(E545:E545)+232044</f>
        <v>232044</v>
      </c>
      <c r="F544" s="25">
        <f>SUM(F545:F545)+197188</f>
        <v>197188</v>
      </c>
      <c r="G544" s="25">
        <f>SUM(G545:G545)+34856</f>
        <v>34856</v>
      </c>
      <c r="H544" s="25">
        <f t="shared" ref="H544:N544" si="199">SUM(H545:H545)</f>
        <v>0</v>
      </c>
      <c r="I544" s="25">
        <f t="shared" si="199"/>
        <v>0</v>
      </c>
      <c r="J544" s="25">
        <f t="shared" si="199"/>
        <v>0</v>
      </c>
      <c r="K544" s="25">
        <f t="shared" si="199"/>
        <v>0</v>
      </c>
      <c r="L544" s="25">
        <f t="shared" si="199"/>
        <v>0</v>
      </c>
      <c r="M544" s="25">
        <f t="shared" si="199"/>
        <v>0</v>
      </c>
      <c r="N544" s="25">
        <f t="shared" si="199"/>
        <v>0</v>
      </c>
      <c r="O544" s="24" t="s">
        <v>1246</v>
      </c>
      <c r="P544" s="26" t="s">
        <v>31</v>
      </c>
      <c r="Q544" s="27" t="s">
        <v>98</v>
      </c>
    </row>
    <row r="545" spans="1:17" x14ac:dyDescent="0.25">
      <c r="A545" s="22" t="s">
        <v>1247</v>
      </c>
      <c r="B545" s="23" t="s">
        <v>1248</v>
      </c>
      <c r="C545" s="24"/>
      <c r="D545" s="24"/>
      <c r="E545" s="28">
        <v>0</v>
      </c>
      <c r="F545" s="28">
        <v>0</v>
      </c>
      <c r="G545" s="28">
        <v>0</v>
      </c>
      <c r="H545" s="28">
        <v>0</v>
      </c>
      <c r="I545" s="28">
        <v>0</v>
      </c>
      <c r="J545" s="28">
        <v>0</v>
      </c>
      <c r="K545" s="28">
        <v>0</v>
      </c>
      <c r="L545" s="28">
        <v>0</v>
      </c>
      <c r="M545" s="28">
        <v>0</v>
      </c>
      <c r="N545" s="28">
        <v>0</v>
      </c>
      <c r="O545" s="24"/>
      <c r="P545" s="26"/>
      <c r="Q545" s="27"/>
    </row>
    <row r="546" spans="1:17" ht="40.5" x14ac:dyDescent="0.25">
      <c r="A546" s="16" t="s">
        <v>1249</v>
      </c>
      <c r="B546" s="17" t="s">
        <v>1250</v>
      </c>
      <c r="C546" s="18"/>
      <c r="D546" s="18" t="s">
        <v>1107</v>
      </c>
      <c r="E546" s="19">
        <f t="shared" ref="E546:N546" si="200">E547+E549+E551+E553+E556</f>
        <v>2075200</v>
      </c>
      <c r="F546" s="19">
        <f t="shared" si="200"/>
        <v>1508000</v>
      </c>
      <c r="G546" s="19">
        <f t="shared" si="200"/>
        <v>0</v>
      </c>
      <c r="H546" s="19">
        <f t="shared" si="200"/>
        <v>0</v>
      </c>
      <c r="I546" s="19">
        <f t="shared" si="200"/>
        <v>567200</v>
      </c>
      <c r="J546" s="19">
        <f t="shared" si="200"/>
        <v>0</v>
      </c>
      <c r="K546" s="19">
        <f t="shared" si="200"/>
        <v>0</v>
      </c>
      <c r="L546" s="19">
        <f t="shared" si="200"/>
        <v>0</v>
      </c>
      <c r="M546" s="19">
        <f t="shared" si="200"/>
        <v>0</v>
      </c>
      <c r="N546" s="19">
        <f t="shared" si="200"/>
        <v>0</v>
      </c>
      <c r="O546" s="18"/>
      <c r="P546" s="20"/>
      <c r="Q546" s="21"/>
    </row>
    <row r="547" spans="1:17" ht="40.5" x14ac:dyDescent="0.25">
      <c r="A547" s="22" t="s">
        <v>1251</v>
      </c>
      <c r="B547" s="23" t="s">
        <v>1252</v>
      </c>
      <c r="C547" s="24"/>
      <c r="D547" s="24" t="s">
        <v>1107</v>
      </c>
      <c r="E547" s="25">
        <f>SUM(E548:E548)+1364000</f>
        <v>1364000</v>
      </c>
      <c r="F547" s="25">
        <f>SUM(F548:F548)+1364000</f>
        <v>1364000</v>
      </c>
      <c r="G547" s="25">
        <f t="shared" ref="G547:N547" si="201">SUM(G548:G548)</f>
        <v>0</v>
      </c>
      <c r="H547" s="25">
        <f t="shared" si="201"/>
        <v>0</v>
      </c>
      <c r="I547" s="25">
        <f t="shared" si="201"/>
        <v>0</v>
      </c>
      <c r="J547" s="25">
        <f t="shared" si="201"/>
        <v>0</v>
      </c>
      <c r="K547" s="25">
        <f t="shared" si="201"/>
        <v>0</v>
      </c>
      <c r="L547" s="25">
        <f t="shared" si="201"/>
        <v>0</v>
      </c>
      <c r="M547" s="25">
        <f t="shared" si="201"/>
        <v>0</v>
      </c>
      <c r="N547" s="25">
        <f t="shared" si="201"/>
        <v>0</v>
      </c>
      <c r="O547" s="24" t="s">
        <v>1253</v>
      </c>
      <c r="P547" s="26" t="s">
        <v>31</v>
      </c>
      <c r="Q547" s="27" t="s">
        <v>1254</v>
      </c>
    </row>
    <row r="548" spans="1:17" ht="40.5" x14ac:dyDescent="0.25">
      <c r="A548" s="22" t="s">
        <v>1255</v>
      </c>
      <c r="B548" s="23" t="s">
        <v>1256</v>
      </c>
      <c r="C548" s="24"/>
      <c r="D548" s="24"/>
      <c r="E548" s="28">
        <v>0</v>
      </c>
      <c r="F548" s="28">
        <v>0</v>
      </c>
      <c r="G548" s="28">
        <v>0</v>
      </c>
      <c r="H548" s="28">
        <v>0</v>
      </c>
      <c r="I548" s="28">
        <v>0</v>
      </c>
      <c r="J548" s="28">
        <v>0</v>
      </c>
      <c r="K548" s="28">
        <v>0</v>
      </c>
      <c r="L548" s="28">
        <v>0</v>
      </c>
      <c r="M548" s="28">
        <v>0</v>
      </c>
      <c r="N548" s="28">
        <v>0</v>
      </c>
      <c r="O548" s="24"/>
      <c r="P548" s="26"/>
      <c r="Q548" s="27"/>
    </row>
    <row r="549" spans="1:17" ht="40.5" x14ac:dyDescent="0.25">
      <c r="A549" s="22" t="s">
        <v>1257</v>
      </c>
      <c r="B549" s="23" t="s">
        <v>1258</v>
      </c>
      <c r="C549" s="24"/>
      <c r="D549" s="24" t="s">
        <v>1107</v>
      </c>
      <c r="E549" s="25">
        <f>SUM(E550:E550)+72000</f>
        <v>72000</v>
      </c>
      <c r="F549" s="25">
        <f>SUM(F550:F550)+72000</f>
        <v>72000</v>
      </c>
      <c r="G549" s="25">
        <f t="shared" ref="G549:N549" si="202">SUM(G550:G550)</f>
        <v>0</v>
      </c>
      <c r="H549" s="25">
        <f t="shared" si="202"/>
        <v>0</v>
      </c>
      <c r="I549" s="25">
        <f t="shared" si="202"/>
        <v>0</v>
      </c>
      <c r="J549" s="25">
        <f t="shared" si="202"/>
        <v>0</v>
      </c>
      <c r="K549" s="25">
        <f t="shared" si="202"/>
        <v>0</v>
      </c>
      <c r="L549" s="25">
        <f t="shared" si="202"/>
        <v>0</v>
      </c>
      <c r="M549" s="25">
        <f t="shared" si="202"/>
        <v>0</v>
      </c>
      <c r="N549" s="25">
        <f t="shared" si="202"/>
        <v>0</v>
      </c>
      <c r="O549" s="24" t="s">
        <v>1259</v>
      </c>
      <c r="P549" s="26" t="s">
        <v>31</v>
      </c>
      <c r="Q549" s="27" t="s">
        <v>1260</v>
      </c>
    </row>
    <row r="550" spans="1:17" ht="60.75" x14ac:dyDescent="0.25">
      <c r="A550" s="22" t="s">
        <v>1261</v>
      </c>
      <c r="B550" s="23" t="s">
        <v>1262</v>
      </c>
      <c r="C550" s="24"/>
      <c r="D550" s="24"/>
      <c r="E550" s="28">
        <v>0</v>
      </c>
      <c r="F550" s="28">
        <v>0</v>
      </c>
      <c r="G550" s="28">
        <v>0</v>
      </c>
      <c r="H550" s="28">
        <v>0</v>
      </c>
      <c r="I550" s="28">
        <v>0</v>
      </c>
      <c r="J550" s="28">
        <v>0</v>
      </c>
      <c r="K550" s="28">
        <v>0</v>
      </c>
      <c r="L550" s="28">
        <v>0</v>
      </c>
      <c r="M550" s="28">
        <v>0</v>
      </c>
      <c r="N550" s="28">
        <v>0</v>
      </c>
      <c r="O550" s="24"/>
      <c r="P550" s="26"/>
      <c r="Q550" s="27"/>
    </row>
    <row r="551" spans="1:17" ht="40.5" x14ac:dyDescent="0.25">
      <c r="A551" s="22" t="s">
        <v>1263</v>
      </c>
      <c r="B551" s="23" t="s">
        <v>1264</v>
      </c>
      <c r="C551" s="24"/>
      <c r="D551" s="24" t="s">
        <v>1107</v>
      </c>
      <c r="E551" s="25">
        <f>SUM(E552:E552)+72000</f>
        <v>72000</v>
      </c>
      <c r="F551" s="25">
        <f>SUM(F552:F552)+72000</f>
        <v>72000</v>
      </c>
      <c r="G551" s="25">
        <f t="shared" ref="G551:N551" si="203">SUM(G552:G552)</f>
        <v>0</v>
      </c>
      <c r="H551" s="25">
        <f t="shared" si="203"/>
        <v>0</v>
      </c>
      <c r="I551" s="25">
        <f t="shared" si="203"/>
        <v>0</v>
      </c>
      <c r="J551" s="25">
        <f t="shared" si="203"/>
        <v>0</v>
      </c>
      <c r="K551" s="25">
        <f t="shared" si="203"/>
        <v>0</v>
      </c>
      <c r="L551" s="25">
        <f t="shared" si="203"/>
        <v>0</v>
      </c>
      <c r="M551" s="25">
        <f t="shared" si="203"/>
        <v>0</v>
      </c>
      <c r="N551" s="25">
        <f t="shared" si="203"/>
        <v>0</v>
      </c>
      <c r="O551" s="24" t="s">
        <v>1265</v>
      </c>
      <c r="P551" s="26" t="s">
        <v>31</v>
      </c>
      <c r="Q551" s="27" t="s">
        <v>1266</v>
      </c>
    </row>
    <row r="552" spans="1:17" ht="40.5" x14ac:dyDescent="0.25">
      <c r="A552" s="22" t="s">
        <v>1267</v>
      </c>
      <c r="B552" s="23" t="s">
        <v>1268</v>
      </c>
      <c r="C552" s="24"/>
      <c r="D552" s="24"/>
      <c r="E552" s="28">
        <v>0</v>
      </c>
      <c r="F552" s="28">
        <v>0</v>
      </c>
      <c r="G552" s="28">
        <v>0</v>
      </c>
      <c r="H552" s="28">
        <v>0</v>
      </c>
      <c r="I552" s="28">
        <v>0</v>
      </c>
      <c r="J552" s="28">
        <v>0</v>
      </c>
      <c r="K552" s="28">
        <v>0</v>
      </c>
      <c r="L552" s="28">
        <v>0</v>
      </c>
      <c r="M552" s="28">
        <v>0</v>
      </c>
      <c r="N552" s="28">
        <v>0</v>
      </c>
      <c r="O552" s="24"/>
      <c r="P552" s="26"/>
      <c r="Q552" s="27"/>
    </row>
    <row r="553" spans="1:17" ht="40.5" x14ac:dyDescent="0.25">
      <c r="A553" s="22" t="s">
        <v>1269</v>
      </c>
      <c r="B553" s="23" t="s">
        <v>1270</v>
      </c>
      <c r="C553" s="24"/>
      <c r="D553" s="24" t="s">
        <v>1107</v>
      </c>
      <c r="E553" s="25">
        <f>SUM(E554:E555)+385900</f>
        <v>385900</v>
      </c>
      <c r="F553" s="25">
        <f>SUM(F554:F555)</f>
        <v>0</v>
      </c>
      <c r="G553" s="25">
        <f>SUM(G554:G555)</f>
        <v>0</v>
      </c>
      <c r="H553" s="25">
        <f>SUM(H554:H555)</f>
        <v>0</v>
      </c>
      <c r="I553" s="25">
        <f>SUM(I554:I555)+385900</f>
        <v>385900</v>
      </c>
      <c r="J553" s="25">
        <f>SUM(J554:J555)</f>
        <v>0</v>
      </c>
      <c r="K553" s="25">
        <f>SUM(K554:K555)</f>
        <v>0</v>
      </c>
      <c r="L553" s="25">
        <f>SUM(L554:L555)</f>
        <v>0</v>
      </c>
      <c r="M553" s="25">
        <f>SUM(M554:M555)</f>
        <v>0</v>
      </c>
      <c r="N553" s="25">
        <f>SUM(N554:N555)</f>
        <v>0</v>
      </c>
      <c r="O553" s="24" t="s">
        <v>1271</v>
      </c>
      <c r="P553" s="26" t="s">
        <v>31</v>
      </c>
      <c r="Q553" s="27" t="s">
        <v>1272</v>
      </c>
    </row>
    <row r="554" spans="1:17" ht="40.5" x14ac:dyDescent="0.25">
      <c r="A554" s="29"/>
      <c r="B554" s="30"/>
      <c r="C554" s="31"/>
      <c r="D554" s="31"/>
      <c r="E554" s="32">
        <v>0</v>
      </c>
      <c r="F554" s="32">
        <v>0</v>
      </c>
      <c r="G554" s="32">
        <v>0</v>
      </c>
      <c r="H554" s="32">
        <v>0</v>
      </c>
      <c r="I554" s="32">
        <v>0</v>
      </c>
      <c r="J554" s="32">
        <v>0</v>
      </c>
      <c r="K554" s="32">
        <v>0</v>
      </c>
      <c r="L554" s="32">
        <v>0</v>
      </c>
      <c r="M554" s="32">
        <v>0</v>
      </c>
      <c r="N554" s="32">
        <v>0</v>
      </c>
      <c r="O554" s="31" t="s">
        <v>1273</v>
      </c>
      <c r="P554" s="33" t="s">
        <v>31</v>
      </c>
      <c r="Q554" s="34" t="s">
        <v>1274</v>
      </c>
    </row>
    <row r="555" spans="1:17" ht="60" customHeight="1" x14ac:dyDescent="0.25">
      <c r="A555" s="22" t="s">
        <v>1275</v>
      </c>
      <c r="B555" s="23" t="s">
        <v>1276</v>
      </c>
      <c r="C555" s="24"/>
      <c r="D555" s="24"/>
      <c r="E555" s="28">
        <v>0</v>
      </c>
      <c r="F555" s="28">
        <v>0</v>
      </c>
      <c r="G555" s="28">
        <v>0</v>
      </c>
      <c r="H555" s="28">
        <v>0</v>
      </c>
      <c r="I555" s="28">
        <v>0</v>
      </c>
      <c r="J555" s="28">
        <v>0</v>
      </c>
      <c r="K555" s="28">
        <v>0</v>
      </c>
      <c r="L555" s="28">
        <v>0</v>
      </c>
      <c r="M555" s="28">
        <v>0</v>
      </c>
      <c r="N555" s="28">
        <v>0</v>
      </c>
      <c r="O555" s="24"/>
      <c r="P555" s="26"/>
      <c r="Q555" s="27"/>
    </row>
    <row r="556" spans="1:17" x14ac:dyDescent="0.25">
      <c r="A556" s="22" t="s">
        <v>1277</v>
      </c>
      <c r="B556" s="23" t="s">
        <v>1278</v>
      </c>
      <c r="C556" s="24"/>
      <c r="D556" s="24" t="s">
        <v>1107</v>
      </c>
      <c r="E556" s="25">
        <f>SUM(E557:E557)+181300</f>
        <v>181300</v>
      </c>
      <c r="F556" s="25">
        <f>SUM(F557:F557)</f>
        <v>0</v>
      </c>
      <c r="G556" s="25">
        <f>SUM(G557:G557)</f>
        <v>0</v>
      </c>
      <c r="H556" s="25">
        <f>SUM(H557:H557)</f>
        <v>0</v>
      </c>
      <c r="I556" s="25">
        <f>SUM(I557:I557)+181300</f>
        <v>181300</v>
      </c>
      <c r="J556" s="25">
        <f>SUM(J557:J557)</f>
        <v>0</v>
      </c>
      <c r="K556" s="25">
        <f>SUM(K557:K557)</f>
        <v>0</v>
      </c>
      <c r="L556" s="25">
        <f>SUM(L557:L557)</f>
        <v>0</v>
      </c>
      <c r="M556" s="25">
        <f>SUM(M557:M557)</f>
        <v>0</v>
      </c>
      <c r="N556" s="25">
        <f>SUM(N557:N557)</f>
        <v>0</v>
      </c>
      <c r="O556" s="24" t="s">
        <v>1279</v>
      </c>
      <c r="P556" s="26" t="s">
        <v>31</v>
      </c>
      <c r="Q556" s="27" t="s">
        <v>1280</v>
      </c>
    </row>
    <row r="557" spans="1:17" x14ac:dyDescent="0.25">
      <c r="A557" s="22" t="s">
        <v>1281</v>
      </c>
      <c r="B557" s="23" t="s">
        <v>1282</v>
      </c>
      <c r="C557" s="24"/>
      <c r="D557" s="24"/>
      <c r="E557" s="28">
        <v>0</v>
      </c>
      <c r="F557" s="28">
        <v>0</v>
      </c>
      <c r="G557" s="28">
        <v>0</v>
      </c>
      <c r="H557" s="28">
        <v>0</v>
      </c>
      <c r="I557" s="28">
        <v>0</v>
      </c>
      <c r="J557" s="28">
        <v>0</v>
      </c>
      <c r="K557" s="28">
        <v>0</v>
      </c>
      <c r="L557" s="28">
        <v>0</v>
      </c>
      <c r="M557" s="28">
        <v>0</v>
      </c>
      <c r="N557" s="28">
        <v>0</v>
      </c>
      <c r="O557" s="24"/>
      <c r="P557" s="26"/>
      <c r="Q557" s="27"/>
    </row>
    <row r="558" spans="1:17" ht="40.5" x14ac:dyDescent="0.25">
      <c r="A558" s="16" t="s">
        <v>1283</v>
      </c>
      <c r="B558" s="17" t="s">
        <v>1284</v>
      </c>
      <c r="C558" s="18"/>
      <c r="D558" s="18" t="s">
        <v>1107</v>
      </c>
      <c r="E558" s="19">
        <f t="shared" ref="E558:N559" si="204">SUM(E559:E559)</f>
        <v>0</v>
      </c>
      <c r="F558" s="19">
        <f t="shared" si="204"/>
        <v>0</v>
      </c>
      <c r="G558" s="19">
        <f t="shared" si="204"/>
        <v>0</v>
      </c>
      <c r="H558" s="19">
        <f t="shared" si="204"/>
        <v>0</v>
      </c>
      <c r="I558" s="19">
        <f t="shared" si="204"/>
        <v>0</v>
      </c>
      <c r="J558" s="19">
        <f t="shared" si="204"/>
        <v>0</v>
      </c>
      <c r="K558" s="19">
        <f t="shared" si="204"/>
        <v>0</v>
      </c>
      <c r="L558" s="19">
        <f t="shared" si="204"/>
        <v>0</v>
      </c>
      <c r="M558" s="19">
        <f t="shared" si="204"/>
        <v>0</v>
      </c>
      <c r="N558" s="19">
        <f t="shared" si="204"/>
        <v>0</v>
      </c>
      <c r="O558" s="18"/>
      <c r="P558" s="20"/>
      <c r="Q558" s="21"/>
    </row>
    <row r="559" spans="1:17" ht="40.5" x14ac:dyDescent="0.25">
      <c r="A559" s="22" t="s">
        <v>1285</v>
      </c>
      <c r="B559" s="23" t="s">
        <v>1286</v>
      </c>
      <c r="C559" s="24"/>
      <c r="D559" s="24" t="s">
        <v>1107</v>
      </c>
      <c r="E559" s="25">
        <f t="shared" si="204"/>
        <v>0</v>
      </c>
      <c r="F559" s="25">
        <f t="shared" si="204"/>
        <v>0</v>
      </c>
      <c r="G559" s="25">
        <f t="shared" si="204"/>
        <v>0</v>
      </c>
      <c r="H559" s="25">
        <f t="shared" si="204"/>
        <v>0</v>
      </c>
      <c r="I559" s="25">
        <f t="shared" si="204"/>
        <v>0</v>
      </c>
      <c r="J559" s="25">
        <f t="shared" si="204"/>
        <v>0</v>
      </c>
      <c r="K559" s="25">
        <f t="shared" si="204"/>
        <v>0</v>
      </c>
      <c r="L559" s="25">
        <f t="shared" si="204"/>
        <v>0</v>
      </c>
      <c r="M559" s="25">
        <f t="shared" si="204"/>
        <v>0</v>
      </c>
      <c r="N559" s="25">
        <f t="shared" si="204"/>
        <v>0</v>
      </c>
      <c r="O559" s="24" t="s">
        <v>1246</v>
      </c>
      <c r="P559" s="26" t="s">
        <v>31</v>
      </c>
      <c r="Q559" s="27" t="s">
        <v>123</v>
      </c>
    </row>
    <row r="560" spans="1:17" ht="40.5" x14ac:dyDescent="0.25">
      <c r="A560" s="22" t="s">
        <v>1287</v>
      </c>
      <c r="B560" s="23" t="s">
        <v>1288</v>
      </c>
      <c r="C560" s="24"/>
      <c r="D560" s="24"/>
      <c r="E560" s="28">
        <v>0</v>
      </c>
      <c r="F560" s="28">
        <v>0</v>
      </c>
      <c r="G560" s="28">
        <v>0</v>
      </c>
      <c r="H560" s="28">
        <v>0</v>
      </c>
      <c r="I560" s="28">
        <v>0</v>
      </c>
      <c r="J560" s="28">
        <v>0</v>
      </c>
      <c r="K560" s="28">
        <v>0</v>
      </c>
      <c r="L560" s="28">
        <v>0</v>
      </c>
      <c r="M560" s="28">
        <v>0</v>
      </c>
      <c r="N560" s="28">
        <v>0</v>
      </c>
      <c r="O560" s="24"/>
      <c r="P560" s="26"/>
      <c r="Q560" s="27"/>
    </row>
    <row r="561" spans="1:17" ht="40.5" x14ac:dyDescent="0.25">
      <c r="A561" s="16" t="s">
        <v>1289</v>
      </c>
      <c r="B561" s="17" t="s">
        <v>1290</v>
      </c>
      <c r="C561" s="18"/>
      <c r="D561" s="18" t="s">
        <v>1107</v>
      </c>
      <c r="E561" s="19">
        <f t="shared" ref="E561:N561" si="205">SUM(E562:E562)</f>
        <v>10000</v>
      </c>
      <c r="F561" s="19">
        <f t="shared" si="205"/>
        <v>10000</v>
      </c>
      <c r="G561" s="19">
        <f t="shared" si="205"/>
        <v>0</v>
      </c>
      <c r="H561" s="19">
        <f t="shared" si="205"/>
        <v>0</v>
      </c>
      <c r="I561" s="19">
        <f t="shared" si="205"/>
        <v>0</v>
      </c>
      <c r="J561" s="19">
        <f t="shared" si="205"/>
        <v>0</v>
      </c>
      <c r="K561" s="19">
        <f t="shared" si="205"/>
        <v>0</v>
      </c>
      <c r="L561" s="19">
        <f t="shared" si="205"/>
        <v>0</v>
      </c>
      <c r="M561" s="19">
        <f t="shared" si="205"/>
        <v>0</v>
      </c>
      <c r="N561" s="19">
        <f t="shared" si="205"/>
        <v>0</v>
      </c>
      <c r="O561" s="18"/>
      <c r="P561" s="20"/>
      <c r="Q561" s="21"/>
    </row>
    <row r="562" spans="1:17" ht="40.5" x14ac:dyDescent="0.25">
      <c r="A562" s="22" t="s">
        <v>1291</v>
      </c>
      <c r="B562" s="23" t="s">
        <v>1292</v>
      </c>
      <c r="C562" s="24"/>
      <c r="D562" s="24" t="s">
        <v>1107</v>
      </c>
      <c r="E562" s="25">
        <f>SUM(E563:E563)+10000</f>
        <v>10000</v>
      </c>
      <c r="F562" s="25">
        <f>SUM(F563:F563)+10000</f>
        <v>10000</v>
      </c>
      <c r="G562" s="25">
        <f t="shared" ref="G562:N562" si="206">SUM(G563:G563)</f>
        <v>0</v>
      </c>
      <c r="H562" s="25">
        <f t="shared" si="206"/>
        <v>0</v>
      </c>
      <c r="I562" s="25">
        <f t="shared" si="206"/>
        <v>0</v>
      </c>
      <c r="J562" s="25">
        <f t="shared" si="206"/>
        <v>0</v>
      </c>
      <c r="K562" s="25">
        <f t="shared" si="206"/>
        <v>0</v>
      </c>
      <c r="L562" s="25">
        <f t="shared" si="206"/>
        <v>0</v>
      </c>
      <c r="M562" s="25">
        <f t="shared" si="206"/>
        <v>0</v>
      </c>
      <c r="N562" s="25">
        <f t="shared" si="206"/>
        <v>0</v>
      </c>
      <c r="O562" s="24" t="s">
        <v>1293</v>
      </c>
      <c r="P562" s="26" t="s">
        <v>31</v>
      </c>
      <c r="Q562" s="27" t="s">
        <v>38</v>
      </c>
    </row>
    <row r="563" spans="1:17" ht="40.5" x14ac:dyDescent="0.25">
      <c r="A563" s="22" t="s">
        <v>1294</v>
      </c>
      <c r="B563" s="23" t="s">
        <v>1295</v>
      </c>
      <c r="C563" s="24"/>
      <c r="D563" s="24"/>
      <c r="E563" s="28">
        <v>0</v>
      </c>
      <c r="F563" s="28">
        <v>0</v>
      </c>
      <c r="G563" s="28">
        <v>0</v>
      </c>
      <c r="H563" s="28">
        <v>0</v>
      </c>
      <c r="I563" s="28">
        <v>0</v>
      </c>
      <c r="J563" s="28">
        <v>0</v>
      </c>
      <c r="K563" s="28">
        <v>0</v>
      </c>
      <c r="L563" s="28">
        <v>0</v>
      </c>
      <c r="M563" s="28">
        <v>0</v>
      </c>
      <c r="N563" s="28">
        <v>0</v>
      </c>
      <c r="O563" s="24"/>
      <c r="P563" s="26"/>
      <c r="Q563" s="27"/>
    </row>
    <row r="564" spans="1:17" ht="40.5" x14ac:dyDescent="0.25">
      <c r="A564" s="16" t="s">
        <v>1296</v>
      </c>
      <c r="B564" s="17" t="s">
        <v>1297</v>
      </c>
      <c r="C564" s="18"/>
      <c r="D564" s="18" t="s">
        <v>1107</v>
      </c>
      <c r="E564" s="19">
        <f t="shared" ref="E564:N564" si="207">E565+E567</f>
        <v>10400</v>
      </c>
      <c r="F564" s="19">
        <f t="shared" si="207"/>
        <v>10000</v>
      </c>
      <c r="G564" s="19">
        <f t="shared" si="207"/>
        <v>0</v>
      </c>
      <c r="H564" s="19">
        <f t="shared" si="207"/>
        <v>0</v>
      </c>
      <c r="I564" s="19">
        <f t="shared" si="207"/>
        <v>400</v>
      </c>
      <c r="J564" s="19">
        <f t="shared" si="207"/>
        <v>0</v>
      </c>
      <c r="K564" s="19">
        <f t="shared" si="207"/>
        <v>0</v>
      </c>
      <c r="L564" s="19">
        <f t="shared" si="207"/>
        <v>0</v>
      </c>
      <c r="M564" s="19">
        <f t="shared" si="207"/>
        <v>0</v>
      </c>
      <c r="N564" s="19">
        <f t="shared" si="207"/>
        <v>0</v>
      </c>
      <c r="O564" s="18"/>
      <c r="P564" s="20"/>
      <c r="Q564" s="21"/>
    </row>
    <row r="565" spans="1:17" ht="40.5" x14ac:dyDescent="0.25">
      <c r="A565" s="22" t="s">
        <v>1298</v>
      </c>
      <c r="B565" s="23" t="s">
        <v>1299</v>
      </c>
      <c r="C565" s="24"/>
      <c r="D565" s="24" t="s">
        <v>1107</v>
      </c>
      <c r="E565" s="25">
        <f>SUM(E566:E566)+400</f>
        <v>400</v>
      </c>
      <c r="F565" s="25">
        <f>SUM(F566:F566)</f>
        <v>0</v>
      </c>
      <c r="G565" s="25">
        <f>SUM(G566:G566)</f>
        <v>0</v>
      </c>
      <c r="H565" s="25">
        <f>SUM(H566:H566)</f>
        <v>0</v>
      </c>
      <c r="I565" s="25">
        <f>SUM(I566:I566)+400</f>
        <v>400</v>
      </c>
      <c r="J565" s="25">
        <f>SUM(J566:J566)</f>
        <v>0</v>
      </c>
      <c r="K565" s="25">
        <f>SUM(K566:K566)</f>
        <v>0</v>
      </c>
      <c r="L565" s="25">
        <f>SUM(L566:L566)</f>
        <v>0</v>
      </c>
      <c r="M565" s="25">
        <f>SUM(M566:M566)</f>
        <v>0</v>
      </c>
      <c r="N565" s="25">
        <f>SUM(N566:N566)</f>
        <v>0</v>
      </c>
      <c r="O565" s="24" t="s">
        <v>1300</v>
      </c>
      <c r="P565" s="26" t="s">
        <v>31</v>
      </c>
      <c r="Q565" s="27" t="s">
        <v>171</v>
      </c>
    </row>
    <row r="566" spans="1:17" ht="40.5" x14ac:dyDescent="0.25">
      <c r="A566" s="22" t="s">
        <v>1301</v>
      </c>
      <c r="B566" s="23" t="s">
        <v>1302</v>
      </c>
      <c r="C566" s="24"/>
      <c r="D566" s="24"/>
      <c r="E566" s="28">
        <v>0</v>
      </c>
      <c r="F566" s="28">
        <v>0</v>
      </c>
      <c r="G566" s="28">
        <v>0</v>
      </c>
      <c r="H566" s="28">
        <v>0</v>
      </c>
      <c r="I566" s="28">
        <v>0</v>
      </c>
      <c r="J566" s="28">
        <v>0</v>
      </c>
      <c r="K566" s="28">
        <v>0</v>
      </c>
      <c r="L566" s="28">
        <v>0</v>
      </c>
      <c r="M566" s="28">
        <v>0</v>
      </c>
      <c r="N566" s="28">
        <v>0</v>
      </c>
      <c r="O566" s="24"/>
      <c r="P566" s="26"/>
      <c r="Q566" s="27"/>
    </row>
    <row r="567" spans="1:17" ht="40.5" x14ac:dyDescent="0.25">
      <c r="A567" s="22" t="s">
        <v>1303</v>
      </c>
      <c r="B567" s="23" t="s">
        <v>1304</v>
      </c>
      <c r="C567" s="24"/>
      <c r="D567" s="24" t="s">
        <v>1107</v>
      </c>
      <c r="E567" s="25">
        <f>SUM(E568:E568)+10000</f>
        <v>10000</v>
      </c>
      <c r="F567" s="25">
        <f>SUM(F568:F568)+10000</f>
        <v>10000</v>
      </c>
      <c r="G567" s="25">
        <f t="shared" ref="G567:N567" si="208">SUM(G568:G568)</f>
        <v>0</v>
      </c>
      <c r="H567" s="25">
        <f t="shared" si="208"/>
        <v>0</v>
      </c>
      <c r="I567" s="25">
        <f t="shared" si="208"/>
        <v>0</v>
      </c>
      <c r="J567" s="25">
        <f t="shared" si="208"/>
        <v>0</v>
      </c>
      <c r="K567" s="25">
        <f t="shared" si="208"/>
        <v>0</v>
      </c>
      <c r="L567" s="25">
        <f t="shared" si="208"/>
        <v>0</v>
      </c>
      <c r="M567" s="25">
        <f t="shared" si="208"/>
        <v>0</v>
      </c>
      <c r="N567" s="25">
        <f t="shared" si="208"/>
        <v>0</v>
      </c>
      <c r="O567" s="24" t="s">
        <v>1305</v>
      </c>
      <c r="P567" s="26" t="s">
        <v>31</v>
      </c>
      <c r="Q567" s="27" t="s">
        <v>548</v>
      </c>
    </row>
    <row r="568" spans="1:17" ht="40.5" x14ac:dyDescent="0.25">
      <c r="A568" s="22" t="s">
        <v>1306</v>
      </c>
      <c r="B568" s="23" t="s">
        <v>1307</v>
      </c>
      <c r="C568" s="24"/>
      <c r="D568" s="24"/>
      <c r="E568" s="28">
        <v>0</v>
      </c>
      <c r="F568" s="28">
        <v>0</v>
      </c>
      <c r="G568" s="28">
        <v>0</v>
      </c>
      <c r="H568" s="28">
        <v>0</v>
      </c>
      <c r="I568" s="28">
        <v>0</v>
      </c>
      <c r="J568" s="28">
        <v>0</v>
      </c>
      <c r="K568" s="28">
        <v>0</v>
      </c>
      <c r="L568" s="28">
        <v>0</v>
      </c>
      <c r="M568" s="28">
        <v>0</v>
      </c>
      <c r="N568" s="28">
        <v>0</v>
      </c>
      <c r="O568" s="24"/>
      <c r="P568" s="26"/>
      <c r="Q568" s="27"/>
    </row>
    <row r="569" spans="1:17" ht="40.5" x14ac:dyDescent="0.25">
      <c r="A569" s="10" t="s">
        <v>1308</v>
      </c>
      <c r="B569" s="11" t="s">
        <v>1309</v>
      </c>
      <c r="C569" s="12"/>
      <c r="D569" s="12" t="s">
        <v>1310</v>
      </c>
      <c r="E569" s="13">
        <f t="shared" ref="E569:N569" si="209">E570+E573+E576+E579</f>
        <v>997700</v>
      </c>
      <c r="F569" s="13">
        <f t="shared" si="209"/>
        <v>2000</v>
      </c>
      <c r="G569" s="13">
        <f t="shared" si="209"/>
        <v>0</v>
      </c>
      <c r="H569" s="13">
        <f t="shared" si="209"/>
        <v>0</v>
      </c>
      <c r="I569" s="13">
        <f t="shared" si="209"/>
        <v>995700</v>
      </c>
      <c r="J569" s="13">
        <f t="shared" si="209"/>
        <v>0</v>
      </c>
      <c r="K569" s="13">
        <f t="shared" si="209"/>
        <v>0</v>
      </c>
      <c r="L569" s="13">
        <f t="shared" si="209"/>
        <v>0</v>
      </c>
      <c r="M569" s="13">
        <f t="shared" si="209"/>
        <v>0</v>
      </c>
      <c r="N569" s="13">
        <f t="shared" si="209"/>
        <v>0</v>
      </c>
      <c r="O569" s="12"/>
      <c r="P569" s="14"/>
      <c r="Q569" s="15"/>
    </row>
    <row r="570" spans="1:17" ht="40.5" x14ac:dyDescent="0.25">
      <c r="A570" s="16" t="s">
        <v>1311</v>
      </c>
      <c r="B570" s="17" t="s">
        <v>1312</v>
      </c>
      <c r="C570" s="18"/>
      <c r="D570" s="18" t="s">
        <v>1313</v>
      </c>
      <c r="E570" s="19">
        <f t="shared" ref="E570:N571" si="210">SUM(E571:E571)</f>
        <v>0</v>
      </c>
      <c r="F570" s="19">
        <f t="shared" si="210"/>
        <v>0</v>
      </c>
      <c r="G570" s="19">
        <f t="shared" si="210"/>
        <v>0</v>
      </c>
      <c r="H570" s="19">
        <f t="shared" si="210"/>
        <v>0</v>
      </c>
      <c r="I570" s="19">
        <f t="shared" si="210"/>
        <v>0</v>
      </c>
      <c r="J570" s="19">
        <f t="shared" si="210"/>
        <v>0</v>
      </c>
      <c r="K570" s="19">
        <f t="shared" si="210"/>
        <v>0</v>
      </c>
      <c r="L570" s="19">
        <f t="shared" si="210"/>
        <v>0</v>
      </c>
      <c r="M570" s="19">
        <f t="shared" si="210"/>
        <v>0</v>
      </c>
      <c r="N570" s="19">
        <f t="shared" si="210"/>
        <v>0</v>
      </c>
      <c r="O570" s="18"/>
      <c r="P570" s="20"/>
      <c r="Q570" s="21"/>
    </row>
    <row r="571" spans="1:17" ht="60.75" x14ac:dyDescent="0.25">
      <c r="A571" s="22" t="s">
        <v>1314</v>
      </c>
      <c r="B571" s="23" t="s">
        <v>1315</v>
      </c>
      <c r="C571" s="24" t="s">
        <v>1316</v>
      </c>
      <c r="D571" s="24" t="s">
        <v>1313</v>
      </c>
      <c r="E571" s="25">
        <f t="shared" si="210"/>
        <v>0</v>
      </c>
      <c r="F571" s="25">
        <f t="shared" si="210"/>
        <v>0</v>
      </c>
      <c r="G571" s="25">
        <f t="shared" si="210"/>
        <v>0</v>
      </c>
      <c r="H571" s="25">
        <f t="shared" si="210"/>
        <v>0</v>
      </c>
      <c r="I571" s="25">
        <f t="shared" si="210"/>
        <v>0</v>
      </c>
      <c r="J571" s="25">
        <f t="shared" si="210"/>
        <v>0</v>
      </c>
      <c r="K571" s="25">
        <f t="shared" si="210"/>
        <v>0</v>
      </c>
      <c r="L571" s="25">
        <f t="shared" si="210"/>
        <v>0</v>
      </c>
      <c r="M571" s="25">
        <f t="shared" si="210"/>
        <v>0</v>
      </c>
      <c r="N571" s="25">
        <f t="shared" si="210"/>
        <v>0</v>
      </c>
      <c r="O571" s="24" t="s">
        <v>1317</v>
      </c>
      <c r="P571" s="26" t="s">
        <v>31</v>
      </c>
      <c r="Q571" s="27" t="s">
        <v>38</v>
      </c>
    </row>
    <row r="572" spans="1:17" x14ac:dyDescent="0.25">
      <c r="A572" s="22" t="s">
        <v>1318</v>
      </c>
      <c r="B572" s="23" t="s">
        <v>1319</v>
      </c>
      <c r="C572" s="24"/>
      <c r="D572" s="24"/>
      <c r="E572" s="28">
        <v>0</v>
      </c>
      <c r="F572" s="28">
        <v>0</v>
      </c>
      <c r="G572" s="28">
        <v>0</v>
      </c>
      <c r="H572" s="28">
        <v>0</v>
      </c>
      <c r="I572" s="28">
        <v>0</v>
      </c>
      <c r="J572" s="28">
        <v>0</v>
      </c>
      <c r="K572" s="28">
        <v>0</v>
      </c>
      <c r="L572" s="28">
        <v>0</v>
      </c>
      <c r="M572" s="28">
        <v>0</v>
      </c>
      <c r="N572" s="28">
        <v>0</v>
      </c>
      <c r="O572" s="24"/>
      <c r="P572" s="26"/>
      <c r="Q572" s="27"/>
    </row>
    <row r="573" spans="1:17" ht="40.5" x14ac:dyDescent="0.25">
      <c r="A573" s="16" t="s">
        <v>1320</v>
      </c>
      <c r="B573" s="17" t="s">
        <v>1321</v>
      </c>
      <c r="C573" s="18"/>
      <c r="D573" s="18" t="s">
        <v>1310</v>
      </c>
      <c r="E573" s="19">
        <f t="shared" ref="E573:N573" si="211">SUM(E574:E574)</f>
        <v>960200</v>
      </c>
      <c r="F573" s="19">
        <f t="shared" si="211"/>
        <v>0</v>
      </c>
      <c r="G573" s="19">
        <f t="shared" si="211"/>
        <v>0</v>
      </c>
      <c r="H573" s="19">
        <f t="shared" si="211"/>
        <v>0</v>
      </c>
      <c r="I573" s="19">
        <f t="shared" si="211"/>
        <v>960200</v>
      </c>
      <c r="J573" s="19">
        <f t="shared" si="211"/>
        <v>0</v>
      </c>
      <c r="K573" s="19">
        <f t="shared" si="211"/>
        <v>0</v>
      </c>
      <c r="L573" s="19">
        <f t="shared" si="211"/>
        <v>0</v>
      </c>
      <c r="M573" s="19">
        <f t="shared" si="211"/>
        <v>0</v>
      </c>
      <c r="N573" s="19">
        <f t="shared" si="211"/>
        <v>0</v>
      </c>
      <c r="O573" s="18"/>
      <c r="P573" s="20"/>
      <c r="Q573" s="21"/>
    </row>
    <row r="574" spans="1:17" ht="60.75" x14ac:dyDescent="0.25">
      <c r="A574" s="22" t="s">
        <v>1322</v>
      </c>
      <c r="B574" s="23" t="s">
        <v>1323</v>
      </c>
      <c r="C574" s="24" t="s">
        <v>1316</v>
      </c>
      <c r="D574" s="24" t="s">
        <v>1107</v>
      </c>
      <c r="E574" s="25">
        <f>SUM(E575:E575)+960200</f>
        <v>960200</v>
      </c>
      <c r="F574" s="25">
        <f>SUM(F575:F575)</f>
        <v>0</v>
      </c>
      <c r="G574" s="25">
        <f>SUM(G575:G575)</f>
        <v>0</v>
      </c>
      <c r="H574" s="25">
        <f>SUM(H575:H575)</f>
        <v>0</v>
      </c>
      <c r="I574" s="25">
        <f>SUM(I575:I575)+960200</f>
        <v>960200</v>
      </c>
      <c r="J574" s="25">
        <f>SUM(J575:J575)</f>
        <v>0</v>
      </c>
      <c r="K574" s="25">
        <f>SUM(K575:K575)</f>
        <v>0</v>
      </c>
      <c r="L574" s="25">
        <f>SUM(L575:L575)</f>
        <v>0</v>
      </c>
      <c r="M574" s="25">
        <f>SUM(M575:M575)</f>
        <v>0</v>
      </c>
      <c r="N574" s="25">
        <f>SUM(N575:N575)</f>
        <v>0</v>
      </c>
      <c r="O574" s="24" t="s">
        <v>1324</v>
      </c>
      <c r="P574" s="26" t="s">
        <v>31</v>
      </c>
      <c r="Q574" s="27" t="s">
        <v>1095</v>
      </c>
    </row>
    <row r="575" spans="1:17" ht="40.5" x14ac:dyDescent="0.25">
      <c r="A575" s="22" t="s">
        <v>1325</v>
      </c>
      <c r="B575" s="23" t="s">
        <v>1326</v>
      </c>
      <c r="C575" s="24"/>
      <c r="D575" s="24"/>
      <c r="E575" s="28">
        <v>0</v>
      </c>
      <c r="F575" s="28">
        <v>0</v>
      </c>
      <c r="G575" s="28">
        <v>0</v>
      </c>
      <c r="H575" s="28">
        <v>0</v>
      </c>
      <c r="I575" s="28">
        <v>0</v>
      </c>
      <c r="J575" s="28">
        <v>0</v>
      </c>
      <c r="K575" s="28">
        <v>0</v>
      </c>
      <c r="L575" s="28">
        <v>0</v>
      </c>
      <c r="M575" s="28">
        <v>0</v>
      </c>
      <c r="N575" s="28">
        <v>0</v>
      </c>
      <c r="O575" s="24"/>
      <c r="P575" s="26"/>
      <c r="Q575" s="27"/>
    </row>
    <row r="576" spans="1:17" ht="40.5" x14ac:dyDescent="0.25">
      <c r="A576" s="16" t="s">
        <v>1327</v>
      </c>
      <c r="B576" s="17" t="s">
        <v>1328</v>
      </c>
      <c r="C576" s="18"/>
      <c r="D576" s="18" t="s">
        <v>1310</v>
      </c>
      <c r="E576" s="19">
        <f t="shared" ref="E576:N577" si="212">SUM(E577:E577)</f>
        <v>0</v>
      </c>
      <c r="F576" s="19">
        <f t="shared" si="212"/>
        <v>0</v>
      </c>
      <c r="G576" s="19">
        <f t="shared" si="212"/>
        <v>0</v>
      </c>
      <c r="H576" s="19">
        <f t="shared" si="212"/>
        <v>0</v>
      </c>
      <c r="I576" s="19">
        <f t="shared" si="212"/>
        <v>0</v>
      </c>
      <c r="J576" s="19">
        <f t="shared" si="212"/>
        <v>0</v>
      </c>
      <c r="K576" s="19">
        <f t="shared" si="212"/>
        <v>0</v>
      </c>
      <c r="L576" s="19">
        <f t="shared" si="212"/>
        <v>0</v>
      </c>
      <c r="M576" s="19">
        <f t="shared" si="212"/>
        <v>0</v>
      </c>
      <c r="N576" s="19">
        <f t="shared" si="212"/>
        <v>0</v>
      </c>
      <c r="O576" s="18"/>
      <c r="P576" s="20"/>
      <c r="Q576" s="21"/>
    </row>
    <row r="577" spans="1:17" ht="60.75" x14ac:dyDescent="0.25">
      <c r="A577" s="22" t="s">
        <v>1329</v>
      </c>
      <c r="B577" s="23" t="s">
        <v>1330</v>
      </c>
      <c r="C577" s="24" t="s">
        <v>1316</v>
      </c>
      <c r="D577" s="24" t="s">
        <v>1310</v>
      </c>
      <c r="E577" s="25">
        <f t="shared" si="212"/>
        <v>0</v>
      </c>
      <c r="F577" s="25">
        <f t="shared" si="212"/>
        <v>0</v>
      </c>
      <c r="G577" s="25">
        <f t="shared" si="212"/>
        <v>0</v>
      </c>
      <c r="H577" s="25">
        <f t="shared" si="212"/>
        <v>0</v>
      </c>
      <c r="I577" s="25">
        <f t="shared" si="212"/>
        <v>0</v>
      </c>
      <c r="J577" s="25">
        <f t="shared" si="212"/>
        <v>0</v>
      </c>
      <c r="K577" s="25">
        <f t="shared" si="212"/>
        <v>0</v>
      </c>
      <c r="L577" s="25">
        <f t="shared" si="212"/>
        <v>0</v>
      </c>
      <c r="M577" s="25">
        <f t="shared" si="212"/>
        <v>0</v>
      </c>
      <c r="N577" s="25">
        <f t="shared" si="212"/>
        <v>0</v>
      </c>
      <c r="O577" s="24" t="s">
        <v>1331</v>
      </c>
      <c r="P577" s="26" t="s">
        <v>31</v>
      </c>
      <c r="Q577" s="27" t="s">
        <v>123</v>
      </c>
    </row>
    <row r="578" spans="1:17" ht="40.5" x14ac:dyDescent="0.25">
      <c r="A578" s="22" t="s">
        <v>1332</v>
      </c>
      <c r="B578" s="23" t="s">
        <v>1333</v>
      </c>
      <c r="C578" s="24"/>
      <c r="D578" s="24"/>
      <c r="E578" s="28">
        <v>0</v>
      </c>
      <c r="F578" s="28">
        <v>0</v>
      </c>
      <c r="G578" s="28">
        <v>0</v>
      </c>
      <c r="H578" s="28">
        <v>0</v>
      </c>
      <c r="I578" s="28">
        <v>0</v>
      </c>
      <c r="J578" s="28">
        <v>0</v>
      </c>
      <c r="K578" s="28">
        <v>0</v>
      </c>
      <c r="L578" s="28">
        <v>0</v>
      </c>
      <c r="M578" s="28">
        <v>0</v>
      </c>
      <c r="N578" s="28">
        <v>0</v>
      </c>
      <c r="O578" s="24"/>
      <c r="P578" s="26"/>
      <c r="Q578" s="27"/>
    </row>
    <row r="579" spans="1:17" ht="60.75" x14ac:dyDescent="0.25">
      <c r="A579" s="16" t="s">
        <v>1334</v>
      </c>
      <c r="B579" s="17" t="s">
        <v>1335</v>
      </c>
      <c r="C579" s="18" t="s">
        <v>1336</v>
      </c>
      <c r="D579" s="18" t="s">
        <v>1337</v>
      </c>
      <c r="E579" s="19">
        <f t="shared" ref="E579:N579" si="213">E580+E582</f>
        <v>37500</v>
      </c>
      <c r="F579" s="19">
        <f t="shared" si="213"/>
        <v>2000</v>
      </c>
      <c r="G579" s="19">
        <f t="shared" si="213"/>
        <v>0</v>
      </c>
      <c r="H579" s="19">
        <f t="shared" si="213"/>
        <v>0</v>
      </c>
      <c r="I579" s="19">
        <f t="shared" si="213"/>
        <v>35500</v>
      </c>
      <c r="J579" s="19">
        <f t="shared" si="213"/>
        <v>0</v>
      </c>
      <c r="K579" s="19">
        <f t="shared" si="213"/>
        <v>0</v>
      </c>
      <c r="L579" s="19">
        <f t="shared" si="213"/>
        <v>0</v>
      </c>
      <c r="M579" s="19">
        <f t="shared" si="213"/>
        <v>0</v>
      </c>
      <c r="N579" s="19">
        <f t="shared" si="213"/>
        <v>0</v>
      </c>
      <c r="O579" s="18"/>
      <c r="P579" s="20"/>
      <c r="Q579" s="21"/>
    </row>
    <row r="580" spans="1:17" ht="40.5" x14ac:dyDescent="0.25">
      <c r="A580" s="22" t="s">
        <v>1338</v>
      </c>
      <c r="B580" s="23" t="s">
        <v>1339</v>
      </c>
      <c r="C580" s="24"/>
      <c r="D580" s="24" t="s">
        <v>1337</v>
      </c>
      <c r="E580" s="25">
        <f>SUM(E581:E581)+35500</f>
        <v>35500</v>
      </c>
      <c r="F580" s="25">
        <f>SUM(F581:F581)</f>
        <v>0</v>
      </c>
      <c r="G580" s="25">
        <f>SUM(G581:G581)</f>
        <v>0</v>
      </c>
      <c r="H580" s="25">
        <f>SUM(H581:H581)</f>
        <v>0</v>
      </c>
      <c r="I580" s="25">
        <f>SUM(I581:I581)+35500</f>
        <v>35500</v>
      </c>
      <c r="J580" s="25">
        <f>SUM(J581:J581)</f>
        <v>0</v>
      </c>
      <c r="K580" s="25">
        <f>SUM(K581:K581)</f>
        <v>0</v>
      </c>
      <c r="L580" s="25">
        <f>SUM(L581:L581)</f>
        <v>0</v>
      </c>
      <c r="M580" s="25">
        <f>SUM(M581:M581)</f>
        <v>0</v>
      </c>
      <c r="N580" s="25">
        <f>SUM(N581:N581)</f>
        <v>0</v>
      </c>
      <c r="O580" s="24" t="s">
        <v>1340</v>
      </c>
      <c r="P580" s="26" t="s">
        <v>31</v>
      </c>
      <c r="Q580" s="27" t="s">
        <v>38</v>
      </c>
    </row>
    <row r="581" spans="1:17" ht="40.5" x14ac:dyDescent="0.25">
      <c r="A581" s="22" t="s">
        <v>1341</v>
      </c>
      <c r="B581" s="23" t="s">
        <v>1342</v>
      </c>
      <c r="C581" s="24"/>
      <c r="D581" s="24"/>
      <c r="E581" s="28">
        <v>0</v>
      </c>
      <c r="F581" s="28">
        <v>0</v>
      </c>
      <c r="G581" s="28">
        <v>0</v>
      </c>
      <c r="H581" s="28">
        <v>0</v>
      </c>
      <c r="I581" s="28">
        <v>0</v>
      </c>
      <c r="J581" s="28">
        <v>0</v>
      </c>
      <c r="K581" s="28">
        <v>0</v>
      </c>
      <c r="L581" s="28">
        <v>0</v>
      </c>
      <c r="M581" s="28">
        <v>0</v>
      </c>
      <c r="N581" s="28">
        <v>0</v>
      </c>
      <c r="O581" s="24"/>
      <c r="P581" s="26"/>
      <c r="Q581" s="27"/>
    </row>
    <row r="582" spans="1:17" ht="40.5" x14ac:dyDescent="0.25">
      <c r="A582" s="22" t="s">
        <v>1343</v>
      </c>
      <c r="B582" s="23" t="s">
        <v>1344</v>
      </c>
      <c r="C582" s="24"/>
      <c r="D582" s="24" t="s">
        <v>1107</v>
      </c>
      <c r="E582" s="25">
        <f>SUM(E583:E583)+2000</f>
        <v>2000</v>
      </c>
      <c r="F582" s="25">
        <f>SUM(F583:F583)+2000</f>
        <v>2000</v>
      </c>
      <c r="G582" s="25">
        <f t="shared" ref="G582:N582" si="214">SUM(G583:G583)</f>
        <v>0</v>
      </c>
      <c r="H582" s="25">
        <f t="shared" si="214"/>
        <v>0</v>
      </c>
      <c r="I582" s="25">
        <f t="shared" si="214"/>
        <v>0</v>
      </c>
      <c r="J582" s="25">
        <f t="shared" si="214"/>
        <v>0</v>
      </c>
      <c r="K582" s="25">
        <f t="shared" si="214"/>
        <v>0</v>
      </c>
      <c r="L582" s="25">
        <f t="shared" si="214"/>
        <v>0</v>
      </c>
      <c r="M582" s="25">
        <f t="shared" si="214"/>
        <v>0</v>
      </c>
      <c r="N582" s="25">
        <f t="shared" si="214"/>
        <v>0</v>
      </c>
      <c r="O582" s="24" t="s">
        <v>1345</v>
      </c>
      <c r="P582" s="26" t="s">
        <v>31</v>
      </c>
      <c r="Q582" s="27" t="s">
        <v>38</v>
      </c>
    </row>
    <row r="583" spans="1:17" ht="40.5" x14ac:dyDescent="0.25">
      <c r="A583" s="22" t="s">
        <v>1346</v>
      </c>
      <c r="B583" s="23" t="s">
        <v>1347</v>
      </c>
      <c r="C583" s="24"/>
      <c r="D583" s="24"/>
      <c r="E583" s="28">
        <v>0</v>
      </c>
      <c r="F583" s="28">
        <v>0</v>
      </c>
      <c r="G583" s="28">
        <v>0</v>
      </c>
      <c r="H583" s="28">
        <v>0</v>
      </c>
      <c r="I583" s="28">
        <v>0</v>
      </c>
      <c r="J583" s="28">
        <v>0</v>
      </c>
      <c r="K583" s="28">
        <v>0</v>
      </c>
      <c r="L583" s="28">
        <v>0</v>
      </c>
      <c r="M583" s="28">
        <v>0</v>
      </c>
      <c r="N583" s="28">
        <v>0</v>
      </c>
      <c r="O583" s="24"/>
      <c r="P583" s="26"/>
      <c r="Q583" s="27"/>
    </row>
    <row r="584" spans="1:17" ht="60.75" x14ac:dyDescent="0.25">
      <c r="A584" s="10" t="s">
        <v>1348</v>
      </c>
      <c r="B584" s="11" t="s">
        <v>441</v>
      </c>
      <c r="C584" s="12" t="s">
        <v>1336</v>
      </c>
      <c r="D584" s="12" t="s">
        <v>1337</v>
      </c>
      <c r="E584" s="13">
        <f t="shared" ref="E584:N585" si="215">SUM(E585:E585)</f>
        <v>1500</v>
      </c>
      <c r="F584" s="13">
        <f t="shared" si="215"/>
        <v>1500</v>
      </c>
      <c r="G584" s="13">
        <f t="shared" si="215"/>
        <v>0</v>
      </c>
      <c r="H584" s="13">
        <f t="shared" si="215"/>
        <v>0</v>
      </c>
      <c r="I584" s="13">
        <f t="shared" si="215"/>
        <v>0</v>
      </c>
      <c r="J584" s="13">
        <f t="shared" si="215"/>
        <v>0</v>
      </c>
      <c r="K584" s="13">
        <f t="shared" si="215"/>
        <v>0</v>
      </c>
      <c r="L584" s="13">
        <f t="shared" si="215"/>
        <v>0</v>
      </c>
      <c r="M584" s="13">
        <f t="shared" si="215"/>
        <v>0</v>
      </c>
      <c r="N584" s="13">
        <f t="shared" si="215"/>
        <v>0</v>
      </c>
      <c r="O584" s="12"/>
      <c r="P584" s="14"/>
      <c r="Q584" s="15"/>
    </row>
    <row r="585" spans="1:17" ht="60.75" x14ac:dyDescent="0.25">
      <c r="A585" s="16" t="s">
        <v>1349</v>
      </c>
      <c r="B585" s="17" t="s">
        <v>1350</v>
      </c>
      <c r="C585" s="18" t="s">
        <v>1336</v>
      </c>
      <c r="D585" s="18" t="s">
        <v>1337</v>
      </c>
      <c r="E585" s="19">
        <f t="shared" si="215"/>
        <v>1500</v>
      </c>
      <c r="F585" s="19">
        <f t="shared" si="215"/>
        <v>1500</v>
      </c>
      <c r="G585" s="19">
        <f t="shared" si="215"/>
        <v>0</v>
      </c>
      <c r="H585" s="19">
        <f t="shared" si="215"/>
        <v>0</v>
      </c>
      <c r="I585" s="19">
        <f t="shared" si="215"/>
        <v>0</v>
      </c>
      <c r="J585" s="19">
        <f t="shared" si="215"/>
        <v>0</v>
      </c>
      <c r="K585" s="19">
        <f t="shared" si="215"/>
        <v>0</v>
      </c>
      <c r="L585" s="19">
        <f t="shared" si="215"/>
        <v>0</v>
      </c>
      <c r="M585" s="19">
        <f t="shared" si="215"/>
        <v>0</v>
      </c>
      <c r="N585" s="19">
        <f t="shared" si="215"/>
        <v>0</v>
      </c>
      <c r="O585" s="18"/>
      <c r="P585" s="20"/>
      <c r="Q585" s="21"/>
    </row>
    <row r="586" spans="1:17" ht="40.5" x14ac:dyDescent="0.25">
      <c r="A586" s="22" t="s">
        <v>1351</v>
      </c>
      <c r="B586" s="23" t="s">
        <v>1352</v>
      </c>
      <c r="C586" s="24"/>
      <c r="D586" s="24" t="s">
        <v>1337</v>
      </c>
      <c r="E586" s="25">
        <f>SUM(E587:E587)+1500</f>
        <v>1500</v>
      </c>
      <c r="F586" s="25">
        <f>SUM(F587:F587)+1500</f>
        <v>1500</v>
      </c>
      <c r="G586" s="25">
        <f t="shared" ref="G586:N586" si="216">SUM(G587:G587)</f>
        <v>0</v>
      </c>
      <c r="H586" s="25">
        <f t="shared" si="216"/>
        <v>0</v>
      </c>
      <c r="I586" s="25">
        <f t="shared" si="216"/>
        <v>0</v>
      </c>
      <c r="J586" s="25">
        <f t="shared" si="216"/>
        <v>0</v>
      </c>
      <c r="K586" s="25">
        <f t="shared" si="216"/>
        <v>0</v>
      </c>
      <c r="L586" s="25">
        <f t="shared" si="216"/>
        <v>0</v>
      </c>
      <c r="M586" s="25">
        <f t="shared" si="216"/>
        <v>0</v>
      </c>
      <c r="N586" s="25">
        <f t="shared" si="216"/>
        <v>0</v>
      </c>
      <c r="O586" s="24" t="s">
        <v>1353</v>
      </c>
      <c r="P586" s="26" t="s">
        <v>31</v>
      </c>
      <c r="Q586" s="27" t="s">
        <v>38</v>
      </c>
    </row>
    <row r="587" spans="1:17" ht="60.75" x14ac:dyDescent="0.25">
      <c r="A587" s="22" t="s">
        <v>1354</v>
      </c>
      <c r="B587" s="23" t="s">
        <v>1355</v>
      </c>
      <c r="C587" s="24"/>
      <c r="D587" s="24"/>
      <c r="E587" s="28">
        <v>0</v>
      </c>
      <c r="F587" s="28">
        <v>0</v>
      </c>
      <c r="G587" s="28">
        <v>0</v>
      </c>
      <c r="H587" s="28">
        <v>0</v>
      </c>
      <c r="I587" s="28">
        <v>0</v>
      </c>
      <c r="J587" s="28">
        <v>0</v>
      </c>
      <c r="K587" s="28">
        <v>0</v>
      </c>
      <c r="L587" s="28">
        <v>0</v>
      </c>
      <c r="M587" s="28">
        <v>0</v>
      </c>
      <c r="N587" s="28">
        <v>0</v>
      </c>
      <c r="O587" s="24"/>
      <c r="P587" s="26"/>
      <c r="Q587" s="27"/>
    </row>
    <row r="588" spans="1:17" ht="60.75" x14ac:dyDescent="0.25">
      <c r="A588" s="10" t="s">
        <v>1356</v>
      </c>
      <c r="B588" s="11" t="s">
        <v>1357</v>
      </c>
      <c r="C588" s="12" t="s">
        <v>1336</v>
      </c>
      <c r="D588" s="12" t="s">
        <v>1337</v>
      </c>
      <c r="E588" s="13">
        <f t="shared" ref="E588:N589" si="217">SUM(E589:E589)</f>
        <v>0</v>
      </c>
      <c r="F588" s="13">
        <f t="shared" si="217"/>
        <v>0</v>
      </c>
      <c r="G588" s="13">
        <f t="shared" si="217"/>
        <v>0</v>
      </c>
      <c r="H588" s="13">
        <f t="shared" si="217"/>
        <v>0</v>
      </c>
      <c r="I588" s="13">
        <f t="shared" si="217"/>
        <v>0</v>
      </c>
      <c r="J588" s="13">
        <f t="shared" si="217"/>
        <v>0</v>
      </c>
      <c r="K588" s="13">
        <f t="shared" si="217"/>
        <v>0</v>
      </c>
      <c r="L588" s="13">
        <f t="shared" si="217"/>
        <v>0</v>
      </c>
      <c r="M588" s="13">
        <f t="shared" si="217"/>
        <v>0</v>
      </c>
      <c r="N588" s="13">
        <f t="shared" si="217"/>
        <v>0</v>
      </c>
      <c r="O588" s="12"/>
      <c r="P588" s="14"/>
      <c r="Q588" s="15"/>
    </row>
    <row r="589" spans="1:17" ht="60.75" x14ac:dyDescent="0.25">
      <c r="A589" s="16" t="s">
        <v>1358</v>
      </c>
      <c r="B589" s="17" t="s">
        <v>1359</v>
      </c>
      <c r="C589" s="18" t="s">
        <v>1336</v>
      </c>
      <c r="D589" s="18" t="s">
        <v>1337</v>
      </c>
      <c r="E589" s="19">
        <f t="shared" si="217"/>
        <v>0</v>
      </c>
      <c r="F589" s="19">
        <f t="shared" si="217"/>
        <v>0</v>
      </c>
      <c r="G589" s="19">
        <f t="shared" si="217"/>
        <v>0</v>
      </c>
      <c r="H589" s="19">
        <f t="shared" si="217"/>
        <v>0</v>
      </c>
      <c r="I589" s="19">
        <f t="shared" si="217"/>
        <v>0</v>
      </c>
      <c r="J589" s="19">
        <f t="shared" si="217"/>
        <v>0</v>
      </c>
      <c r="K589" s="19">
        <f t="shared" si="217"/>
        <v>0</v>
      </c>
      <c r="L589" s="19">
        <f t="shared" si="217"/>
        <v>0</v>
      </c>
      <c r="M589" s="19">
        <f t="shared" si="217"/>
        <v>0</v>
      </c>
      <c r="N589" s="19">
        <f t="shared" si="217"/>
        <v>0</v>
      </c>
      <c r="O589" s="18"/>
      <c r="P589" s="20"/>
      <c r="Q589" s="21"/>
    </row>
    <row r="590" spans="1:17" ht="60.75" x14ac:dyDescent="0.25">
      <c r="A590" s="22" t="s">
        <v>1360</v>
      </c>
      <c r="B590" s="23" t="s">
        <v>1361</v>
      </c>
      <c r="C590" s="24" t="s">
        <v>1336</v>
      </c>
      <c r="D590" s="24" t="s">
        <v>1337</v>
      </c>
      <c r="E590" s="25">
        <f t="shared" ref="E590:N590" si="218">SUM(E591:E596)</f>
        <v>0</v>
      </c>
      <c r="F590" s="25">
        <f t="shared" si="218"/>
        <v>0</v>
      </c>
      <c r="G590" s="25">
        <f t="shared" si="218"/>
        <v>0</v>
      </c>
      <c r="H590" s="25">
        <f t="shared" si="218"/>
        <v>0</v>
      </c>
      <c r="I590" s="25">
        <f t="shared" si="218"/>
        <v>0</v>
      </c>
      <c r="J590" s="25">
        <f t="shared" si="218"/>
        <v>0</v>
      </c>
      <c r="K590" s="25">
        <f t="shared" si="218"/>
        <v>0</v>
      </c>
      <c r="L590" s="25">
        <f t="shared" si="218"/>
        <v>0</v>
      </c>
      <c r="M590" s="25">
        <f t="shared" si="218"/>
        <v>0</v>
      </c>
      <c r="N590" s="25">
        <f t="shared" si="218"/>
        <v>0</v>
      </c>
      <c r="O590" s="24" t="s">
        <v>1362</v>
      </c>
      <c r="P590" s="26" t="s">
        <v>1363</v>
      </c>
      <c r="Q590" s="27" t="s">
        <v>752</v>
      </c>
    </row>
    <row r="591" spans="1:17" ht="40.5" x14ac:dyDescent="0.25">
      <c r="A591" s="29"/>
      <c r="B591" s="30"/>
      <c r="C591" s="31"/>
      <c r="D591" s="31"/>
      <c r="E591" s="32">
        <v>0</v>
      </c>
      <c r="F591" s="32">
        <v>0</v>
      </c>
      <c r="G591" s="32">
        <v>0</v>
      </c>
      <c r="H591" s="32">
        <v>0</v>
      </c>
      <c r="I591" s="32">
        <v>0</v>
      </c>
      <c r="J591" s="32">
        <v>0</v>
      </c>
      <c r="K591" s="32">
        <v>0</v>
      </c>
      <c r="L591" s="32">
        <v>0</v>
      </c>
      <c r="M591" s="32">
        <v>0</v>
      </c>
      <c r="N591" s="32">
        <v>0</v>
      </c>
      <c r="O591" s="31" t="s">
        <v>1364</v>
      </c>
      <c r="P591" s="33" t="s">
        <v>221</v>
      </c>
      <c r="Q591" s="34" t="s">
        <v>915</v>
      </c>
    </row>
    <row r="592" spans="1:17" ht="40.5" x14ac:dyDescent="0.25">
      <c r="A592" s="29"/>
      <c r="B592" s="30"/>
      <c r="C592" s="31"/>
      <c r="D592" s="31"/>
      <c r="E592" s="32">
        <v>0</v>
      </c>
      <c r="F592" s="32">
        <v>0</v>
      </c>
      <c r="G592" s="32">
        <v>0</v>
      </c>
      <c r="H592" s="32">
        <v>0</v>
      </c>
      <c r="I592" s="32">
        <v>0</v>
      </c>
      <c r="J592" s="32">
        <v>0</v>
      </c>
      <c r="K592" s="32">
        <v>0</v>
      </c>
      <c r="L592" s="32">
        <v>0</v>
      </c>
      <c r="M592" s="32">
        <v>0</v>
      </c>
      <c r="N592" s="32">
        <v>0</v>
      </c>
      <c r="O592" s="31" t="s">
        <v>1365</v>
      </c>
      <c r="P592" s="33" t="s">
        <v>31</v>
      </c>
      <c r="Q592" s="34" t="s">
        <v>171</v>
      </c>
    </row>
    <row r="593" spans="1:17" ht="60.75" x14ac:dyDescent="0.25">
      <c r="A593" s="29"/>
      <c r="B593" s="30"/>
      <c r="C593" s="31"/>
      <c r="D593" s="31"/>
      <c r="E593" s="32">
        <v>0</v>
      </c>
      <c r="F593" s="32">
        <v>0</v>
      </c>
      <c r="G593" s="32">
        <v>0</v>
      </c>
      <c r="H593" s="32">
        <v>0</v>
      </c>
      <c r="I593" s="32">
        <v>0</v>
      </c>
      <c r="J593" s="32">
        <v>0</v>
      </c>
      <c r="K593" s="32">
        <v>0</v>
      </c>
      <c r="L593" s="32">
        <v>0</v>
      </c>
      <c r="M593" s="32">
        <v>0</v>
      </c>
      <c r="N593" s="32">
        <v>0</v>
      </c>
      <c r="O593" s="31" t="s">
        <v>1366</v>
      </c>
      <c r="P593" s="33" t="s">
        <v>1363</v>
      </c>
      <c r="Q593" s="34" t="s">
        <v>32</v>
      </c>
    </row>
    <row r="594" spans="1:17" ht="40.5" x14ac:dyDescent="0.25">
      <c r="A594" s="29"/>
      <c r="B594" s="30"/>
      <c r="C594" s="31"/>
      <c r="D594" s="31"/>
      <c r="E594" s="32">
        <v>0</v>
      </c>
      <c r="F594" s="32">
        <v>0</v>
      </c>
      <c r="G594" s="32">
        <v>0</v>
      </c>
      <c r="H594" s="32">
        <v>0</v>
      </c>
      <c r="I594" s="32">
        <v>0</v>
      </c>
      <c r="J594" s="32">
        <v>0</v>
      </c>
      <c r="K594" s="32">
        <v>0</v>
      </c>
      <c r="L594" s="32">
        <v>0</v>
      </c>
      <c r="M594" s="32">
        <v>0</v>
      </c>
      <c r="N594" s="32">
        <v>0</v>
      </c>
      <c r="O594" s="31" t="s">
        <v>1367</v>
      </c>
      <c r="P594" s="33" t="s">
        <v>31</v>
      </c>
      <c r="Q594" s="34" t="s">
        <v>1116</v>
      </c>
    </row>
    <row r="595" spans="1:17" ht="40.5" x14ac:dyDescent="0.25">
      <c r="A595" s="29"/>
      <c r="B595" s="30"/>
      <c r="C595" s="31"/>
      <c r="D595" s="31"/>
      <c r="E595" s="32">
        <v>0</v>
      </c>
      <c r="F595" s="32">
        <v>0</v>
      </c>
      <c r="G595" s="32">
        <v>0</v>
      </c>
      <c r="H595" s="32">
        <v>0</v>
      </c>
      <c r="I595" s="32">
        <v>0</v>
      </c>
      <c r="J595" s="32">
        <v>0</v>
      </c>
      <c r="K595" s="32">
        <v>0</v>
      </c>
      <c r="L595" s="32">
        <v>0</v>
      </c>
      <c r="M595" s="32">
        <v>0</v>
      </c>
      <c r="N595" s="32">
        <v>0</v>
      </c>
      <c r="O595" s="31" t="s">
        <v>1368</v>
      </c>
      <c r="P595" s="33" t="s">
        <v>31</v>
      </c>
      <c r="Q595" s="34" t="s">
        <v>38</v>
      </c>
    </row>
    <row r="596" spans="1:17" ht="40.5" x14ac:dyDescent="0.25">
      <c r="A596" s="22" t="s">
        <v>1369</v>
      </c>
      <c r="B596" s="23" t="s">
        <v>1370</v>
      </c>
      <c r="C596" s="24"/>
      <c r="D596" s="24"/>
      <c r="E596" s="28">
        <v>0</v>
      </c>
      <c r="F596" s="28">
        <v>0</v>
      </c>
      <c r="G596" s="28">
        <v>0</v>
      </c>
      <c r="H596" s="28">
        <v>0</v>
      </c>
      <c r="I596" s="28">
        <v>0</v>
      </c>
      <c r="J596" s="28">
        <v>0</v>
      </c>
      <c r="K596" s="28">
        <v>0</v>
      </c>
      <c r="L596" s="28">
        <v>0</v>
      </c>
      <c r="M596" s="28">
        <v>0</v>
      </c>
      <c r="N596" s="28">
        <v>0</v>
      </c>
      <c r="O596" s="24"/>
      <c r="P596" s="26"/>
      <c r="Q596" s="27"/>
    </row>
    <row r="597" spans="1:17" x14ac:dyDescent="0.25">
      <c r="A597" s="10" t="s">
        <v>1371</v>
      </c>
      <c r="B597" s="11" t="s">
        <v>1372</v>
      </c>
      <c r="C597" s="12"/>
      <c r="D597" s="12"/>
      <c r="E597" s="13">
        <f t="shared" ref="E597:N597" si="219">SUM(E598:E598)</f>
        <v>203600</v>
      </c>
      <c r="F597" s="13">
        <f t="shared" si="219"/>
        <v>60000</v>
      </c>
      <c r="G597" s="13">
        <f t="shared" si="219"/>
        <v>0</v>
      </c>
      <c r="H597" s="13">
        <f t="shared" si="219"/>
        <v>0</v>
      </c>
      <c r="I597" s="13">
        <f t="shared" si="219"/>
        <v>143600</v>
      </c>
      <c r="J597" s="13">
        <f t="shared" si="219"/>
        <v>0</v>
      </c>
      <c r="K597" s="13">
        <f t="shared" si="219"/>
        <v>0</v>
      </c>
      <c r="L597" s="13">
        <f t="shared" si="219"/>
        <v>0</v>
      </c>
      <c r="M597" s="13">
        <f t="shared" si="219"/>
        <v>0</v>
      </c>
      <c r="N597" s="13">
        <f t="shared" si="219"/>
        <v>0</v>
      </c>
      <c r="O597" s="12"/>
      <c r="P597" s="14"/>
      <c r="Q597" s="15"/>
    </row>
    <row r="598" spans="1:17" ht="40.5" x14ac:dyDescent="0.25">
      <c r="A598" s="16" t="s">
        <v>1373</v>
      </c>
      <c r="B598" s="17" t="s">
        <v>1374</v>
      </c>
      <c r="C598" s="18"/>
      <c r="D598" s="18"/>
      <c r="E598" s="19">
        <f t="shared" ref="E598:N598" si="220">E599+E601</f>
        <v>203600</v>
      </c>
      <c r="F598" s="19">
        <f t="shared" si="220"/>
        <v>60000</v>
      </c>
      <c r="G598" s="19">
        <f t="shared" si="220"/>
        <v>0</v>
      </c>
      <c r="H598" s="19">
        <f t="shared" si="220"/>
        <v>0</v>
      </c>
      <c r="I598" s="19">
        <f t="shared" si="220"/>
        <v>143600</v>
      </c>
      <c r="J598" s="19">
        <f t="shared" si="220"/>
        <v>0</v>
      </c>
      <c r="K598" s="19">
        <f t="shared" si="220"/>
        <v>0</v>
      </c>
      <c r="L598" s="19">
        <f t="shared" si="220"/>
        <v>0</v>
      </c>
      <c r="M598" s="19">
        <f t="shared" si="220"/>
        <v>0</v>
      </c>
      <c r="N598" s="19">
        <f t="shared" si="220"/>
        <v>0</v>
      </c>
      <c r="O598" s="18"/>
      <c r="P598" s="20"/>
      <c r="Q598" s="21"/>
    </row>
    <row r="599" spans="1:17" ht="40.5" x14ac:dyDescent="0.25">
      <c r="A599" s="22" t="s">
        <v>1375</v>
      </c>
      <c r="B599" s="23" t="s">
        <v>1376</v>
      </c>
      <c r="C599" s="24" t="s">
        <v>1104</v>
      </c>
      <c r="D599" s="24" t="s">
        <v>1107</v>
      </c>
      <c r="E599" s="25">
        <f>SUM(E600:E600)+120300</f>
        <v>120300</v>
      </c>
      <c r="F599" s="25">
        <f>SUM(F600:F600)+60000</f>
        <v>60000</v>
      </c>
      <c r="G599" s="25">
        <f>SUM(G600:G600)</f>
        <v>0</v>
      </c>
      <c r="H599" s="25">
        <f>SUM(H600:H600)</f>
        <v>0</v>
      </c>
      <c r="I599" s="25">
        <f>SUM(I600:I600)+60300</f>
        <v>60300</v>
      </c>
      <c r="J599" s="25">
        <f>SUM(J600:J600)</f>
        <v>0</v>
      </c>
      <c r="K599" s="25">
        <f>SUM(K600:K600)</f>
        <v>0</v>
      </c>
      <c r="L599" s="25">
        <f>SUM(L600:L600)</f>
        <v>0</v>
      </c>
      <c r="M599" s="25">
        <f>SUM(M600:M600)</f>
        <v>0</v>
      </c>
      <c r="N599" s="25">
        <f>SUM(N600:N600)</f>
        <v>0</v>
      </c>
      <c r="O599" s="24" t="s">
        <v>1377</v>
      </c>
      <c r="P599" s="26" t="s">
        <v>31</v>
      </c>
      <c r="Q599" s="27" t="s">
        <v>902</v>
      </c>
    </row>
    <row r="600" spans="1:17" x14ac:dyDescent="0.25">
      <c r="A600" s="22" t="s">
        <v>1378</v>
      </c>
      <c r="B600" s="23" t="s">
        <v>1379</v>
      </c>
      <c r="C600" s="24"/>
      <c r="D600" s="24"/>
      <c r="E600" s="28">
        <v>0</v>
      </c>
      <c r="F600" s="28">
        <v>0</v>
      </c>
      <c r="G600" s="28">
        <v>0</v>
      </c>
      <c r="H600" s="28">
        <v>0</v>
      </c>
      <c r="I600" s="28">
        <v>0</v>
      </c>
      <c r="J600" s="28">
        <v>0</v>
      </c>
      <c r="K600" s="28">
        <v>0</v>
      </c>
      <c r="L600" s="28">
        <v>0</v>
      </c>
      <c r="M600" s="28">
        <v>0</v>
      </c>
      <c r="N600" s="28">
        <v>0</v>
      </c>
      <c r="O600" s="24"/>
      <c r="P600" s="26"/>
      <c r="Q600" s="27"/>
    </row>
    <row r="601" spans="1:17" ht="60.75" x14ac:dyDescent="0.25">
      <c r="A601" s="22" t="s">
        <v>1380</v>
      </c>
      <c r="B601" s="23" t="s">
        <v>1381</v>
      </c>
      <c r="C601" s="24" t="s">
        <v>1104</v>
      </c>
      <c r="D601" s="24" t="s">
        <v>1107</v>
      </c>
      <c r="E601" s="25">
        <f>SUM(E602:E602)+83300</f>
        <v>83300</v>
      </c>
      <c r="F601" s="25">
        <f>SUM(F602:F602)</f>
        <v>0</v>
      </c>
      <c r="G601" s="25">
        <f>SUM(G602:G602)</f>
        <v>0</v>
      </c>
      <c r="H601" s="25">
        <f>SUM(H602:H602)</f>
        <v>0</v>
      </c>
      <c r="I601" s="25">
        <f>SUM(I602:I602)+83300</f>
        <v>83300</v>
      </c>
      <c r="J601" s="25">
        <f>SUM(J602:J602)</f>
        <v>0</v>
      </c>
      <c r="K601" s="25">
        <f>SUM(K602:K602)</f>
        <v>0</v>
      </c>
      <c r="L601" s="25">
        <f>SUM(L602:L602)</f>
        <v>0</v>
      </c>
      <c r="M601" s="25">
        <f>SUM(M602:M602)</f>
        <v>0</v>
      </c>
      <c r="N601" s="25">
        <f>SUM(N602:N602)</f>
        <v>0</v>
      </c>
      <c r="O601" s="24" t="s">
        <v>1382</v>
      </c>
      <c r="P601" s="26" t="s">
        <v>31</v>
      </c>
      <c r="Q601" s="27" t="s">
        <v>171</v>
      </c>
    </row>
    <row r="602" spans="1:17" ht="60.75" x14ac:dyDescent="0.25">
      <c r="A602" s="35" t="s">
        <v>1383</v>
      </c>
      <c r="B602" s="36" t="s">
        <v>1384</v>
      </c>
      <c r="C602" s="37"/>
      <c r="D602" s="37"/>
      <c r="E602" s="38">
        <v>0</v>
      </c>
      <c r="F602" s="38">
        <v>0</v>
      </c>
      <c r="G602" s="38">
        <v>0</v>
      </c>
      <c r="H602" s="38">
        <v>0</v>
      </c>
      <c r="I602" s="38">
        <v>0</v>
      </c>
      <c r="J602" s="38">
        <v>0</v>
      </c>
      <c r="K602" s="38">
        <v>0</v>
      </c>
      <c r="L602" s="38">
        <v>0</v>
      </c>
      <c r="M602" s="38">
        <v>0</v>
      </c>
      <c r="N602" s="38">
        <v>0</v>
      </c>
      <c r="O602" s="37"/>
      <c r="P602" s="39"/>
      <c r="Q602" s="40"/>
    </row>
    <row r="603" spans="1:17" s="46" customFormat="1" x14ac:dyDescent="0.25">
      <c r="A603" s="41"/>
      <c r="B603" s="41"/>
      <c r="C603" s="42"/>
      <c r="D603" s="42"/>
      <c r="E603" s="43"/>
      <c r="F603" s="43"/>
      <c r="G603" s="43"/>
      <c r="H603" s="43"/>
      <c r="I603" s="43"/>
      <c r="J603" s="43"/>
      <c r="K603" s="43"/>
      <c r="L603" s="43"/>
      <c r="M603" s="43"/>
      <c r="N603" s="43"/>
      <c r="O603" s="42"/>
      <c r="P603" s="44"/>
      <c r="Q603" s="45"/>
    </row>
    <row r="604" spans="1:17" s="46" customFormat="1" x14ac:dyDescent="0.25">
      <c r="A604" s="41"/>
      <c r="B604" s="41"/>
      <c r="C604" s="42"/>
      <c r="D604" s="42"/>
      <c r="E604" s="43"/>
      <c r="F604" s="43"/>
      <c r="G604" s="43"/>
      <c r="H604" s="43"/>
      <c r="I604" s="43"/>
      <c r="J604" s="43"/>
      <c r="K604" s="43"/>
      <c r="L604" s="43"/>
      <c r="M604" s="43"/>
      <c r="N604" s="43"/>
      <c r="O604" s="42"/>
      <c r="P604" s="44"/>
      <c r="Q604" s="45"/>
    </row>
    <row r="605" spans="1:17" s="46" customFormat="1" x14ac:dyDescent="0.25">
      <c r="A605" s="41"/>
      <c r="B605" s="41"/>
      <c r="C605" s="42"/>
      <c r="D605" s="42"/>
      <c r="E605" s="43"/>
      <c r="F605" s="43"/>
      <c r="G605" s="43"/>
      <c r="H605" s="43"/>
      <c r="I605" s="43"/>
      <c r="J605" s="43"/>
      <c r="K605" s="43"/>
      <c r="L605" s="43"/>
      <c r="M605" s="43"/>
      <c r="N605" s="43"/>
      <c r="O605" s="42"/>
      <c r="P605" s="44"/>
      <c r="Q605" s="45"/>
    </row>
    <row r="606" spans="1:17" s="46" customFormat="1" x14ac:dyDescent="0.25">
      <c r="A606" s="41"/>
      <c r="B606" s="41"/>
      <c r="C606" s="42"/>
      <c r="D606" s="42"/>
      <c r="E606" s="43"/>
      <c r="F606" s="43"/>
      <c r="G606" s="43"/>
      <c r="H606" s="43"/>
      <c r="I606" s="43"/>
      <c r="J606" s="43"/>
      <c r="K606" s="43"/>
      <c r="L606" s="43"/>
      <c r="M606" s="43"/>
      <c r="N606" s="43"/>
      <c r="O606" s="42"/>
      <c r="P606" s="44"/>
      <c r="Q606" s="45"/>
    </row>
    <row r="607" spans="1:17" s="46" customFormat="1" x14ac:dyDescent="0.25">
      <c r="A607" s="41"/>
      <c r="B607" s="41"/>
      <c r="C607" s="42"/>
      <c r="D607" s="42"/>
      <c r="E607" s="43"/>
      <c r="F607" s="43"/>
      <c r="G607" s="43"/>
      <c r="H607" s="43"/>
      <c r="I607" s="43"/>
      <c r="J607" s="43"/>
      <c r="K607" s="43"/>
      <c r="L607" s="43"/>
      <c r="M607" s="43"/>
      <c r="N607" s="43"/>
      <c r="O607" s="42"/>
      <c r="P607" s="44"/>
      <c r="Q607" s="45"/>
    </row>
    <row r="608" spans="1:17" x14ac:dyDescent="0.25">
      <c r="A608" s="58" t="s">
        <v>0</v>
      </c>
      <c r="B608" s="58" t="s">
        <v>1</v>
      </c>
      <c r="C608" s="58" t="s">
        <v>4</v>
      </c>
      <c r="D608" s="58" t="s">
        <v>5</v>
      </c>
      <c r="E608" s="58"/>
      <c r="F608" s="58"/>
      <c r="G608" s="58"/>
      <c r="H608" s="58"/>
      <c r="I608" s="58"/>
      <c r="J608" s="58"/>
      <c r="K608" s="58"/>
      <c r="L608" s="58"/>
    </row>
    <row r="609" spans="1:12" x14ac:dyDescent="0.25">
      <c r="A609" s="58"/>
      <c r="B609" s="58"/>
      <c r="C609" s="58"/>
      <c r="D609" s="51" t="s">
        <v>7</v>
      </c>
      <c r="E609" s="51" t="s">
        <v>8</v>
      </c>
      <c r="F609" s="51" t="s">
        <v>9</v>
      </c>
      <c r="G609" s="51" t="s">
        <v>10</v>
      </c>
      <c r="H609" s="51" t="s">
        <v>11</v>
      </c>
      <c r="I609" s="51" t="s">
        <v>12</v>
      </c>
      <c r="J609" s="51" t="s">
        <v>13</v>
      </c>
      <c r="K609" s="51" t="s">
        <v>14</v>
      </c>
      <c r="L609" s="51" t="s">
        <v>15</v>
      </c>
    </row>
    <row r="610" spans="1:12" x14ac:dyDescent="0.25">
      <c r="A610" s="30" t="s">
        <v>1385</v>
      </c>
      <c r="B610" s="30" t="s">
        <v>1386</v>
      </c>
      <c r="C610" s="47">
        <f t="shared" ref="C610:L610" si="221">SUM(C611:C616)</f>
        <v>16348206.99</v>
      </c>
      <c r="D610" s="47">
        <f t="shared" si="221"/>
        <v>11529948.99</v>
      </c>
      <c r="E610" s="47">
        <f t="shared" si="221"/>
        <v>49870</v>
      </c>
      <c r="F610" s="47">
        <f t="shared" si="221"/>
        <v>81486</v>
      </c>
      <c r="G610" s="47">
        <f t="shared" si="221"/>
        <v>2951911</v>
      </c>
      <c r="H610" s="47">
        <f t="shared" si="221"/>
        <v>698538</v>
      </c>
      <c r="I610" s="47">
        <f t="shared" si="221"/>
        <v>982324</v>
      </c>
      <c r="J610" s="47">
        <f t="shared" si="221"/>
        <v>54129</v>
      </c>
      <c r="K610" s="47">
        <f t="shared" si="221"/>
        <v>0</v>
      </c>
      <c r="L610" s="47">
        <f t="shared" si="221"/>
        <v>0</v>
      </c>
    </row>
    <row r="611" spans="1:12" x14ac:dyDescent="0.25">
      <c r="A611" s="30" t="s">
        <v>1387</v>
      </c>
      <c r="B611" s="30" t="s">
        <v>1388</v>
      </c>
      <c r="C611" s="32">
        <v>11611434.99</v>
      </c>
      <c r="D611" s="32">
        <v>11529948.99</v>
      </c>
      <c r="E611" s="32">
        <v>0</v>
      </c>
      <c r="F611" s="32">
        <v>81486</v>
      </c>
      <c r="G611" s="32">
        <v>0</v>
      </c>
      <c r="H611" s="32">
        <v>0</v>
      </c>
      <c r="I611" s="32">
        <v>0</v>
      </c>
      <c r="J611" s="32">
        <v>0</v>
      </c>
      <c r="K611" s="32">
        <v>0</v>
      </c>
      <c r="L611" s="32">
        <v>0</v>
      </c>
    </row>
    <row r="612" spans="1:12" x14ac:dyDescent="0.25">
      <c r="A612" s="30" t="s">
        <v>1389</v>
      </c>
      <c r="B612" s="30" t="s">
        <v>1390</v>
      </c>
      <c r="C612" s="32">
        <v>49870</v>
      </c>
      <c r="D612" s="32">
        <v>0</v>
      </c>
      <c r="E612" s="32">
        <v>49870</v>
      </c>
      <c r="F612" s="32">
        <v>0</v>
      </c>
      <c r="G612" s="32">
        <v>0</v>
      </c>
      <c r="H612" s="32">
        <v>0</v>
      </c>
      <c r="I612" s="32">
        <v>0</v>
      </c>
      <c r="J612" s="32">
        <v>0</v>
      </c>
      <c r="K612" s="32">
        <v>0</v>
      </c>
      <c r="L612" s="32">
        <v>0</v>
      </c>
    </row>
    <row r="613" spans="1:12" x14ac:dyDescent="0.25">
      <c r="A613" s="30" t="s">
        <v>1391</v>
      </c>
      <c r="B613" s="30" t="s">
        <v>1392</v>
      </c>
      <c r="C613" s="32">
        <v>2951911</v>
      </c>
      <c r="D613" s="32">
        <v>0</v>
      </c>
      <c r="E613" s="32">
        <v>0</v>
      </c>
      <c r="F613" s="32">
        <v>0</v>
      </c>
      <c r="G613" s="32">
        <v>2951911</v>
      </c>
      <c r="H613" s="32">
        <v>0</v>
      </c>
      <c r="I613" s="32">
        <v>0</v>
      </c>
      <c r="J613" s="32">
        <v>0</v>
      </c>
      <c r="K613" s="32">
        <v>0</v>
      </c>
      <c r="L613" s="32">
        <v>0</v>
      </c>
    </row>
    <row r="614" spans="1:12" x14ac:dyDescent="0.25">
      <c r="A614" s="30" t="s">
        <v>1393</v>
      </c>
      <c r="B614" s="30" t="s">
        <v>1394</v>
      </c>
      <c r="C614" s="32">
        <v>698538</v>
      </c>
      <c r="D614" s="32">
        <v>0</v>
      </c>
      <c r="E614" s="32">
        <v>0</v>
      </c>
      <c r="F614" s="32">
        <v>0</v>
      </c>
      <c r="G614" s="32">
        <v>0</v>
      </c>
      <c r="H614" s="32">
        <v>698538</v>
      </c>
      <c r="I614" s="32">
        <v>0</v>
      </c>
      <c r="J614" s="32">
        <v>0</v>
      </c>
      <c r="K614" s="32">
        <v>0</v>
      </c>
      <c r="L614" s="32">
        <v>0</v>
      </c>
    </row>
    <row r="615" spans="1:12" ht="40.5" x14ac:dyDescent="0.25">
      <c r="A615" s="30" t="s">
        <v>1395</v>
      </c>
      <c r="B615" s="30" t="s">
        <v>1396</v>
      </c>
      <c r="C615" s="32">
        <v>982324</v>
      </c>
      <c r="D615" s="32">
        <v>0</v>
      </c>
      <c r="E615" s="32">
        <v>0</v>
      </c>
      <c r="F615" s="32">
        <v>0</v>
      </c>
      <c r="G615" s="32">
        <v>0</v>
      </c>
      <c r="H615" s="32">
        <v>0</v>
      </c>
      <c r="I615" s="32">
        <v>982324</v>
      </c>
      <c r="J615" s="32">
        <v>0</v>
      </c>
      <c r="K615" s="32">
        <v>0</v>
      </c>
      <c r="L615" s="32">
        <v>0</v>
      </c>
    </row>
    <row r="616" spans="1:12" ht="81" x14ac:dyDescent="0.25">
      <c r="A616" s="30" t="s">
        <v>1397</v>
      </c>
      <c r="B616" s="30" t="s">
        <v>1398</v>
      </c>
      <c r="C616" s="32">
        <v>54129</v>
      </c>
      <c r="D616" s="32">
        <v>0</v>
      </c>
      <c r="E616" s="32">
        <v>0</v>
      </c>
      <c r="F616" s="32">
        <v>0</v>
      </c>
      <c r="G616" s="32">
        <v>0</v>
      </c>
      <c r="H616" s="32">
        <v>0</v>
      </c>
      <c r="I616" s="32">
        <v>0</v>
      </c>
      <c r="J616" s="32">
        <v>54129</v>
      </c>
      <c r="K616" s="32">
        <v>0</v>
      </c>
      <c r="L616" s="32">
        <v>0</v>
      </c>
    </row>
    <row r="617" spans="1:12" ht="40.5" x14ac:dyDescent="0.25">
      <c r="A617" s="30" t="s">
        <v>1399</v>
      </c>
      <c r="B617" s="30" t="s">
        <v>1400</v>
      </c>
      <c r="C617" s="32">
        <v>3205702.17</v>
      </c>
      <c r="D617" s="32">
        <v>0</v>
      </c>
      <c r="E617" s="32">
        <v>0</v>
      </c>
      <c r="F617" s="32">
        <v>0</v>
      </c>
      <c r="G617" s="32">
        <v>0</v>
      </c>
      <c r="H617" s="32">
        <v>0</v>
      </c>
      <c r="I617" s="32">
        <v>3205702.17</v>
      </c>
      <c r="J617" s="32">
        <v>0</v>
      </c>
      <c r="K617" s="32">
        <v>0</v>
      </c>
      <c r="L617" s="32">
        <v>0</v>
      </c>
    </row>
    <row r="618" spans="1:12" ht="60.75" x14ac:dyDescent="0.25">
      <c r="A618" s="30" t="s">
        <v>1401</v>
      </c>
      <c r="B618" s="30" t="s">
        <v>1402</v>
      </c>
      <c r="C618" s="32">
        <v>485420</v>
      </c>
      <c r="D618" s="32">
        <v>0</v>
      </c>
      <c r="E618" s="32">
        <v>0</v>
      </c>
      <c r="F618" s="32">
        <v>0</v>
      </c>
      <c r="G618" s="32">
        <v>0</v>
      </c>
      <c r="H618" s="32">
        <v>0</v>
      </c>
      <c r="I618" s="32">
        <v>0</v>
      </c>
      <c r="J618" s="32">
        <v>485420</v>
      </c>
      <c r="K618" s="32">
        <v>0</v>
      </c>
      <c r="L618" s="32">
        <v>0</v>
      </c>
    </row>
    <row r="619" spans="1:12" x14ac:dyDescent="0.25">
      <c r="A619" s="30" t="s">
        <v>1403</v>
      </c>
      <c r="B619" s="30" t="s">
        <v>1404</v>
      </c>
      <c r="C619" s="47">
        <f t="shared" ref="C619:L619" si="222">SUM(C620:C621)</f>
        <v>43386</v>
      </c>
      <c r="D619" s="47">
        <f t="shared" si="222"/>
        <v>0</v>
      </c>
      <c r="E619" s="47">
        <f t="shared" si="222"/>
        <v>0</v>
      </c>
      <c r="F619" s="47">
        <f t="shared" si="222"/>
        <v>0</v>
      </c>
      <c r="G619" s="47">
        <f t="shared" si="222"/>
        <v>0</v>
      </c>
      <c r="H619" s="47">
        <f t="shared" si="222"/>
        <v>0</v>
      </c>
      <c r="I619" s="47">
        <f t="shared" si="222"/>
        <v>0</v>
      </c>
      <c r="J619" s="47">
        <f t="shared" si="222"/>
        <v>0</v>
      </c>
      <c r="K619" s="47">
        <f t="shared" si="222"/>
        <v>0</v>
      </c>
      <c r="L619" s="47">
        <f t="shared" si="222"/>
        <v>43386</v>
      </c>
    </row>
    <row r="620" spans="1:12" x14ac:dyDescent="0.25">
      <c r="A620" s="30" t="s">
        <v>1405</v>
      </c>
      <c r="B620" s="30" t="s">
        <v>1406</v>
      </c>
      <c r="C620" s="32">
        <v>24800</v>
      </c>
      <c r="D620" s="32">
        <v>0</v>
      </c>
      <c r="E620" s="32">
        <v>0</v>
      </c>
      <c r="F620" s="32">
        <v>0</v>
      </c>
      <c r="G620" s="32">
        <v>0</v>
      </c>
      <c r="H620" s="32">
        <v>0</v>
      </c>
      <c r="I620" s="32">
        <v>0</v>
      </c>
      <c r="J620" s="32">
        <v>0</v>
      </c>
      <c r="K620" s="32">
        <v>0</v>
      </c>
      <c r="L620" s="32">
        <v>24800</v>
      </c>
    </row>
    <row r="621" spans="1:12" x14ac:dyDescent="0.25">
      <c r="A621" s="30" t="s">
        <v>1407</v>
      </c>
      <c r="B621" s="30" t="s">
        <v>1408</v>
      </c>
      <c r="C621" s="32">
        <v>18586</v>
      </c>
      <c r="D621" s="32">
        <v>0</v>
      </c>
      <c r="E621" s="32">
        <v>0</v>
      </c>
      <c r="F621" s="32">
        <v>0</v>
      </c>
      <c r="G621" s="32">
        <v>0</v>
      </c>
      <c r="H621" s="32">
        <v>0</v>
      </c>
      <c r="I621" s="32">
        <v>0</v>
      </c>
      <c r="J621" s="32">
        <v>0</v>
      </c>
      <c r="K621" s="32">
        <v>0</v>
      </c>
      <c r="L621" s="32">
        <v>18586</v>
      </c>
    </row>
    <row r="622" spans="1:12" x14ac:dyDescent="0.25">
      <c r="A622" s="48"/>
      <c r="B622" s="49" t="s">
        <v>1409</v>
      </c>
      <c r="C622" s="50">
        <f t="shared" ref="C622:L622" si="223">C610+C617+C618+C619</f>
        <v>20082715.16</v>
      </c>
      <c r="D622" s="50">
        <f t="shared" si="223"/>
        <v>11529948.99</v>
      </c>
      <c r="E622" s="50">
        <f t="shared" si="223"/>
        <v>49870</v>
      </c>
      <c r="F622" s="50">
        <f t="shared" si="223"/>
        <v>81486</v>
      </c>
      <c r="G622" s="50">
        <f t="shared" si="223"/>
        <v>2951911</v>
      </c>
      <c r="H622" s="50">
        <f t="shared" si="223"/>
        <v>698538</v>
      </c>
      <c r="I622" s="50">
        <f t="shared" si="223"/>
        <v>4188026.17</v>
      </c>
      <c r="J622" s="50">
        <f t="shared" si="223"/>
        <v>539549</v>
      </c>
      <c r="K622" s="50">
        <f t="shared" si="223"/>
        <v>0</v>
      </c>
      <c r="L622" s="50">
        <f t="shared" si="223"/>
        <v>43386</v>
      </c>
    </row>
  </sheetData>
  <mergeCells count="24">
    <mergeCell ref="O2:Q4"/>
    <mergeCell ref="P7:P8"/>
    <mergeCell ref="F6:N6"/>
    <mergeCell ref="O6:Q6"/>
    <mergeCell ref="A608:A609"/>
    <mergeCell ref="B608:B609"/>
    <mergeCell ref="C608:C609"/>
    <mergeCell ref="D608:L608"/>
    <mergeCell ref="A1:Q1"/>
    <mergeCell ref="A6:A8"/>
    <mergeCell ref="B6:B8"/>
    <mergeCell ref="C6:C8"/>
    <mergeCell ref="D6:D8"/>
    <mergeCell ref="E6:E8"/>
    <mergeCell ref="F7:F8"/>
    <mergeCell ref="G7:G8"/>
    <mergeCell ref="H7:H8"/>
    <mergeCell ref="I7:I8"/>
    <mergeCell ref="J7:J8"/>
    <mergeCell ref="K7:K8"/>
    <mergeCell ref="L7:L8"/>
    <mergeCell ref="M7:M8"/>
    <mergeCell ref="N7:N8"/>
    <mergeCell ref="O7:O8"/>
  </mergeCells>
  <pageMargins left="0.39370078740157483" right="0.39370078740157483" top="0.39370078740157483" bottom="0.39370078740157483" header="0.39370078740157483" footer="0.39370078740157483"/>
  <pageSetup paperSize="8" scale="4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2020-04-08T12:33:42Z</cp:lastPrinted>
  <dcterms:created xsi:type="dcterms:W3CDTF">2020-04-08T10:24:29Z</dcterms:created>
  <dcterms:modified xsi:type="dcterms:W3CDTF">2020-04-08T17:43:56Z</dcterms:modified>
</cp:coreProperties>
</file>