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mc:AlternateContent xmlns:mc="http://schemas.openxmlformats.org/markup-compatibility/2006">
    <mc:Choice Requires="x15">
      <x15ac:absPath xmlns:x15ac="http://schemas.microsoft.com/office/spreadsheetml/2010/11/ac" url="C:\Users\imaksvytiene\Desktop\Sav admin MVP_ataskaita_uz_m_2024_2025_05___Nr. AT-\"/>
    </mc:Choice>
  </mc:AlternateContent>
  <xr:revisionPtr revIDLastSave="0" documentId="13_ncr:1_{B84F7172-96E2-4186-8FF0-906C888AB1A3}" xr6:coauthVersionLast="47" xr6:coauthVersionMax="47" xr10:uidLastSave="{00000000-0000-0000-0000-000000000000}"/>
  <bookViews>
    <workbookView xWindow="330" yWindow="0" windowWidth="41670" windowHeight="15345"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2" l="1"/>
  <c r="F12" i="2"/>
  <c r="G12" i="2"/>
  <c r="H12" i="2"/>
  <c r="I12" i="2"/>
  <c r="J12" i="2"/>
  <c r="K12" i="2"/>
  <c r="L12" i="2"/>
  <c r="M12" i="2"/>
  <c r="N12" i="2"/>
  <c r="O12" i="2"/>
  <c r="P12" i="2"/>
  <c r="Q12" i="2"/>
  <c r="R12" i="2"/>
  <c r="S12" i="2"/>
  <c r="T12" i="2"/>
  <c r="U12" i="2"/>
  <c r="V12" i="2"/>
  <c r="W12" i="2"/>
  <c r="X12" i="2"/>
  <c r="E14" i="2"/>
  <c r="F14" i="2"/>
  <c r="G14" i="2"/>
  <c r="H14" i="2"/>
  <c r="I14" i="2"/>
  <c r="J14" i="2"/>
  <c r="K14" i="2"/>
  <c r="L14" i="2"/>
  <c r="M14" i="2"/>
  <c r="N14" i="2"/>
  <c r="O14" i="2"/>
  <c r="P14" i="2"/>
  <c r="Q14" i="2"/>
  <c r="R14" i="2"/>
  <c r="S14" i="2"/>
  <c r="T14" i="2"/>
  <c r="U14" i="2"/>
  <c r="V14" i="2"/>
  <c r="W14" i="2"/>
  <c r="X14" i="2"/>
  <c r="E16" i="2"/>
  <c r="F16" i="2"/>
  <c r="G16" i="2"/>
  <c r="H16" i="2"/>
  <c r="I16" i="2"/>
  <c r="J16" i="2"/>
  <c r="K16" i="2"/>
  <c r="L16" i="2"/>
  <c r="M16" i="2"/>
  <c r="N16" i="2"/>
  <c r="O16" i="2"/>
  <c r="P16" i="2"/>
  <c r="Q16" i="2"/>
  <c r="R16" i="2"/>
  <c r="S16" i="2"/>
  <c r="T16" i="2"/>
  <c r="U16" i="2"/>
  <c r="V16" i="2"/>
  <c r="W16" i="2"/>
  <c r="X16" i="2"/>
  <c r="E18" i="2"/>
  <c r="F18" i="2"/>
  <c r="G18" i="2"/>
  <c r="H18" i="2"/>
  <c r="I18" i="2"/>
  <c r="J18" i="2"/>
  <c r="K18" i="2"/>
  <c r="L18" i="2"/>
  <c r="M18" i="2"/>
  <c r="N18" i="2"/>
  <c r="O18" i="2"/>
  <c r="P18" i="2"/>
  <c r="Q18" i="2"/>
  <c r="R18" i="2"/>
  <c r="S18" i="2"/>
  <c r="T18" i="2"/>
  <c r="U18" i="2"/>
  <c r="V18" i="2"/>
  <c r="W18" i="2"/>
  <c r="X18" i="2"/>
  <c r="E22" i="2"/>
  <c r="F22" i="2"/>
  <c r="G22" i="2"/>
  <c r="H22" i="2"/>
  <c r="I22" i="2"/>
  <c r="J22" i="2"/>
  <c r="K22" i="2"/>
  <c r="L22" i="2"/>
  <c r="M22" i="2"/>
  <c r="N22" i="2"/>
  <c r="O22" i="2"/>
  <c r="P22" i="2"/>
  <c r="Q22" i="2"/>
  <c r="R22" i="2"/>
  <c r="S22" i="2"/>
  <c r="T22" i="2"/>
  <c r="U22" i="2"/>
  <c r="V22" i="2"/>
  <c r="W22" i="2"/>
  <c r="X22" i="2"/>
  <c r="E24" i="2"/>
  <c r="F24" i="2"/>
  <c r="G24" i="2"/>
  <c r="H24" i="2"/>
  <c r="I24" i="2"/>
  <c r="J24" i="2"/>
  <c r="K24" i="2"/>
  <c r="L24" i="2"/>
  <c r="M24" i="2"/>
  <c r="N24" i="2"/>
  <c r="O24" i="2"/>
  <c r="P24" i="2"/>
  <c r="Q24" i="2"/>
  <c r="R24" i="2"/>
  <c r="S24" i="2"/>
  <c r="T24" i="2"/>
  <c r="U24" i="2"/>
  <c r="V24" i="2"/>
  <c r="W24" i="2"/>
  <c r="X24" i="2"/>
  <c r="E26" i="2"/>
  <c r="F26" i="2"/>
  <c r="G26" i="2"/>
  <c r="H26" i="2"/>
  <c r="I26" i="2"/>
  <c r="J26" i="2"/>
  <c r="K26" i="2"/>
  <c r="L26" i="2"/>
  <c r="M26" i="2"/>
  <c r="N26" i="2"/>
  <c r="O26" i="2"/>
  <c r="P26" i="2"/>
  <c r="Q26" i="2"/>
  <c r="R26" i="2"/>
  <c r="S26" i="2"/>
  <c r="T26" i="2"/>
  <c r="U26" i="2"/>
  <c r="V26" i="2"/>
  <c r="W26" i="2"/>
  <c r="X26" i="2"/>
  <c r="E28" i="2"/>
  <c r="F28" i="2"/>
  <c r="G28" i="2"/>
  <c r="H28" i="2"/>
  <c r="I28" i="2"/>
  <c r="J28" i="2"/>
  <c r="K28" i="2"/>
  <c r="L28" i="2"/>
  <c r="M28" i="2"/>
  <c r="N28" i="2"/>
  <c r="O28" i="2"/>
  <c r="P28" i="2"/>
  <c r="Q28" i="2"/>
  <c r="R28" i="2"/>
  <c r="S28" i="2"/>
  <c r="T28" i="2"/>
  <c r="U28" i="2"/>
  <c r="V28" i="2"/>
  <c r="W28" i="2"/>
  <c r="X28" i="2"/>
  <c r="E30" i="2"/>
  <c r="F30" i="2"/>
  <c r="G30" i="2"/>
  <c r="H30" i="2"/>
  <c r="I30" i="2"/>
  <c r="J30" i="2"/>
  <c r="K30" i="2"/>
  <c r="L30" i="2"/>
  <c r="M30" i="2"/>
  <c r="N30" i="2"/>
  <c r="O30" i="2"/>
  <c r="P30" i="2"/>
  <c r="Q30" i="2"/>
  <c r="R30" i="2"/>
  <c r="S30" i="2"/>
  <c r="T30" i="2"/>
  <c r="U30" i="2"/>
  <c r="V30" i="2"/>
  <c r="W30" i="2"/>
  <c r="X30" i="2"/>
  <c r="E32" i="2"/>
  <c r="F32" i="2"/>
  <c r="G32" i="2"/>
  <c r="H32" i="2"/>
  <c r="I32" i="2"/>
  <c r="J32" i="2"/>
  <c r="K32" i="2"/>
  <c r="L32" i="2"/>
  <c r="M32" i="2"/>
  <c r="N32" i="2"/>
  <c r="O32" i="2"/>
  <c r="P32" i="2"/>
  <c r="Q32" i="2"/>
  <c r="R32" i="2"/>
  <c r="S32" i="2"/>
  <c r="T32" i="2"/>
  <c r="U32" i="2"/>
  <c r="V32" i="2"/>
  <c r="W32" i="2"/>
  <c r="X32" i="2"/>
  <c r="E34" i="2"/>
  <c r="F34" i="2"/>
  <c r="G34" i="2"/>
  <c r="H34" i="2"/>
  <c r="I34" i="2"/>
  <c r="J34" i="2"/>
  <c r="K34" i="2"/>
  <c r="L34" i="2"/>
  <c r="M34" i="2"/>
  <c r="N34" i="2"/>
  <c r="O34" i="2"/>
  <c r="P34" i="2"/>
  <c r="Q34" i="2"/>
  <c r="R34" i="2"/>
  <c r="S34" i="2"/>
  <c r="T34" i="2"/>
  <c r="U34" i="2"/>
  <c r="V34" i="2"/>
  <c r="W34" i="2"/>
  <c r="X34" i="2"/>
  <c r="E36" i="2"/>
  <c r="F36" i="2"/>
  <c r="G36" i="2"/>
  <c r="H36" i="2"/>
  <c r="I36" i="2"/>
  <c r="J36" i="2"/>
  <c r="K36" i="2"/>
  <c r="L36" i="2"/>
  <c r="M36" i="2"/>
  <c r="N36" i="2"/>
  <c r="O36" i="2"/>
  <c r="P36" i="2"/>
  <c r="Q36" i="2"/>
  <c r="R36" i="2"/>
  <c r="S36" i="2"/>
  <c r="T36" i="2"/>
  <c r="U36" i="2"/>
  <c r="V36" i="2"/>
  <c r="W36" i="2"/>
  <c r="X36" i="2"/>
  <c r="E38" i="2"/>
  <c r="F38" i="2"/>
  <c r="G38" i="2"/>
  <c r="H38" i="2"/>
  <c r="I38" i="2"/>
  <c r="J38" i="2"/>
  <c r="K38" i="2"/>
  <c r="L38" i="2"/>
  <c r="M38" i="2"/>
  <c r="N38" i="2"/>
  <c r="O38" i="2"/>
  <c r="P38" i="2"/>
  <c r="Q38" i="2"/>
  <c r="R38" i="2"/>
  <c r="S38" i="2"/>
  <c r="T38" i="2"/>
  <c r="U38" i="2"/>
  <c r="V38" i="2"/>
  <c r="W38" i="2"/>
  <c r="X38" i="2"/>
  <c r="E41" i="2"/>
  <c r="F41" i="2"/>
  <c r="G41" i="2"/>
  <c r="G40" i="2" s="1"/>
  <c r="H41" i="2"/>
  <c r="H40" i="2" s="1"/>
  <c r="I41" i="2"/>
  <c r="J41" i="2"/>
  <c r="K41" i="2"/>
  <c r="L41" i="2"/>
  <c r="M41" i="2"/>
  <c r="M40" i="2" s="1"/>
  <c r="N41" i="2"/>
  <c r="O41" i="2"/>
  <c r="O40" i="2" s="1"/>
  <c r="P41" i="2"/>
  <c r="P40" i="2" s="1"/>
  <c r="Q41" i="2"/>
  <c r="R41" i="2"/>
  <c r="S41" i="2"/>
  <c r="T41" i="2"/>
  <c r="U41" i="2"/>
  <c r="U40" i="2" s="1"/>
  <c r="V41" i="2"/>
  <c r="V40" i="2" s="1"/>
  <c r="W41" i="2"/>
  <c r="X41" i="2"/>
  <c r="E43" i="2"/>
  <c r="F43" i="2"/>
  <c r="G43" i="2"/>
  <c r="H43" i="2"/>
  <c r="I43" i="2"/>
  <c r="I40" i="2" s="1"/>
  <c r="J43" i="2"/>
  <c r="K43" i="2"/>
  <c r="L43" i="2"/>
  <c r="M43" i="2"/>
  <c r="N43" i="2"/>
  <c r="O43" i="2"/>
  <c r="P43" i="2"/>
  <c r="Q43" i="2"/>
  <c r="Q40" i="2" s="1"/>
  <c r="R43" i="2"/>
  <c r="S43" i="2"/>
  <c r="T43" i="2"/>
  <c r="U43" i="2"/>
  <c r="V43" i="2"/>
  <c r="W43" i="2"/>
  <c r="X43" i="2"/>
  <c r="H46" i="2"/>
  <c r="H45" i="2" s="1"/>
  <c r="I46" i="2"/>
  <c r="I45" i="2" s="1"/>
  <c r="E47" i="2"/>
  <c r="E46" i="2" s="1"/>
  <c r="E45" i="2" s="1"/>
  <c r="F47" i="2"/>
  <c r="F46" i="2" s="1"/>
  <c r="F45" i="2" s="1"/>
  <c r="G47" i="2"/>
  <c r="G46" i="2" s="1"/>
  <c r="G45" i="2" s="1"/>
  <c r="H47" i="2"/>
  <c r="I47" i="2"/>
  <c r="J47" i="2"/>
  <c r="J46" i="2" s="1"/>
  <c r="J45" i="2" s="1"/>
  <c r="K47" i="2"/>
  <c r="K46" i="2" s="1"/>
  <c r="K45" i="2" s="1"/>
  <c r="L47" i="2"/>
  <c r="L46" i="2" s="1"/>
  <c r="L45" i="2" s="1"/>
  <c r="M47" i="2"/>
  <c r="M46" i="2" s="1"/>
  <c r="M45" i="2" s="1"/>
  <c r="N47" i="2"/>
  <c r="N46" i="2" s="1"/>
  <c r="N45" i="2" s="1"/>
  <c r="O47" i="2"/>
  <c r="O46" i="2" s="1"/>
  <c r="O45" i="2" s="1"/>
  <c r="P47" i="2"/>
  <c r="P46" i="2" s="1"/>
  <c r="P45" i="2" s="1"/>
  <c r="Q47" i="2"/>
  <c r="Q46" i="2" s="1"/>
  <c r="Q45" i="2" s="1"/>
  <c r="R47" i="2"/>
  <c r="R46" i="2" s="1"/>
  <c r="R45" i="2" s="1"/>
  <c r="S47" i="2"/>
  <c r="S46" i="2" s="1"/>
  <c r="S45" i="2" s="1"/>
  <c r="T47" i="2"/>
  <c r="T46" i="2" s="1"/>
  <c r="T45" i="2" s="1"/>
  <c r="U47" i="2"/>
  <c r="U46" i="2" s="1"/>
  <c r="U45" i="2" s="1"/>
  <c r="V47" i="2"/>
  <c r="V46" i="2" s="1"/>
  <c r="V45" i="2" s="1"/>
  <c r="W47" i="2"/>
  <c r="W46" i="2" s="1"/>
  <c r="W45" i="2" s="1"/>
  <c r="X47" i="2"/>
  <c r="X46" i="2" s="1"/>
  <c r="X45" i="2" s="1"/>
  <c r="E51" i="2"/>
  <c r="E50" i="2" s="1"/>
  <c r="E49"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O51" i="2"/>
  <c r="O50" i="2" s="1"/>
  <c r="O49" i="2" s="1"/>
  <c r="P51" i="2"/>
  <c r="P50" i="2" s="1"/>
  <c r="P49" i="2" s="1"/>
  <c r="Q51" i="2"/>
  <c r="Q50" i="2" s="1"/>
  <c r="Q49" i="2" s="1"/>
  <c r="R51" i="2"/>
  <c r="R50" i="2" s="1"/>
  <c r="R49" i="2" s="1"/>
  <c r="S51" i="2"/>
  <c r="S50" i="2" s="1"/>
  <c r="S49" i="2" s="1"/>
  <c r="T51" i="2"/>
  <c r="T50" i="2" s="1"/>
  <c r="T49" i="2" s="1"/>
  <c r="U51" i="2"/>
  <c r="U50" i="2" s="1"/>
  <c r="U49" i="2" s="1"/>
  <c r="V51" i="2"/>
  <c r="V50" i="2" s="1"/>
  <c r="V49" i="2" s="1"/>
  <c r="W51" i="2"/>
  <c r="W50" i="2" s="1"/>
  <c r="W49" i="2" s="1"/>
  <c r="X51" i="2"/>
  <c r="X50" i="2" s="1"/>
  <c r="X49" i="2" s="1"/>
  <c r="E55" i="2"/>
  <c r="F55" i="2"/>
  <c r="G55" i="2"/>
  <c r="H55" i="2"/>
  <c r="I55" i="2"/>
  <c r="J55" i="2"/>
  <c r="J54" i="2" s="1"/>
  <c r="K55" i="2"/>
  <c r="L55" i="2"/>
  <c r="M55" i="2"/>
  <c r="N55" i="2"/>
  <c r="O55" i="2"/>
  <c r="P55" i="2"/>
  <c r="Q55" i="2"/>
  <c r="R55" i="2"/>
  <c r="R54" i="2" s="1"/>
  <c r="S55" i="2"/>
  <c r="T55" i="2"/>
  <c r="U55" i="2"/>
  <c r="V55" i="2"/>
  <c r="W55" i="2"/>
  <c r="X55" i="2"/>
  <c r="E58" i="2"/>
  <c r="F58" i="2"/>
  <c r="G58" i="2"/>
  <c r="H58" i="2"/>
  <c r="H54" i="2" s="1"/>
  <c r="H53" i="2" s="1"/>
  <c r="I58" i="2"/>
  <c r="J58" i="2"/>
  <c r="K58" i="2"/>
  <c r="L58" i="2"/>
  <c r="M58" i="2"/>
  <c r="N58" i="2"/>
  <c r="O58" i="2"/>
  <c r="P58" i="2"/>
  <c r="P54" i="2" s="1"/>
  <c r="Q58" i="2"/>
  <c r="R58" i="2"/>
  <c r="S58" i="2"/>
  <c r="T58" i="2"/>
  <c r="U58" i="2"/>
  <c r="V58" i="2"/>
  <c r="V54" i="2" s="1"/>
  <c r="V53" i="2" s="1"/>
  <c r="W58" i="2"/>
  <c r="W54" i="2" s="1"/>
  <c r="X58" i="2"/>
  <c r="X54" i="2" s="1"/>
  <c r="E61" i="2"/>
  <c r="E60" i="2" s="1"/>
  <c r="F61" i="2"/>
  <c r="F60" i="2" s="1"/>
  <c r="G61" i="2"/>
  <c r="G60" i="2" s="1"/>
  <c r="H61" i="2"/>
  <c r="H60" i="2" s="1"/>
  <c r="I61" i="2"/>
  <c r="I60" i="2" s="1"/>
  <c r="J61" i="2"/>
  <c r="J60" i="2" s="1"/>
  <c r="K61" i="2"/>
  <c r="K60" i="2" s="1"/>
  <c r="L61" i="2"/>
  <c r="L60" i="2" s="1"/>
  <c r="M61" i="2"/>
  <c r="M60" i="2" s="1"/>
  <c r="N61" i="2"/>
  <c r="N60" i="2" s="1"/>
  <c r="O61" i="2"/>
  <c r="O60" i="2" s="1"/>
  <c r="P61" i="2"/>
  <c r="P60" i="2" s="1"/>
  <c r="Q61" i="2"/>
  <c r="Q60" i="2" s="1"/>
  <c r="R61" i="2"/>
  <c r="R60" i="2" s="1"/>
  <c r="S61" i="2"/>
  <c r="S60" i="2" s="1"/>
  <c r="T61" i="2"/>
  <c r="T60" i="2" s="1"/>
  <c r="U61" i="2"/>
  <c r="U60" i="2" s="1"/>
  <c r="V61" i="2"/>
  <c r="V60" i="2" s="1"/>
  <c r="W61" i="2"/>
  <c r="W60" i="2" s="1"/>
  <c r="X61" i="2"/>
  <c r="X60" i="2" s="1"/>
  <c r="E68" i="2"/>
  <c r="E67" i="2" s="1"/>
  <c r="E66"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M66" i="2" s="1"/>
  <c r="N68" i="2"/>
  <c r="N67" i="2" s="1"/>
  <c r="N66" i="2" s="1"/>
  <c r="O68" i="2"/>
  <c r="O67" i="2" s="1"/>
  <c r="O66" i="2" s="1"/>
  <c r="P68" i="2"/>
  <c r="P67" i="2" s="1"/>
  <c r="P66" i="2" s="1"/>
  <c r="Q68" i="2"/>
  <c r="Q67" i="2" s="1"/>
  <c r="Q66" i="2" s="1"/>
  <c r="R68" i="2"/>
  <c r="R67" i="2" s="1"/>
  <c r="R66" i="2" s="1"/>
  <c r="S68" i="2"/>
  <c r="S67" i="2" s="1"/>
  <c r="S66" i="2" s="1"/>
  <c r="T68" i="2"/>
  <c r="T67" i="2" s="1"/>
  <c r="T66" i="2" s="1"/>
  <c r="U68" i="2"/>
  <c r="U67" i="2" s="1"/>
  <c r="U66" i="2" s="1"/>
  <c r="V68" i="2"/>
  <c r="V67" i="2" s="1"/>
  <c r="V66" i="2" s="1"/>
  <c r="W68" i="2"/>
  <c r="W67" i="2" s="1"/>
  <c r="W66" i="2" s="1"/>
  <c r="X68" i="2"/>
  <c r="X67" i="2" s="1"/>
  <c r="X66" i="2" s="1"/>
  <c r="E74" i="2"/>
  <c r="F74" i="2"/>
  <c r="G74" i="2"/>
  <c r="H74" i="2"/>
  <c r="I74" i="2"/>
  <c r="J74" i="2"/>
  <c r="J73" i="2" s="1"/>
  <c r="J72" i="2" s="1"/>
  <c r="K74" i="2"/>
  <c r="L74" i="2"/>
  <c r="M74" i="2"/>
  <c r="N74" i="2"/>
  <c r="O74" i="2"/>
  <c r="P74" i="2"/>
  <c r="Q74" i="2"/>
  <c r="R74" i="2"/>
  <c r="S74" i="2"/>
  <c r="T74" i="2"/>
  <c r="U74" i="2"/>
  <c r="V74" i="2"/>
  <c r="W74" i="2"/>
  <c r="X74" i="2"/>
  <c r="E76" i="2"/>
  <c r="E73" i="2" s="1"/>
  <c r="E72" i="2" s="1"/>
  <c r="F76" i="2"/>
  <c r="G76" i="2"/>
  <c r="H76" i="2"/>
  <c r="I76" i="2"/>
  <c r="J76" i="2"/>
  <c r="K76" i="2"/>
  <c r="L76" i="2"/>
  <c r="M76" i="2"/>
  <c r="M73" i="2" s="1"/>
  <c r="M72" i="2" s="1"/>
  <c r="N76" i="2"/>
  <c r="O76" i="2"/>
  <c r="P76" i="2"/>
  <c r="Q76" i="2"/>
  <c r="R76" i="2"/>
  <c r="S76" i="2"/>
  <c r="T76" i="2"/>
  <c r="U76" i="2"/>
  <c r="U73" i="2" s="1"/>
  <c r="U72" i="2" s="1"/>
  <c r="V76" i="2"/>
  <c r="W76" i="2"/>
  <c r="X76" i="2"/>
  <c r="E80" i="2"/>
  <c r="E79" i="2" s="1"/>
  <c r="E78" i="2" s="1"/>
  <c r="F80" i="2"/>
  <c r="F79" i="2" s="1"/>
  <c r="F78" i="2" s="1"/>
  <c r="G80" i="2"/>
  <c r="G79" i="2" s="1"/>
  <c r="G78" i="2" s="1"/>
  <c r="H80" i="2"/>
  <c r="H79" i="2" s="1"/>
  <c r="H78" i="2" s="1"/>
  <c r="I80" i="2"/>
  <c r="I79" i="2" s="1"/>
  <c r="I78" i="2" s="1"/>
  <c r="J80" i="2"/>
  <c r="J79" i="2" s="1"/>
  <c r="J78" i="2" s="1"/>
  <c r="K80" i="2"/>
  <c r="K79" i="2" s="1"/>
  <c r="K78" i="2" s="1"/>
  <c r="L80" i="2"/>
  <c r="L79" i="2" s="1"/>
  <c r="L78" i="2" s="1"/>
  <c r="M80" i="2"/>
  <c r="M79" i="2" s="1"/>
  <c r="M78" i="2" s="1"/>
  <c r="N80" i="2"/>
  <c r="N79" i="2" s="1"/>
  <c r="N78" i="2" s="1"/>
  <c r="O80" i="2"/>
  <c r="O79" i="2" s="1"/>
  <c r="O78" i="2" s="1"/>
  <c r="P80" i="2"/>
  <c r="P79" i="2" s="1"/>
  <c r="P78" i="2" s="1"/>
  <c r="Q80" i="2"/>
  <c r="Q79" i="2" s="1"/>
  <c r="Q78" i="2" s="1"/>
  <c r="R80" i="2"/>
  <c r="R79" i="2" s="1"/>
  <c r="R78" i="2" s="1"/>
  <c r="S80" i="2"/>
  <c r="S79" i="2" s="1"/>
  <c r="S78" i="2" s="1"/>
  <c r="T80" i="2"/>
  <c r="T79" i="2" s="1"/>
  <c r="T78" i="2" s="1"/>
  <c r="U80" i="2"/>
  <c r="U79" i="2" s="1"/>
  <c r="U78" i="2" s="1"/>
  <c r="V80" i="2"/>
  <c r="V79" i="2" s="1"/>
  <c r="V78" i="2" s="1"/>
  <c r="W80" i="2"/>
  <c r="W79" i="2" s="1"/>
  <c r="W78" i="2" s="1"/>
  <c r="X80" i="2"/>
  <c r="X79" i="2" s="1"/>
  <c r="X78" i="2" s="1"/>
  <c r="E84" i="2"/>
  <c r="F84" i="2"/>
  <c r="G84" i="2"/>
  <c r="H84" i="2"/>
  <c r="I84" i="2"/>
  <c r="J84" i="2"/>
  <c r="K84" i="2"/>
  <c r="L84" i="2"/>
  <c r="M84" i="2"/>
  <c r="N84" i="2"/>
  <c r="O84" i="2"/>
  <c r="P84" i="2"/>
  <c r="Q84" i="2"/>
  <c r="R84" i="2"/>
  <c r="S84" i="2"/>
  <c r="T84" i="2"/>
  <c r="U84" i="2"/>
  <c r="V84" i="2"/>
  <c r="W84" i="2"/>
  <c r="X84" i="2"/>
  <c r="E86" i="2"/>
  <c r="F86" i="2"/>
  <c r="G86" i="2"/>
  <c r="H86" i="2"/>
  <c r="I86" i="2"/>
  <c r="J86" i="2"/>
  <c r="K86" i="2"/>
  <c r="L86" i="2"/>
  <c r="M86" i="2"/>
  <c r="N86" i="2"/>
  <c r="O86" i="2"/>
  <c r="P86" i="2"/>
  <c r="Q86" i="2"/>
  <c r="R86" i="2"/>
  <c r="S86" i="2"/>
  <c r="T86" i="2"/>
  <c r="U86" i="2"/>
  <c r="V86" i="2"/>
  <c r="W86" i="2"/>
  <c r="W83" i="2" s="1"/>
  <c r="W82" i="2" s="1"/>
  <c r="X86" i="2"/>
  <c r="E91" i="2"/>
  <c r="E90" i="2" s="1"/>
  <c r="F91" i="2"/>
  <c r="F90" i="2" s="1"/>
  <c r="G91" i="2"/>
  <c r="G90" i="2" s="1"/>
  <c r="H91" i="2"/>
  <c r="H90" i="2" s="1"/>
  <c r="I91" i="2"/>
  <c r="I90" i="2" s="1"/>
  <c r="J91" i="2"/>
  <c r="J90" i="2" s="1"/>
  <c r="K91" i="2"/>
  <c r="K90" i="2" s="1"/>
  <c r="L91" i="2"/>
  <c r="L90" i="2" s="1"/>
  <c r="M91" i="2"/>
  <c r="M90" i="2" s="1"/>
  <c r="N91" i="2"/>
  <c r="N90" i="2" s="1"/>
  <c r="O91" i="2"/>
  <c r="O90" i="2" s="1"/>
  <c r="P91" i="2"/>
  <c r="P90" i="2" s="1"/>
  <c r="Q91" i="2"/>
  <c r="Q90" i="2" s="1"/>
  <c r="R91" i="2"/>
  <c r="R90" i="2" s="1"/>
  <c r="S91" i="2"/>
  <c r="S90" i="2" s="1"/>
  <c r="T91" i="2"/>
  <c r="T90" i="2" s="1"/>
  <c r="U91" i="2"/>
  <c r="U90" i="2" s="1"/>
  <c r="V91" i="2"/>
  <c r="V90" i="2" s="1"/>
  <c r="W91" i="2"/>
  <c r="W90" i="2" s="1"/>
  <c r="X91" i="2"/>
  <c r="X90" i="2" s="1"/>
  <c r="E96" i="2"/>
  <c r="F96" i="2"/>
  <c r="G96" i="2"/>
  <c r="H96" i="2"/>
  <c r="I96" i="2"/>
  <c r="J96" i="2"/>
  <c r="K96" i="2"/>
  <c r="L96" i="2"/>
  <c r="M96" i="2"/>
  <c r="N96" i="2"/>
  <c r="O96" i="2"/>
  <c r="P96" i="2"/>
  <c r="Q96" i="2"/>
  <c r="R96" i="2"/>
  <c r="S96" i="2"/>
  <c r="T96" i="2"/>
  <c r="U96" i="2"/>
  <c r="V96" i="2"/>
  <c r="W96" i="2"/>
  <c r="X96" i="2"/>
  <c r="E98" i="2"/>
  <c r="F98" i="2"/>
  <c r="G98" i="2"/>
  <c r="H98" i="2"/>
  <c r="I98" i="2"/>
  <c r="J98" i="2"/>
  <c r="K98" i="2"/>
  <c r="L98" i="2"/>
  <c r="M98" i="2"/>
  <c r="N98" i="2"/>
  <c r="O98" i="2"/>
  <c r="P98" i="2"/>
  <c r="Q98" i="2"/>
  <c r="R98" i="2"/>
  <c r="S98" i="2"/>
  <c r="T98" i="2"/>
  <c r="U98" i="2"/>
  <c r="V98" i="2"/>
  <c r="W98" i="2"/>
  <c r="X98" i="2"/>
  <c r="E100" i="2"/>
  <c r="F100" i="2"/>
  <c r="G100" i="2"/>
  <c r="H100" i="2"/>
  <c r="I100" i="2"/>
  <c r="J100" i="2"/>
  <c r="K100" i="2"/>
  <c r="L100" i="2"/>
  <c r="M100" i="2"/>
  <c r="N100" i="2"/>
  <c r="O100" i="2"/>
  <c r="P100" i="2"/>
  <c r="Q100" i="2"/>
  <c r="R100" i="2"/>
  <c r="S100" i="2"/>
  <c r="T100" i="2"/>
  <c r="U100" i="2"/>
  <c r="V100" i="2"/>
  <c r="W100" i="2"/>
  <c r="X100" i="2"/>
  <c r="E102" i="2"/>
  <c r="F102" i="2"/>
  <c r="G102" i="2"/>
  <c r="H102" i="2"/>
  <c r="I102" i="2"/>
  <c r="J102" i="2"/>
  <c r="K102" i="2"/>
  <c r="L102" i="2"/>
  <c r="M102" i="2"/>
  <c r="N102" i="2"/>
  <c r="O102" i="2"/>
  <c r="P102" i="2"/>
  <c r="Q102" i="2"/>
  <c r="R102" i="2"/>
  <c r="S102" i="2"/>
  <c r="T102" i="2"/>
  <c r="U102" i="2"/>
  <c r="V102" i="2"/>
  <c r="W102" i="2"/>
  <c r="X102" i="2"/>
  <c r="E104" i="2"/>
  <c r="F104" i="2"/>
  <c r="G104" i="2"/>
  <c r="H104" i="2"/>
  <c r="I104" i="2"/>
  <c r="J104" i="2"/>
  <c r="K104" i="2"/>
  <c r="L104" i="2"/>
  <c r="M104" i="2"/>
  <c r="N104" i="2"/>
  <c r="O104" i="2"/>
  <c r="P104" i="2"/>
  <c r="Q104" i="2"/>
  <c r="R104" i="2"/>
  <c r="S104" i="2"/>
  <c r="T104" i="2"/>
  <c r="U104" i="2"/>
  <c r="V104" i="2"/>
  <c r="W104" i="2"/>
  <c r="X104" i="2"/>
  <c r="E106" i="2"/>
  <c r="F106" i="2"/>
  <c r="G106" i="2"/>
  <c r="H106" i="2"/>
  <c r="I106" i="2"/>
  <c r="J106" i="2"/>
  <c r="K106" i="2"/>
  <c r="L106" i="2"/>
  <c r="M106" i="2"/>
  <c r="N106" i="2"/>
  <c r="O106" i="2"/>
  <c r="P106" i="2"/>
  <c r="Q106" i="2"/>
  <c r="R106" i="2"/>
  <c r="S106" i="2"/>
  <c r="T106" i="2"/>
  <c r="U106" i="2"/>
  <c r="V106" i="2"/>
  <c r="W106" i="2"/>
  <c r="X106" i="2"/>
  <c r="E108" i="2"/>
  <c r="F108" i="2"/>
  <c r="G108" i="2"/>
  <c r="H108" i="2"/>
  <c r="I108" i="2"/>
  <c r="J108" i="2"/>
  <c r="K108" i="2"/>
  <c r="L108" i="2"/>
  <c r="M108" i="2"/>
  <c r="N108" i="2"/>
  <c r="O108" i="2"/>
  <c r="P108" i="2"/>
  <c r="Q108" i="2"/>
  <c r="R108" i="2"/>
  <c r="S108" i="2"/>
  <c r="T108" i="2"/>
  <c r="U108" i="2"/>
  <c r="V108" i="2"/>
  <c r="W108" i="2"/>
  <c r="X108" i="2"/>
  <c r="E111" i="2"/>
  <c r="F111" i="2"/>
  <c r="G111" i="2"/>
  <c r="H111" i="2"/>
  <c r="I111" i="2"/>
  <c r="J111" i="2"/>
  <c r="K111" i="2"/>
  <c r="L111" i="2"/>
  <c r="M111" i="2"/>
  <c r="N111" i="2"/>
  <c r="O111" i="2"/>
  <c r="P111" i="2"/>
  <c r="Q111" i="2"/>
  <c r="R111" i="2"/>
  <c r="S111" i="2"/>
  <c r="T111" i="2"/>
  <c r="U111" i="2"/>
  <c r="V111" i="2"/>
  <c r="W111" i="2"/>
  <c r="X111" i="2"/>
  <c r="E113" i="2"/>
  <c r="F113" i="2"/>
  <c r="G113" i="2"/>
  <c r="H113" i="2"/>
  <c r="I113" i="2"/>
  <c r="J113" i="2"/>
  <c r="K113" i="2"/>
  <c r="L113" i="2"/>
  <c r="M113" i="2"/>
  <c r="N113" i="2"/>
  <c r="O113" i="2"/>
  <c r="P113" i="2"/>
  <c r="Q113" i="2"/>
  <c r="R113" i="2"/>
  <c r="S113" i="2"/>
  <c r="T113" i="2"/>
  <c r="U113" i="2"/>
  <c r="V113" i="2"/>
  <c r="W113" i="2"/>
  <c r="X113" i="2"/>
  <c r="E115" i="2"/>
  <c r="F115" i="2"/>
  <c r="G115" i="2"/>
  <c r="H115" i="2"/>
  <c r="I115" i="2"/>
  <c r="J115" i="2"/>
  <c r="K115" i="2"/>
  <c r="L115" i="2"/>
  <c r="M115" i="2"/>
  <c r="N115" i="2"/>
  <c r="O115" i="2"/>
  <c r="P115" i="2"/>
  <c r="Q115" i="2"/>
  <c r="R115" i="2"/>
  <c r="S115" i="2"/>
  <c r="T115" i="2"/>
  <c r="U115" i="2"/>
  <c r="V115" i="2"/>
  <c r="W115" i="2"/>
  <c r="X115" i="2"/>
  <c r="E119" i="2"/>
  <c r="E118" i="2" s="1"/>
  <c r="E117" i="2" s="1"/>
  <c r="F119" i="2"/>
  <c r="F118" i="2" s="1"/>
  <c r="F117" i="2" s="1"/>
  <c r="G119" i="2"/>
  <c r="G118" i="2" s="1"/>
  <c r="G117" i="2" s="1"/>
  <c r="H119" i="2"/>
  <c r="H118" i="2" s="1"/>
  <c r="H117" i="2" s="1"/>
  <c r="I119" i="2"/>
  <c r="I118" i="2" s="1"/>
  <c r="I117" i="2" s="1"/>
  <c r="J119" i="2"/>
  <c r="J118" i="2" s="1"/>
  <c r="J117" i="2" s="1"/>
  <c r="K119" i="2"/>
  <c r="K118" i="2" s="1"/>
  <c r="K117" i="2" s="1"/>
  <c r="L119" i="2"/>
  <c r="L118" i="2" s="1"/>
  <c r="L117" i="2" s="1"/>
  <c r="M119" i="2"/>
  <c r="M118" i="2" s="1"/>
  <c r="M117" i="2" s="1"/>
  <c r="N119" i="2"/>
  <c r="N118" i="2" s="1"/>
  <c r="N117" i="2" s="1"/>
  <c r="O119" i="2"/>
  <c r="O118" i="2" s="1"/>
  <c r="O117" i="2" s="1"/>
  <c r="P119" i="2"/>
  <c r="P118" i="2" s="1"/>
  <c r="P117" i="2" s="1"/>
  <c r="Q119" i="2"/>
  <c r="Q118" i="2" s="1"/>
  <c r="Q117" i="2" s="1"/>
  <c r="R119" i="2"/>
  <c r="R118" i="2" s="1"/>
  <c r="R117" i="2" s="1"/>
  <c r="S119" i="2"/>
  <c r="S118" i="2" s="1"/>
  <c r="S117" i="2" s="1"/>
  <c r="T119" i="2"/>
  <c r="T118" i="2" s="1"/>
  <c r="T117" i="2" s="1"/>
  <c r="U119" i="2"/>
  <c r="U118" i="2" s="1"/>
  <c r="U117" i="2" s="1"/>
  <c r="V119" i="2"/>
  <c r="V118" i="2" s="1"/>
  <c r="V117" i="2" s="1"/>
  <c r="W119" i="2"/>
  <c r="W118" i="2" s="1"/>
  <c r="W117" i="2" s="1"/>
  <c r="X119" i="2"/>
  <c r="X118" i="2" s="1"/>
  <c r="X117" i="2" s="1"/>
  <c r="E123" i="2"/>
  <c r="E122" i="2" s="1"/>
  <c r="E121" i="2" s="1"/>
  <c r="F123" i="2"/>
  <c r="F122" i="2" s="1"/>
  <c r="F121" i="2" s="1"/>
  <c r="G123" i="2"/>
  <c r="G122" i="2" s="1"/>
  <c r="G121" i="2" s="1"/>
  <c r="H123" i="2"/>
  <c r="H122" i="2" s="1"/>
  <c r="H121" i="2" s="1"/>
  <c r="I123" i="2"/>
  <c r="I122" i="2" s="1"/>
  <c r="I121" i="2" s="1"/>
  <c r="J123" i="2"/>
  <c r="J122" i="2" s="1"/>
  <c r="J121" i="2" s="1"/>
  <c r="K123" i="2"/>
  <c r="K122" i="2" s="1"/>
  <c r="K121" i="2" s="1"/>
  <c r="L123" i="2"/>
  <c r="L122" i="2" s="1"/>
  <c r="L121" i="2" s="1"/>
  <c r="M123" i="2"/>
  <c r="M122" i="2" s="1"/>
  <c r="M121" i="2" s="1"/>
  <c r="N123" i="2"/>
  <c r="N122" i="2" s="1"/>
  <c r="N121" i="2" s="1"/>
  <c r="O123" i="2"/>
  <c r="O122" i="2" s="1"/>
  <c r="O121" i="2" s="1"/>
  <c r="P123" i="2"/>
  <c r="P122" i="2" s="1"/>
  <c r="P121" i="2" s="1"/>
  <c r="Q123" i="2"/>
  <c r="Q122" i="2" s="1"/>
  <c r="Q121" i="2" s="1"/>
  <c r="R123" i="2"/>
  <c r="R122" i="2" s="1"/>
  <c r="R121" i="2" s="1"/>
  <c r="S123" i="2"/>
  <c r="S122" i="2" s="1"/>
  <c r="S121" i="2" s="1"/>
  <c r="T123" i="2"/>
  <c r="T122" i="2" s="1"/>
  <c r="T121" i="2" s="1"/>
  <c r="U123" i="2"/>
  <c r="U122" i="2" s="1"/>
  <c r="U121" i="2" s="1"/>
  <c r="V123" i="2"/>
  <c r="V122" i="2" s="1"/>
  <c r="V121" i="2" s="1"/>
  <c r="W123" i="2"/>
  <c r="W122" i="2" s="1"/>
  <c r="W121" i="2" s="1"/>
  <c r="X123" i="2"/>
  <c r="X122" i="2" s="1"/>
  <c r="X121" i="2" s="1"/>
  <c r="E128" i="2"/>
  <c r="F128" i="2"/>
  <c r="F126" i="2" s="1"/>
  <c r="F125" i="2" s="1"/>
  <c r="G128" i="2"/>
  <c r="H128" i="2"/>
  <c r="I128" i="2"/>
  <c r="J128" i="2"/>
  <c r="K128" i="2"/>
  <c r="L128" i="2"/>
  <c r="M128" i="2"/>
  <c r="N128" i="2"/>
  <c r="O128" i="2"/>
  <c r="P128" i="2"/>
  <c r="Q128" i="2"/>
  <c r="R128" i="2"/>
  <c r="S128" i="2"/>
  <c r="T128" i="2"/>
  <c r="U128" i="2"/>
  <c r="V128" i="2"/>
  <c r="W128" i="2"/>
  <c r="X128" i="2"/>
  <c r="E130" i="2"/>
  <c r="F130" i="2"/>
  <c r="G130" i="2"/>
  <c r="H130" i="2"/>
  <c r="I130" i="2"/>
  <c r="J130" i="2"/>
  <c r="K130" i="2"/>
  <c r="L130" i="2"/>
  <c r="M130" i="2"/>
  <c r="N130" i="2"/>
  <c r="O130" i="2"/>
  <c r="P130" i="2"/>
  <c r="Q130" i="2"/>
  <c r="R130" i="2"/>
  <c r="S130" i="2"/>
  <c r="T130" i="2"/>
  <c r="U130" i="2"/>
  <c r="V130" i="2"/>
  <c r="W130" i="2"/>
  <c r="X130" i="2"/>
  <c r="E132" i="2"/>
  <c r="F132" i="2"/>
  <c r="G132" i="2"/>
  <c r="H132" i="2"/>
  <c r="I132" i="2"/>
  <c r="J132" i="2"/>
  <c r="K132" i="2"/>
  <c r="L132" i="2"/>
  <c r="M132" i="2"/>
  <c r="N132" i="2"/>
  <c r="O132" i="2"/>
  <c r="P132" i="2"/>
  <c r="Q132" i="2"/>
  <c r="R132" i="2"/>
  <c r="S132" i="2"/>
  <c r="T132" i="2"/>
  <c r="U132" i="2"/>
  <c r="V132" i="2"/>
  <c r="W132" i="2"/>
  <c r="X132" i="2"/>
  <c r="E134" i="2"/>
  <c r="F134" i="2"/>
  <c r="G134" i="2"/>
  <c r="H134" i="2"/>
  <c r="I134" i="2"/>
  <c r="J134" i="2"/>
  <c r="K134" i="2"/>
  <c r="L134" i="2"/>
  <c r="M134" i="2"/>
  <c r="N134" i="2"/>
  <c r="O134" i="2"/>
  <c r="P134" i="2"/>
  <c r="Q134" i="2"/>
  <c r="R134" i="2"/>
  <c r="S134" i="2"/>
  <c r="T134" i="2"/>
  <c r="U134" i="2"/>
  <c r="V134" i="2"/>
  <c r="W134" i="2"/>
  <c r="X134" i="2"/>
  <c r="E136" i="2"/>
  <c r="F136" i="2"/>
  <c r="G136" i="2"/>
  <c r="H136" i="2"/>
  <c r="I136" i="2"/>
  <c r="J136" i="2"/>
  <c r="K136" i="2"/>
  <c r="L136" i="2"/>
  <c r="M136" i="2"/>
  <c r="N136" i="2"/>
  <c r="O136" i="2"/>
  <c r="P136" i="2"/>
  <c r="Q136" i="2"/>
  <c r="R136" i="2"/>
  <c r="S136" i="2"/>
  <c r="T136" i="2"/>
  <c r="U136" i="2"/>
  <c r="V136" i="2"/>
  <c r="W136" i="2"/>
  <c r="X136" i="2"/>
  <c r="E140" i="2"/>
  <c r="F140" i="2"/>
  <c r="G140" i="2"/>
  <c r="H140" i="2"/>
  <c r="I140" i="2"/>
  <c r="J140" i="2"/>
  <c r="K140" i="2"/>
  <c r="L140" i="2"/>
  <c r="M140" i="2"/>
  <c r="N140" i="2"/>
  <c r="O140" i="2"/>
  <c r="P140" i="2"/>
  <c r="Q140" i="2"/>
  <c r="R140" i="2"/>
  <c r="S140" i="2"/>
  <c r="T140" i="2"/>
  <c r="U140" i="2"/>
  <c r="V140" i="2"/>
  <c r="W140" i="2"/>
  <c r="X140" i="2"/>
  <c r="E147" i="2"/>
  <c r="F147" i="2"/>
  <c r="G147" i="2"/>
  <c r="H147" i="2"/>
  <c r="I147" i="2"/>
  <c r="J147" i="2"/>
  <c r="K147" i="2"/>
  <c r="L147" i="2"/>
  <c r="M147" i="2"/>
  <c r="N147" i="2"/>
  <c r="O147" i="2"/>
  <c r="P147" i="2"/>
  <c r="Q147" i="2"/>
  <c r="Q146" i="2" s="1"/>
  <c r="R147" i="2"/>
  <c r="S147" i="2"/>
  <c r="T147" i="2"/>
  <c r="U147" i="2"/>
  <c r="V147" i="2"/>
  <c r="W147" i="2"/>
  <c r="X147" i="2"/>
  <c r="E149" i="2"/>
  <c r="F149" i="2"/>
  <c r="G149" i="2"/>
  <c r="H149" i="2"/>
  <c r="I149" i="2"/>
  <c r="J149" i="2"/>
  <c r="K149" i="2"/>
  <c r="L149" i="2"/>
  <c r="M149" i="2"/>
  <c r="N149" i="2"/>
  <c r="N146" i="2" s="1"/>
  <c r="O149" i="2"/>
  <c r="P149" i="2"/>
  <c r="Q149" i="2"/>
  <c r="R149" i="2"/>
  <c r="S149" i="2"/>
  <c r="T149" i="2"/>
  <c r="U149" i="2"/>
  <c r="U146" i="2" s="1"/>
  <c r="V149" i="2"/>
  <c r="W149" i="2"/>
  <c r="X149" i="2"/>
  <c r="E152" i="2"/>
  <c r="F152" i="2"/>
  <c r="G152" i="2"/>
  <c r="H152" i="2"/>
  <c r="I152" i="2"/>
  <c r="J152" i="2"/>
  <c r="K152" i="2"/>
  <c r="L152" i="2"/>
  <c r="M152" i="2"/>
  <c r="N152" i="2"/>
  <c r="O152" i="2"/>
  <c r="P152" i="2"/>
  <c r="Q152" i="2"/>
  <c r="R152" i="2"/>
  <c r="S152" i="2"/>
  <c r="T152" i="2"/>
  <c r="U152" i="2"/>
  <c r="V152" i="2"/>
  <c r="W152" i="2"/>
  <c r="X152" i="2"/>
  <c r="E154" i="2"/>
  <c r="F154" i="2"/>
  <c r="G154" i="2"/>
  <c r="H154" i="2"/>
  <c r="I154" i="2"/>
  <c r="J154" i="2"/>
  <c r="K154" i="2"/>
  <c r="L154" i="2"/>
  <c r="M154" i="2"/>
  <c r="N154" i="2"/>
  <c r="O154" i="2"/>
  <c r="P154" i="2"/>
  <c r="Q154" i="2"/>
  <c r="R154" i="2"/>
  <c r="S154" i="2"/>
  <c r="T154" i="2"/>
  <c r="U154" i="2"/>
  <c r="V154" i="2"/>
  <c r="W154" i="2"/>
  <c r="X154" i="2"/>
  <c r="E156" i="2"/>
  <c r="F156" i="2"/>
  <c r="G156" i="2"/>
  <c r="H156" i="2"/>
  <c r="I156" i="2"/>
  <c r="J156" i="2"/>
  <c r="K156" i="2"/>
  <c r="L156" i="2"/>
  <c r="M156" i="2"/>
  <c r="N156" i="2"/>
  <c r="O156" i="2"/>
  <c r="P156" i="2"/>
  <c r="Q156" i="2"/>
  <c r="R156" i="2"/>
  <c r="S156" i="2"/>
  <c r="T156" i="2"/>
  <c r="U156" i="2"/>
  <c r="V156" i="2"/>
  <c r="W156" i="2"/>
  <c r="X156" i="2"/>
  <c r="E158" i="2"/>
  <c r="F158" i="2"/>
  <c r="G158" i="2"/>
  <c r="H158" i="2"/>
  <c r="I158" i="2"/>
  <c r="J158" i="2"/>
  <c r="K158" i="2"/>
  <c r="L158" i="2"/>
  <c r="M158" i="2"/>
  <c r="N158" i="2"/>
  <c r="O158" i="2"/>
  <c r="P158" i="2"/>
  <c r="Q158" i="2"/>
  <c r="R158" i="2"/>
  <c r="S158" i="2"/>
  <c r="T158" i="2"/>
  <c r="U158" i="2"/>
  <c r="V158" i="2"/>
  <c r="W158" i="2"/>
  <c r="X158" i="2"/>
  <c r="E160" i="2"/>
  <c r="F160" i="2"/>
  <c r="G160" i="2"/>
  <c r="H160" i="2"/>
  <c r="I160" i="2"/>
  <c r="J160" i="2"/>
  <c r="K160" i="2"/>
  <c r="L160" i="2"/>
  <c r="M160" i="2"/>
  <c r="N160" i="2"/>
  <c r="O160" i="2"/>
  <c r="P160" i="2"/>
  <c r="Q160" i="2"/>
  <c r="R160" i="2"/>
  <c r="S160" i="2"/>
  <c r="T160" i="2"/>
  <c r="U160" i="2"/>
  <c r="V160" i="2"/>
  <c r="W160" i="2"/>
  <c r="X160" i="2"/>
  <c r="E164" i="2"/>
  <c r="E163" i="2" s="1"/>
  <c r="E162" i="2" s="1"/>
  <c r="F164" i="2"/>
  <c r="F163" i="2" s="1"/>
  <c r="F162" i="2" s="1"/>
  <c r="G164" i="2"/>
  <c r="G163" i="2" s="1"/>
  <c r="G162" i="2" s="1"/>
  <c r="H164" i="2"/>
  <c r="H163" i="2" s="1"/>
  <c r="H162" i="2" s="1"/>
  <c r="I164" i="2"/>
  <c r="I163" i="2" s="1"/>
  <c r="I162" i="2" s="1"/>
  <c r="J164" i="2"/>
  <c r="J163" i="2" s="1"/>
  <c r="J162" i="2" s="1"/>
  <c r="K164" i="2"/>
  <c r="K163" i="2" s="1"/>
  <c r="K162" i="2" s="1"/>
  <c r="L164" i="2"/>
  <c r="L163" i="2" s="1"/>
  <c r="L162" i="2" s="1"/>
  <c r="M164" i="2"/>
  <c r="M163" i="2" s="1"/>
  <c r="M162" i="2" s="1"/>
  <c r="N164" i="2"/>
  <c r="N163" i="2" s="1"/>
  <c r="N162" i="2" s="1"/>
  <c r="O164" i="2"/>
  <c r="O163" i="2" s="1"/>
  <c r="O162" i="2" s="1"/>
  <c r="P164" i="2"/>
  <c r="P163" i="2" s="1"/>
  <c r="P162" i="2" s="1"/>
  <c r="Q164" i="2"/>
  <c r="Q163" i="2" s="1"/>
  <c r="Q162" i="2" s="1"/>
  <c r="R164" i="2"/>
  <c r="R163" i="2" s="1"/>
  <c r="R162" i="2" s="1"/>
  <c r="S164" i="2"/>
  <c r="S163" i="2" s="1"/>
  <c r="S162" i="2" s="1"/>
  <c r="T164" i="2"/>
  <c r="T163" i="2" s="1"/>
  <c r="T162" i="2" s="1"/>
  <c r="U164" i="2"/>
  <c r="U163" i="2" s="1"/>
  <c r="U162" i="2" s="1"/>
  <c r="V164" i="2"/>
  <c r="V163" i="2" s="1"/>
  <c r="V162" i="2" s="1"/>
  <c r="W164" i="2"/>
  <c r="W163" i="2" s="1"/>
  <c r="W162" i="2" s="1"/>
  <c r="X164" i="2"/>
  <c r="X163" i="2" s="1"/>
  <c r="X162" i="2" s="1"/>
  <c r="E168" i="2"/>
  <c r="E167" i="2" s="1"/>
  <c r="F168" i="2"/>
  <c r="F167" i="2" s="1"/>
  <c r="G168" i="2"/>
  <c r="G167" i="2" s="1"/>
  <c r="H168" i="2"/>
  <c r="H167" i="2" s="1"/>
  <c r="I168" i="2"/>
  <c r="I167" i="2" s="1"/>
  <c r="J168" i="2"/>
  <c r="J167" i="2" s="1"/>
  <c r="K168" i="2"/>
  <c r="K167" i="2" s="1"/>
  <c r="L168" i="2"/>
  <c r="L167" i="2" s="1"/>
  <c r="M168" i="2"/>
  <c r="M167" i="2" s="1"/>
  <c r="N168" i="2"/>
  <c r="N167" i="2" s="1"/>
  <c r="O168" i="2"/>
  <c r="O167" i="2" s="1"/>
  <c r="P168" i="2"/>
  <c r="P167" i="2" s="1"/>
  <c r="Q168" i="2"/>
  <c r="Q167" i="2" s="1"/>
  <c r="R168" i="2"/>
  <c r="R167" i="2" s="1"/>
  <c r="S168" i="2"/>
  <c r="S167" i="2" s="1"/>
  <c r="T168" i="2"/>
  <c r="T167" i="2" s="1"/>
  <c r="U168" i="2"/>
  <c r="U167" i="2" s="1"/>
  <c r="V168" i="2"/>
  <c r="V167" i="2" s="1"/>
  <c r="W168" i="2"/>
  <c r="W167" i="2" s="1"/>
  <c r="X168" i="2"/>
  <c r="X167" i="2" s="1"/>
  <c r="E171" i="2"/>
  <c r="E170" i="2" s="1"/>
  <c r="F171" i="2"/>
  <c r="F170" i="2" s="1"/>
  <c r="G171" i="2"/>
  <c r="G170" i="2" s="1"/>
  <c r="H171" i="2"/>
  <c r="H170" i="2" s="1"/>
  <c r="I171" i="2"/>
  <c r="I170" i="2" s="1"/>
  <c r="J171" i="2"/>
  <c r="J170" i="2" s="1"/>
  <c r="K171" i="2"/>
  <c r="K170" i="2" s="1"/>
  <c r="L171" i="2"/>
  <c r="L170" i="2" s="1"/>
  <c r="M171" i="2"/>
  <c r="M170" i="2" s="1"/>
  <c r="N171" i="2"/>
  <c r="N170" i="2" s="1"/>
  <c r="O171" i="2"/>
  <c r="O170" i="2" s="1"/>
  <c r="O166" i="2" s="1"/>
  <c r="P171" i="2"/>
  <c r="P170" i="2" s="1"/>
  <c r="Q171" i="2"/>
  <c r="Q170" i="2" s="1"/>
  <c r="R171" i="2"/>
  <c r="R170" i="2" s="1"/>
  <c r="S171" i="2"/>
  <c r="S170" i="2" s="1"/>
  <c r="T171" i="2"/>
  <c r="T170" i="2" s="1"/>
  <c r="U171" i="2"/>
  <c r="U170" i="2" s="1"/>
  <c r="V171" i="2"/>
  <c r="V170" i="2" s="1"/>
  <c r="W171" i="2"/>
  <c r="W170" i="2" s="1"/>
  <c r="X171" i="2"/>
  <c r="X170" i="2" s="1"/>
  <c r="J174" i="2"/>
  <c r="J173" i="2" s="1"/>
  <c r="E175" i="2"/>
  <c r="E174" i="2" s="1"/>
  <c r="E173" i="2" s="1"/>
  <c r="F175" i="2"/>
  <c r="F174" i="2" s="1"/>
  <c r="F173" i="2" s="1"/>
  <c r="G175" i="2"/>
  <c r="G174" i="2" s="1"/>
  <c r="G173" i="2" s="1"/>
  <c r="H175" i="2"/>
  <c r="H174" i="2" s="1"/>
  <c r="H173" i="2" s="1"/>
  <c r="I175" i="2"/>
  <c r="I174" i="2" s="1"/>
  <c r="I173" i="2" s="1"/>
  <c r="J175" i="2"/>
  <c r="K175" i="2"/>
  <c r="K174" i="2" s="1"/>
  <c r="K173" i="2" s="1"/>
  <c r="L175" i="2"/>
  <c r="L174" i="2" s="1"/>
  <c r="L173" i="2" s="1"/>
  <c r="M175" i="2"/>
  <c r="M174" i="2" s="1"/>
  <c r="M173" i="2" s="1"/>
  <c r="N175" i="2"/>
  <c r="N174" i="2" s="1"/>
  <c r="N173" i="2" s="1"/>
  <c r="O175" i="2"/>
  <c r="O174" i="2" s="1"/>
  <c r="O173" i="2" s="1"/>
  <c r="P175" i="2"/>
  <c r="P174" i="2" s="1"/>
  <c r="P173" i="2" s="1"/>
  <c r="Q175" i="2"/>
  <c r="Q174" i="2" s="1"/>
  <c r="Q173" i="2" s="1"/>
  <c r="R175" i="2"/>
  <c r="R174" i="2" s="1"/>
  <c r="R173" i="2" s="1"/>
  <c r="S175" i="2"/>
  <c r="S174" i="2" s="1"/>
  <c r="S173" i="2" s="1"/>
  <c r="T175" i="2"/>
  <c r="T174" i="2" s="1"/>
  <c r="T173" i="2" s="1"/>
  <c r="U175" i="2"/>
  <c r="U174" i="2" s="1"/>
  <c r="U173" i="2" s="1"/>
  <c r="V175" i="2"/>
  <c r="V174" i="2" s="1"/>
  <c r="V173" i="2" s="1"/>
  <c r="W175" i="2"/>
  <c r="W174" i="2" s="1"/>
  <c r="W173" i="2" s="1"/>
  <c r="X175" i="2"/>
  <c r="X174" i="2" s="1"/>
  <c r="X173" i="2" s="1"/>
  <c r="E179" i="2"/>
  <c r="E178" i="2" s="1"/>
  <c r="E177" i="2" s="1"/>
  <c r="F179" i="2"/>
  <c r="F178" i="2" s="1"/>
  <c r="F177" i="2" s="1"/>
  <c r="G179" i="2"/>
  <c r="G178" i="2" s="1"/>
  <c r="G177" i="2" s="1"/>
  <c r="H179" i="2"/>
  <c r="H178" i="2" s="1"/>
  <c r="H177" i="2" s="1"/>
  <c r="I179" i="2"/>
  <c r="I178" i="2" s="1"/>
  <c r="I177" i="2" s="1"/>
  <c r="J179" i="2"/>
  <c r="J178" i="2" s="1"/>
  <c r="J177" i="2" s="1"/>
  <c r="K179" i="2"/>
  <c r="K178" i="2" s="1"/>
  <c r="K177" i="2" s="1"/>
  <c r="L179" i="2"/>
  <c r="L178" i="2" s="1"/>
  <c r="L177" i="2" s="1"/>
  <c r="M179" i="2"/>
  <c r="M178" i="2" s="1"/>
  <c r="M177" i="2" s="1"/>
  <c r="N179" i="2"/>
  <c r="N178" i="2" s="1"/>
  <c r="N177" i="2" s="1"/>
  <c r="O179" i="2"/>
  <c r="O178" i="2" s="1"/>
  <c r="O177" i="2" s="1"/>
  <c r="P179" i="2"/>
  <c r="P178" i="2" s="1"/>
  <c r="P177" i="2" s="1"/>
  <c r="Q179" i="2"/>
  <c r="Q178" i="2" s="1"/>
  <c r="Q177" i="2" s="1"/>
  <c r="R179" i="2"/>
  <c r="R178" i="2" s="1"/>
  <c r="R177" i="2" s="1"/>
  <c r="S179" i="2"/>
  <c r="S178" i="2" s="1"/>
  <c r="S177" i="2" s="1"/>
  <c r="T179" i="2"/>
  <c r="T178" i="2" s="1"/>
  <c r="T177" i="2" s="1"/>
  <c r="U179" i="2"/>
  <c r="U178" i="2" s="1"/>
  <c r="U177" i="2" s="1"/>
  <c r="V179" i="2"/>
  <c r="V178" i="2" s="1"/>
  <c r="V177" i="2" s="1"/>
  <c r="W179" i="2"/>
  <c r="W178" i="2" s="1"/>
  <c r="W177" i="2" s="1"/>
  <c r="X179" i="2"/>
  <c r="X178" i="2" s="1"/>
  <c r="X177" i="2" s="1"/>
  <c r="E183" i="2"/>
  <c r="F183" i="2"/>
  <c r="G183" i="2"/>
  <c r="H183" i="2"/>
  <c r="I183" i="2"/>
  <c r="J183" i="2"/>
  <c r="K183" i="2"/>
  <c r="L183" i="2"/>
  <c r="M183" i="2"/>
  <c r="N183" i="2"/>
  <c r="O183" i="2"/>
  <c r="P183" i="2"/>
  <c r="Q183" i="2"/>
  <c r="R183" i="2"/>
  <c r="S183" i="2"/>
  <c r="T183" i="2"/>
  <c r="U183" i="2"/>
  <c r="V183" i="2"/>
  <c r="W183" i="2"/>
  <c r="X183" i="2"/>
  <c r="E185" i="2"/>
  <c r="F185" i="2"/>
  <c r="G185" i="2"/>
  <c r="H185" i="2"/>
  <c r="I185" i="2"/>
  <c r="J185" i="2"/>
  <c r="K185" i="2"/>
  <c r="L185" i="2"/>
  <c r="M185" i="2"/>
  <c r="N185" i="2"/>
  <c r="O185" i="2"/>
  <c r="P185" i="2"/>
  <c r="Q185" i="2"/>
  <c r="R185" i="2"/>
  <c r="S185" i="2"/>
  <c r="T185" i="2"/>
  <c r="U185" i="2"/>
  <c r="V185" i="2"/>
  <c r="W185" i="2"/>
  <c r="X185" i="2"/>
  <c r="E187" i="2"/>
  <c r="F187" i="2"/>
  <c r="G187" i="2"/>
  <c r="H187" i="2"/>
  <c r="I187" i="2"/>
  <c r="J187" i="2"/>
  <c r="K187" i="2"/>
  <c r="L187" i="2"/>
  <c r="M187" i="2"/>
  <c r="N187" i="2"/>
  <c r="O187" i="2"/>
  <c r="P187" i="2"/>
  <c r="Q187" i="2"/>
  <c r="R187" i="2"/>
  <c r="S187" i="2"/>
  <c r="T187" i="2"/>
  <c r="U187" i="2"/>
  <c r="V187" i="2"/>
  <c r="W187" i="2"/>
  <c r="X187" i="2"/>
  <c r="E189" i="2"/>
  <c r="F189" i="2"/>
  <c r="G189" i="2"/>
  <c r="H189" i="2"/>
  <c r="I189" i="2"/>
  <c r="J189" i="2"/>
  <c r="K189" i="2"/>
  <c r="L189" i="2"/>
  <c r="M189" i="2"/>
  <c r="N189" i="2"/>
  <c r="O189" i="2"/>
  <c r="P189" i="2"/>
  <c r="Q189" i="2"/>
  <c r="R189" i="2"/>
  <c r="S189" i="2"/>
  <c r="T189" i="2"/>
  <c r="U189" i="2"/>
  <c r="V189" i="2"/>
  <c r="W189" i="2"/>
  <c r="X189" i="2"/>
  <c r="E191" i="2"/>
  <c r="F191" i="2"/>
  <c r="G191" i="2"/>
  <c r="H191" i="2"/>
  <c r="I191" i="2"/>
  <c r="J191" i="2"/>
  <c r="K191" i="2"/>
  <c r="L191" i="2"/>
  <c r="M191" i="2"/>
  <c r="N191" i="2"/>
  <c r="O191" i="2"/>
  <c r="P191" i="2"/>
  <c r="Q191" i="2"/>
  <c r="R191" i="2"/>
  <c r="S191" i="2"/>
  <c r="T191" i="2"/>
  <c r="U191" i="2"/>
  <c r="V191" i="2"/>
  <c r="W191" i="2"/>
  <c r="X191" i="2"/>
  <c r="E193" i="2"/>
  <c r="F193" i="2"/>
  <c r="G193" i="2"/>
  <c r="H193" i="2"/>
  <c r="I193" i="2"/>
  <c r="J193" i="2"/>
  <c r="K193" i="2"/>
  <c r="L193" i="2"/>
  <c r="M193" i="2"/>
  <c r="N193" i="2"/>
  <c r="O193" i="2"/>
  <c r="P193" i="2"/>
  <c r="Q193" i="2"/>
  <c r="R193" i="2"/>
  <c r="S193" i="2"/>
  <c r="T193" i="2"/>
  <c r="U193" i="2"/>
  <c r="V193" i="2"/>
  <c r="W193" i="2"/>
  <c r="X193" i="2"/>
  <c r="E195" i="2"/>
  <c r="F195" i="2"/>
  <c r="G195" i="2"/>
  <c r="H195" i="2"/>
  <c r="I195" i="2"/>
  <c r="J195" i="2"/>
  <c r="K195" i="2"/>
  <c r="L195" i="2"/>
  <c r="M195" i="2"/>
  <c r="N195" i="2"/>
  <c r="O195" i="2"/>
  <c r="P195" i="2"/>
  <c r="Q195" i="2"/>
  <c r="R195" i="2"/>
  <c r="S195" i="2"/>
  <c r="T195" i="2"/>
  <c r="U195" i="2"/>
  <c r="V195" i="2"/>
  <c r="W195" i="2"/>
  <c r="X195" i="2"/>
  <c r="E199" i="2"/>
  <c r="F199" i="2"/>
  <c r="G199" i="2"/>
  <c r="H199" i="2"/>
  <c r="I199" i="2"/>
  <c r="J199" i="2"/>
  <c r="K199" i="2"/>
  <c r="L199" i="2"/>
  <c r="M199" i="2"/>
  <c r="N199" i="2"/>
  <c r="O199" i="2"/>
  <c r="P199" i="2"/>
  <c r="Q199" i="2"/>
  <c r="R199" i="2"/>
  <c r="R198" i="2" s="1"/>
  <c r="S199" i="2"/>
  <c r="T199" i="2"/>
  <c r="U199" i="2"/>
  <c r="V199" i="2"/>
  <c r="W199" i="2"/>
  <c r="X199" i="2"/>
  <c r="E201" i="2"/>
  <c r="F201" i="2"/>
  <c r="G201" i="2"/>
  <c r="H201" i="2"/>
  <c r="I201" i="2"/>
  <c r="J201" i="2"/>
  <c r="K201" i="2"/>
  <c r="L201" i="2"/>
  <c r="M201" i="2"/>
  <c r="N201" i="2"/>
  <c r="O201" i="2"/>
  <c r="P201" i="2"/>
  <c r="Q201" i="2"/>
  <c r="R201" i="2"/>
  <c r="S201" i="2"/>
  <c r="T201" i="2"/>
  <c r="U201" i="2"/>
  <c r="V201" i="2"/>
  <c r="W201" i="2"/>
  <c r="X201" i="2"/>
  <c r="E203" i="2"/>
  <c r="F203" i="2"/>
  <c r="G203" i="2"/>
  <c r="H203" i="2"/>
  <c r="I203" i="2"/>
  <c r="J203" i="2"/>
  <c r="K203" i="2"/>
  <c r="L203" i="2"/>
  <c r="M203" i="2"/>
  <c r="N203" i="2"/>
  <c r="O203" i="2"/>
  <c r="P203" i="2"/>
  <c r="Q203" i="2"/>
  <c r="R203" i="2"/>
  <c r="S203" i="2"/>
  <c r="T203" i="2"/>
  <c r="U203" i="2"/>
  <c r="V203" i="2"/>
  <c r="W203" i="2"/>
  <c r="X203" i="2"/>
  <c r="E205" i="2"/>
  <c r="F205" i="2"/>
  <c r="G205" i="2"/>
  <c r="H205" i="2"/>
  <c r="I205" i="2"/>
  <c r="J205" i="2"/>
  <c r="K205" i="2"/>
  <c r="L205" i="2"/>
  <c r="M205" i="2"/>
  <c r="N205" i="2"/>
  <c r="O205" i="2"/>
  <c r="P205" i="2"/>
  <c r="Q205" i="2"/>
  <c r="R205" i="2"/>
  <c r="S205" i="2"/>
  <c r="T205" i="2"/>
  <c r="U205" i="2"/>
  <c r="V205" i="2"/>
  <c r="W205" i="2"/>
  <c r="X205" i="2"/>
  <c r="E209" i="2"/>
  <c r="F209" i="2"/>
  <c r="G209" i="2"/>
  <c r="H209" i="2"/>
  <c r="I209" i="2"/>
  <c r="J209" i="2"/>
  <c r="J208" i="2" s="1"/>
  <c r="J207" i="2" s="1"/>
  <c r="K209" i="2"/>
  <c r="L209" i="2"/>
  <c r="M209" i="2"/>
  <c r="N209" i="2"/>
  <c r="O209" i="2"/>
  <c r="P209" i="2"/>
  <c r="Q209" i="2"/>
  <c r="R209" i="2"/>
  <c r="S209" i="2"/>
  <c r="T209" i="2"/>
  <c r="U209" i="2"/>
  <c r="V209" i="2"/>
  <c r="W209" i="2"/>
  <c r="X209" i="2"/>
  <c r="E211" i="2"/>
  <c r="F211" i="2"/>
  <c r="G211" i="2"/>
  <c r="H211" i="2"/>
  <c r="I211" i="2"/>
  <c r="J211" i="2"/>
  <c r="K211" i="2"/>
  <c r="L211" i="2"/>
  <c r="M211" i="2"/>
  <c r="N211" i="2"/>
  <c r="O211" i="2"/>
  <c r="P211" i="2"/>
  <c r="Q211" i="2"/>
  <c r="R211" i="2"/>
  <c r="S211" i="2"/>
  <c r="T211" i="2"/>
  <c r="U211" i="2"/>
  <c r="V211" i="2"/>
  <c r="W211" i="2"/>
  <c r="X211" i="2"/>
  <c r="E213" i="2"/>
  <c r="F213" i="2"/>
  <c r="G213" i="2"/>
  <c r="H213" i="2"/>
  <c r="I213" i="2"/>
  <c r="J213" i="2"/>
  <c r="K213" i="2"/>
  <c r="L213" i="2"/>
  <c r="M213" i="2"/>
  <c r="N213" i="2"/>
  <c r="O213" i="2"/>
  <c r="P213" i="2"/>
  <c r="Q213" i="2"/>
  <c r="R213" i="2"/>
  <c r="S213" i="2"/>
  <c r="T213" i="2"/>
  <c r="U213" i="2"/>
  <c r="V213" i="2"/>
  <c r="W213" i="2"/>
  <c r="X213" i="2"/>
  <c r="G215" i="2"/>
  <c r="E216" i="2"/>
  <c r="E215" i="2" s="1"/>
  <c r="F216" i="2"/>
  <c r="F215" i="2" s="1"/>
  <c r="G216" i="2"/>
  <c r="H216" i="2"/>
  <c r="H215" i="2" s="1"/>
  <c r="I216" i="2"/>
  <c r="I215" i="2" s="1"/>
  <c r="J216" i="2"/>
  <c r="J215" i="2" s="1"/>
  <c r="K216" i="2"/>
  <c r="K215" i="2" s="1"/>
  <c r="L216" i="2"/>
  <c r="L215" i="2" s="1"/>
  <c r="M216" i="2"/>
  <c r="M215" i="2" s="1"/>
  <c r="N216" i="2"/>
  <c r="N215" i="2" s="1"/>
  <c r="O216" i="2"/>
  <c r="O215" i="2" s="1"/>
  <c r="P216" i="2"/>
  <c r="P215" i="2" s="1"/>
  <c r="Q216" i="2"/>
  <c r="Q215" i="2" s="1"/>
  <c r="R216" i="2"/>
  <c r="R215" i="2" s="1"/>
  <c r="S216" i="2"/>
  <c r="S215" i="2" s="1"/>
  <c r="T216" i="2"/>
  <c r="T215" i="2" s="1"/>
  <c r="U216" i="2"/>
  <c r="U215" i="2" s="1"/>
  <c r="V216" i="2"/>
  <c r="V215" i="2" s="1"/>
  <c r="W216" i="2"/>
  <c r="W215" i="2" s="1"/>
  <c r="X216" i="2"/>
  <c r="X215" i="2" s="1"/>
  <c r="E221" i="2"/>
  <c r="F221" i="2"/>
  <c r="G221" i="2"/>
  <c r="H221" i="2"/>
  <c r="I221" i="2"/>
  <c r="J221" i="2"/>
  <c r="K221" i="2"/>
  <c r="L221" i="2"/>
  <c r="M221" i="2"/>
  <c r="N221" i="2"/>
  <c r="O221" i="2"/>
  <c r="P221" i="2"/>
  <c r="Q221" i="2"/>
  <c r="R221" i="2"/>
  <c r="S221" i="2"/>
  <c r="T221" i="2"/>
  <c r="U221" i="2"/>
  <c r="V221" i="2"/>
  <c r="W221" i="2"/>
  <c r="X221" i="2"/>
  <c r="E223" i="2"/>
  <c r="F223" i="2"/>
  <c r="G223" i="2"/>
  <c r="H223" i="2"/>
  <c r="I223" i="2"/>
  <c r="J223" i="2"/>
  <c r="K223" i="2"/>
  <c r="L223" i="2"/>
  <c r="M223" i="2"/>
  <c r="N223" i="2"/>
  <c r="O223" i="2"/>
  <c r="P223" i="2"/>
  <c r="Q223" i="2"/>
  <c r="R223" i="2"/>
  <c r="S223" i="2"/>
  <c r="T223" i="2"/>
  <c r="U223" i="2"/>
  <c r="V223" i="2"/>
  <c r="W223" i="2"/>
  <c r="X223" i="2"/>
  <c r="E225" i="2"/>
  <c r="F225" i="2"/>
  <c r="G225" i="2"/>
  <c r="H225" i="2"/>
  <c r="I225" i="2"/>
  <c r="J225" i="2"/>
  <c r="K225" i="2"/>
  <c r="L225" i="2"/>
  <c r="M225" i="2"/>
  <c r="N225" i="2"/>
  <c r="O225" i="2"/>
  <c r="P225" i="2"/>
  <c r="Q225" i="2"/>
  <c r="R225" i="2"/>
  <c r="S225" i="2"/>
  <c r="T225" i="2"/>
  <c r="U225" i="2"/>
  <c r="V225" i="2"/>
  <c r="W225" i="2"/>
  <c r="X225" i="2"/>
  <c r="E227" i="2"/>
  <c r="F227" i="2"/>
  <c r="G227" i="2"/>
  <c r="H227" i="2"/>
  <c r="I227" i="2"/>
  <c r="J227" i="2"/>
  <c r="K227" i="2"/>
  <c r="L227" i="2"/>
  <c r="M227" i="2"/>
  <c r="N227" i="2"/>
  <c r="O227" i="2"/>
  <c r="P227" i="2"/>
  <c r="Q227" i="2"/>
  <c r="R227" i="2"/>
  <c r="S227" i="2"/>
  <c r="T227" i="2"/>
  <c r="U227" i="2"/>
  <c r="V227" i="2"/>
  <c r="W227" i="2"/>
  <c r="X227" i="2"/>
  <c r="F230" i="2"/>
  <c r="V230" i="2"/>
  <c r="E231" i="2"/>
  <c r="E230" i="2" s="1"/>
  <c r="F231" i="2"/>
  <c r="G231" i="2"/>
  <c r="G230" i="2" s="1"/>
  <c r="H231" i="2"/>
  <c r="H230" i="2" s="1"/>
  <c r="I231" i="2"/>
  <c r="I230" i="2" s="1"/>
  <c r="J231" i="2"/>
  <c r="J230" i="2" s="1"/>
  <c r="J229" i="2" s="1"/>
  <c r="K231" i="2"/>
  <c r="K230" i="2" s="1"/>
  <c r="L231" i="2"/>
  <c r="L230" i="2" s="1"/>
  <c r="M231" i="2"/>
  <c r="M230" i="2" s="1"/>
  <c r="N231" i="2"/>
  <c r="N230" i="2" s="1"/>
  <c r="O231" i="2"/>
  <c r="O230" i="2" s="1"/>
  <c r="P231" i="2"/>
  <c r="P230" i="2" s="1"/>
  <c r="Q231" i="2"/>
  <c r="Q230" i="2" s="1"/>
  <c r="R231" i="2"/>
  <c r="R230" i="2" s="1"/>
  <c r="R229" i="2" s="1"/>
  <c r="S231" i="2"/>
  <c r="S230" i="2" s="1"/>
  <c r="T231" i="2"/>
  <c r="T230" i="2" s="1"/>
  <c r="U231" i="2"/>
  <c r="U230" i="2" s="1"/>
  <c r="V231" i="2"/>
  <c r="W231" i="2"/>
  <c r="W230" i="2" s="1"/>
  <c r="X231" i="2"/>
  <c r="X230" i="2" s="1"/>
  <c r="E236" i="2"/>
  <c r="E235" i="2" s="1"/>
  <c r="F236" i="2"/>
  <c r="F235" i="2" s="1"/>
  <c r="G236" i="2"/>
  <c r="G235" i="2" s="1"/>
  <c r="H236" i="2"/>
  <c r="H235" i="2" s="1"/>
  <c r="I236" i="2"/>
  <c r="I235" i="2" s="1"/>
  <c r="J236" i="2"/>
  <c r="J235" i="2" s="1"/>
  <c r="K236" i="2"/>
  <c r="K235" i="2" s="1"/>
  <c r="L236" i="2"/>
  <c r="L235" i="2" s="1"/>
  <c r="M236" i="2"/>
  <c r="M235" i="2" s="1"/>
  <c r="N236" i="2"/>
  <c r="N235" i="2" s="1"/>
  <c r="O236" i="2"/>
  <c r="O235" i="2" s="1"/>
  <c r="P236" i="2"/>
  <c r="P235" i="2" s="1"/>
  <c r="Q236" i="2"/>
  <c r="Q235" i="2" s="1"/>
  <c r="R236" i="2"/>
  <c r="R235" i="2" s="1"/>
  <c r="S236" i="2"/>
  <c r="S235" i="2" s="1"/>
  <c r="T236" i="2"/>
  <c r="T235" i="2" s="1"/>
  <c r="U236" i="2"/>
  <c r="U235" i="2" s="1"/>
  <c r="V236" i="2"/>
  <c r="V235" i="2" s="1"/>
  <c r="W236" i="2"/>
  <c r="W235" i="2" s="1"/>
  <c r="X236" i="2"/>
  <c r="X235" i="2" s="1"/>
  <c r="E240" i="2"/>
  <c r="F240" i="2"/>
  <c r="G240" i="2"/>
  <c r="H240" i="2"/>
  <c r="I240" i="2"/>
  <c r="I239" i="2" s="1"/>
  <c r="I238" i="2" s="1"/>
  <c r="J240" i="2"/>
  <c r="K240" i="2"/>
  <c r="L240" i="2"/>
  <c r="M240" i="2"/>
  <c r="N240" i="2"/>
  <c r="O240" i="2"/>
  <c r="P240" i="2"/>
  <c r="Q240" i="2"/>
  <c r="R240" i="2"/>
  <c r="S240" i="2"/>
  <c r="T240" i="2"/>
  <c r="T239" i="2" s="1"/>
  <c r="T238" i="2" s="1"/>
  <c r="U240" i="2"/>
  <c r="V240" i="2"/>
  <c r="W240" i="2"/>
  <c r="X240" i="2"/>
  <c r="E242" i="2"/>
  <c r="F242" i="2"/>
  <c r="G242" i="2"/>
  <c r="H242" i="2"/>
  <c r="I242" i="2"/>
  <c r="J242" i="2"/>
  <c r="K242" i="2"/>
  <c r="L242" i="2"/>
  <c r="M242" i="2"/>
  <c r="N242" i="2"/>
  <c r="O242" i="2"/>
  <c r="P242" i="2"/>
  <c r="P239" i="2" s="1"/>
  <c r="P238" i="2" s="1"/>
  <c r="Q242" i="2"/>
  <c r="R242" i="2"/>
  <c r="S242" i="2"/>
  <c r="T242" i="2"/>
  <c r="U242" i="2"/>
  <c r="V242" i="2"/>
  <c r="W242" i="2"/>
  <c r="X242" i="2"/>
  <c r="X239" i="2" s="1"/>
  <c r="X238" i="2" s="1"/>
  <c r="E247" i="2"/>
  <c r="E246" i="2" s="1"/>
  <c r="F247" i="2"/>
  <c r="F246" i="2" s="1"/>
  <c r="G247" i="2"/>
  <c r="G246" i="2" s="1"/>
  <c r="H247" i="2"/>
  <c r="H246" i="2" s="1"/>
  <c r="I247" i="2"/>
  <c r="I246" i="2" s="1"/>
  <c r="J247" i="2"/>
  <c r="J246" i="2" s="1"/>
  <c r="K247" i="2"/>
  <c r="K246" i="2" s="1"/>
  <c r="L247" i="2"/>
  <c r="L246" i="2" s="1"/>
  <c r="M247" i="2"/>
  <c r="M246" i="2" s="1"/>
  <c r="N247" i="2"/>
  <c r="N246" i="2" s="1"/>
  <c r="O247" i="2"/>
  <c r="O246" i="2" s="1"/>
  <c r="P247" i="2"/>
  <c r="P246" i="2" s="1"/>
  <c r="Q247" i="2"/>
  <c r="Q246" i="2" s="1"/>
  <c r="R247" i="2"/>
  <c r="R246" i="2" s="1"/>
  <c r="S247" i="2"/>
  <c r="S246" i="2" s="1"/>
  <c r="T247" i="2"/>
  <c r="T246" i="2" s="1"/>
  <c r="U247" i="2"/>
  <c r="U246" i="2" s="1"/>
  <c r="V247" i="2"/>
  <c r="V246" i="2" s="1"/>
  <c r="W247" i="2"/>
  <c r="W246" i="2" s="1"/>
  <c r="X247" i="2"/>
  <c r="X246" i="2" s="1"/>
  <c r="F249" i="2"/>
  <c r="G249" i="2"/>
  <c r="E250" i="2"/>
  <c r="E249" i="2" s="1"/>
  <c r="F250" i="2"/>
  <c r="G250" i="2"/>
  <c r="H250" i="2"/>
  <c r="H249" i="2" s="1"/>
  <c r="I250" i="2"/>
  <c r="I249" i="2" s="1"/>
  <c r="J250" i="2"/>
  <c r="J249" i="2" s="1"/>
  <c r="K250" i="2"/>
  <c r="K249" i="2" s="1"/>
  <c r="L250" i="2"/>
  <c r="L249" i="2" s="1"/>
  <c r="M250" i="2"/>
  <c r="M249" i="2" s="1"/>
  <c r="N250" i="2"/>
  <c r="N249" i="2" s="1"/>
  <c r="O250" i="2"/>
  <c r="O249" i="2" s="1"/>
  <c r="P250" i="2"/>
  <c r="P249" i="2" s="1"/>
  <c r="Q250" i="2"/>
  <c r="Q249" i="2" s="1"/>
  <c r="R250" i="2"/>
  <c r="R249" i="2" s="1"/>
  <c r="S250" i="2"/>
  <c r="S249" i="2" s="1"/>
  <c r="T250" i="2"/>
  <c r="T249" i="2" s="1"/>
  <c r="U250" i="2"/>
  <c r="U249" i="2" s="1"/>
  <c r="V250" i="2"/>
  <c r="V249" i="2" s="1"/>
  <c r="W250" i="2"/>
  <c r="W249" i="2" s="1"/>
  <c r="X250" i="2"/>
  <c r="X249" i="2" s="1"/>
  <c r="E254" i="2"/>
  <c r="F254" i="2"/>
  <c r="G254" i="2"/>
  <c r="H254" i="2"/>
  <c r="I254" i="2"/>
  <c r="J254" i="2"/>
  <c r="K254" i="2"/>
  <c r="L254" i="2"/>
  <c r="M254" i="2"/>
  <c r="N254" i="2"/>
  <c r="N253" i="2" s="1"/>
  <c r="O254" i="2"/>
  <c r="P254" i="2"/>
  <c r="Q254" i="2"/>
  <c r="R254" i="2"/>
  <c r="S254" i="2"/>
  <c r="T254" i="2"/>
  <c r="U254" i="2"/>
  <c r="V254" i="2"/>
  <c r="W254" i="2"/>
  <c r="X254" i="2"/>
  <c r="E258" i="2"/>
  <c r="F258" i="2"/>
  <c r="G258" i="2"/>
  <c r="H258" i="2"/>
  <c r="H253" i="2" s="1"/>
  <c r="I258" i="2"/>
  <c r="J258" i="2"/>
  <c r="K258" i="2"/>
  <c r="L258" i="2"/>
  <c r="M258" i="2"/>
  <c r="N258" i="2"/>
  <c r="O258" i="2"/>
  <c r="P258" i="2"/>
  <c r="P253" i="2" s="1"/>
  <c r="Q258" i="2"/>
  <c r="R258" i="2"/>
  <c r="S258" i="2"/>
  <c r="T258" i="2"/>
  <c r="U258" i="2"/>
  <c r="V258" i="2"/>
  <c r="W258" i="2"/>
  <c r="X258" i="2"/>
  <c r="X253" i="2" s="1"/>
  <c r="E260" i="2"/>
  <c r="F260" i="2"/>
  <c r="G260" i="2"/>
  <c r="H260" i="2"/>
  <c r="I260" i="2"/>
  <c r="J260" i="2"/>
  <c r="K260" i="2"/>
  <c r="L260" i="2"/>
  <c r="M260" i="2"/>
  <c r="N260" i="2"/>
  <c r="O260" i="2"/>
  <c r="P260" i="2"/>
  <c r="Q260" i="2"/>
  <c r="R260" i="2"/>
  <c r="S260" i="2"/>
  <c r="T260" i="2"/>
  <c r="U260" i="2"/>
  <c r="V260" i="2"/>
  <c r="W260" i="2"/>
  <c r="X260" i="2"/>
  <c r="E263" i="2"/>
  <c r="E262" i="2" s="1"/>
  <c r="F263" i="2"/>
  <c r="F262" i="2" s="1"/>
  <c r="G263" i="2"/>
  <c r="G262" i="2" s="1"/>
  <c r="H263" i="2"/>
  <c r="H262" i="2" s="1"/>
  <c r="I263" i="2"/>
  <c r="I262" i="2" s="1"/>
  <c r="J263" i="2"/>
  <c r="J262" i="2" s="1"/>
  <c r="K263" i="2"/>
  <c r="K262" i="2" s="1"/>
  <c r="L263" i="2"/>
  <c r="L262" i="2" s="1"/>
  <c r="M263" i="2"/>
  <c r="M262" i="2" s="1"/>
  <c r="N263" i="2"/>
  <c r="N262" i="2" s="1"/>
  <c r="O263" i="2"/>
  <c r="O262" i="2" s="1"/>
  <c r="P263" i="2"/>
  <c r="P262" i="2" s="1"/>
  <c r="Q263" i="2"/>
  <c r="Q262" i="2" s="1"/>
  <c r="R263" i="2"/>
  <c r="R262" i="2" s="1"/>
  <c r="S263" i="2"/>
  <c r="S262" i="2" s="1"/>
  <c r="T263" i="2"/>
  <c r="T262" i="2" s="1"/>
  <c r="U263" i="2"/>
  <c r="U262" i="2" s="1"/>
  <c r="V263" i="2"/>
  <c r="V262" i="2" s="1"/>
  <c r="W263" i="2"/>
  <c r="W262" i="2" s="1"/>
  <c r="X263" i="2"/>
  <c r="X262" i="2" s="1"/>
  <c r="E269" i="2"/>
  <c r="E267" i="2" s="1"/>
  <c r="E266" i="2" s="1"/>
  <c r="F269" i="2"/>
  <c r="G269" i="2"/>
  <c r="H269" i="2"/>
  <c r="I269" i="2"/>
  <c r="J269" i="2"/>
  <c r="K269" i="2"/>
  <c r="L269" i="2"/>
  <c r="M269" i="2"/>
  <c r="N269" i="2"/>
  <c r="O269" i="2"/>
  <c r="P269" i="2"/>
  <c r="Q269" i="2"/>
  <c r="R269" i="2"/>
  <c r="S269" i="2"/>
  <c r="T269" i="2"/>
  <c r="U269" i="2"/>
  <c r="V269" i="2"/>
  <c r="W269" i="2"/>
  <c r="X269" i="2"/>
  <c r="E272" i="2"/>
  <c r="F272" i="2"/>
  <c r="G272" i="2"/>
  <c r="H272" i="2"/>
  <c r="I272" i="2"/>
  <c r="J272" i="2"/>
  <c r="K272" i="2"/>
  <c r="L272" i="2"/>
  <c r="M272" i="2"/>
  <c r="N272" i="2"/>
  <c r="O272" i="2"/>
  <c r="P272" i="2"/>
  <c r="Q272" i="2"/>
  <c r="R272" i="2"/>
  <c r="S272" i="2"/>
  <c r="T272" i="2"/>
  <c r="U272" i="2"/>
  <c r="V272" i="2"/>
  <c r="W272" i="2"/>
  <c r="X272" i="2"/>
  <c r="E274" i="2"/>
  <c r="F274" i="2"/>
  <c r="G274" i="2"/>
  <c r="H274" i="2"/>
  <c r="I274" i="2"/>
  <c r="J274" i="2"/>
  <c r="K274" i="2"/>
  <c r="L274" i="2"/>
  <c r="M274" i="2"/>
  <c r="N274" i="2"/>
  <c r="O274" i="2"/>
  <c r="P274" i="2"/>
  <c r="Q274" i="2"/>
  <c r="R274" i="2"/>
  <c r="S274" i="2"/>
  <c r="T274" i="2"/>
  <c r="U274" i="2"/>
  <c r="V274" i="2"/>
  <c r="W274" i="2"/>
  <c r="X274" i="2"/>
  <c r="E277" i="2"/>
  <c r="E276" i="2" s="1"/>
  <c r="F277" i="2"/>
  <c r="F276" i="2" s="1"/>
  <c r="G277" i="2"/>
  <c r="G276" i="2" s="1"/>
  <c r="H277" i="2"/>
  <c r="H276" i="2" s="1"/>
  <c r="I277" i="2"/>
  <c r="I276" i="2" s="1"/>
  <c r="J277" i="2"/>
  <c r="J276" i="2" s="1"/>
  <c r="K277" i="2"/>
  <c r="K276" i="2" s="1"/>
  <c r="L277" i="2"/>
  <c r="L276" i="2" s="1"/>
  <c r="M277" i="2"/>
  <c r="M276" i="2" s="1"/>
  <c r="N277" i="2"/>
  <c r="N276" i="2" s="1"/>
  <c r="O277" i="2"/>
  <c r="O276" i="2" s="1"/>
  <c r="P277" i="2"/>
  <c r="P276" i="2" s="1"/>
  <c r="Q277" i="2"/>
  <c r="Q276" i="2" s="1"/>
  <c r="R277" i="2"/>
  <c r="R276" i="2" s="1"/>
  <c r="S277" i="2"/>
  <c r="S276" i="2" s="1"/>
  <c r="T277" i="2"/>
  <c r="T276" i="2" s="1"/>
  <c r="U277" i="2"/>
  <c r="U276" i="2" s="1"/>
  <c r="V277" i="2"/>
  <c r="V276" i="2" s="1"/>
  <c r="W277" i="2"/>
  <c r="W276" i="2" s="1"/>
  <c r="X277" i="2"/>
  <c r="X276" i="2" s="1"/>
  <c r="E282" i="2"/>
  <c r="F282" i="2"/>
  <c r="G282" i="2"/>
  <c r="H282" i="2"/>
  <c r="I282" i="2"/>
  <c r="J282" i="2"/>
  <c r="K282" i="2"/>
  <c r="L282" i="2"/>
  <c r="M282" i="2"/>
  <c r="N282" i="2"/>
  <c r="O282" i="2"/>
  <c r="P282" i="2"/>
  <c r="Q282" i="2"/>
  <c r="R282" i="2"/>
  <c r="S282" i="2"/>
  <c r="T282" i="2"/>
  <c r="U282" i="2"/>
  <c r="V282" i="2"/>
  <c r="W282" i="2"/>
  <c r="X282" i="2"/>
  <c r="E284" i="2"/>
  <c r="F284" i="2"/>
  <c r="G284" i="2"/>
  <c r="H284" i="2"/>
  <c r="I284" i="2"/>
  <c r="J284" i="2"/>
  <c r="K284" i="2"/>
  <c r="L284" i="2"/>
  <c r="M284" i="2"/>
  <c r="N284" i="2"/>
  <c r="O284" i="2"/>
  <c r="P284" i="2"/>
  <c r="Q284" i="2"/>
  <c r="R284" i="2"/>
  <c r="S284" i="2"/>
  <c r="T284" i="2"/>
  <c r="U284" i="2"/>
  <c r="V284" i="2"/>
  <c r="W284" i="2"/>
  <c r="X284" i="2"/>
  <c r="E286" i="2"/>
  <c r="F286" i="2"/>
  <c r="G286" i="2"/>
  <c r="H286" i="2"/>
  <c r="I286" i="2"/>
  <c r="J286" i="2"/>
  <c r="K286" i="2"/>
  <c r="L286" i="2"/>
  <c r="M286" i="2"/>
  <c r="N286" i="2"/>
  <c r="O286" i="2"/>
  <c r="P286" i="2"/>
  <c r="Q286" i="2"/>
  <c r="R286" i="2"/>
  <c r="S286" i="2"/>
  <c r="T286" i="2"/>
  <c r="U286" i="2"/>
  <c r="V286" i="2"/>
  <c r="W286" i="2"/>
  <c r="X286" i="2"/>
  <c r="E288" i="2"/>
  <c r="F288" i="2"/>
  <c r="G288" i="2"/>
  <c r="H288" i="2"/>
  <c r="I288" i="2"/>
  <c r="J288" i="2"/>
  <c r="K288" i="2"/>
  <c r="L288" i="2"/>
  <c r="M288" i="2"/>
  <c r="N288" i="2"/>
  <c r="O288" i="2"/>
  <c r="P288" i="2"/>
  <c r="Q288" i="2"/>
  <c r="R288" i="2"/>
  <c r="S288" i="2"/>
  <c r="T288" i="2"/>
  <c r="U288" i="2"/>
  <c r="V288" i="2"/>
  <c r="W288" i="2"/>
  <c r="X288" i="2"/>
  <c r="E290" i="2"/>
  <c r="F290" i="2"/>
  <c r="G290" i="2"/>
  <c r="H290" i="2"/>
  <c r="I290" i="2"/>
  <c r="J290" i="2"/>
  <c r="K290" i="2"/>
  <c r="L290" i="2"/>
  <c r="M290" i="2"/>
  <c r="N290" i="2"/>
  <c r="O290" i="2"/>
  <c r="P290" i="2"/>
  <c r="Q290" i="2"/>
  <c r="R290" i="2"/>
  <c r="S290" i="2"/>
  <c r="T290" i="2"/>
  <c r="U290" i="2"/>
  <c r="V290" i="2"/>
  <c r="W290" i="2"/>
  <c r="X290" i="2"/>
  <c r="E292" i="2"/>
  <c r="F292" i="2"/>
  <c r="G292" i="2"/>
  <c r="H292" i="2"/>
  <c r="I292" i="2"/>
  <c r="J292" i="2"/>
  <c r="K292" i="2"/>
  <c r="L292" i="2"/>
  <c r="M292" i="2"/>
  <c r="N292" i="2"/>
  <c r="O292" i="2"/>
  <c r="P292" i="2"/>
  <c r="Q292" i="2"/>
  <c r="R292" i="2"/>
  <c r="S292" i="2"/>
  <c r="T292" i="2"/>
  <c r="U292" i="2"/>
  <c r="V292" i="2"/>
  <c r="W292" i="2"/>
  <c r="X292" i="2"/>
  <c r="E294" i="2"/>
  <c r="F294" i="2"/>
  <c r="G294" i="2"/>
  <c r="H294" i="2"/>
  <c r="I294" i="2"/>
  <c r="J294" i="2"/>
  <c r="K294" i="2"/>
  <c r="L294" i="2"/>
  <c r="M294" i="2"/>
  <c r="N294" i="2"/>
  <c r="O294" i="2"/>
  <c r="P294" i="2"/>
  <c r="Q294" i="2"/>
  <c r="R294" i="2"/>
  <c r="S294" i="2"/>
  <c r="T294" i="2"/>
  <c r="U294" i="2"/>
  <c r="V294" i="2"/>
  <c r="W294" i="2"/>
  <c r="X294" i="2"/>
  <c r="E298" i="2"/>
  <c r="F298" i="2"/>
  <c r="G298" i="2"/>
  <c r="H298" i="2"/>
  <c r="I298" i="2"/>
  <c r="J298" i="2"/>
  <c r="K298" i="2"/>
  <c r="L298" i="2"/>
  <c r="M298" i="2"/>
  <c r="N298" i="2"/>
  <c r="O298" i="2"/>
  <c r="P298" i="2"/>
  <c r="Q298" i="2"/>
  <c r="R298" i="2"/>
  <c r="S298" i="2"/>
  <c r="T298" i="2"/>
  <c r="U298" i="2"/>
  <c r="V298" i="2"/>
  <c r="W298" i="2"/>
  <c r="X298" i="2"/>
  <c r="E301" i="2"/>
  <c r="F301" i="2"/>
  <c r="G301" i="2"/>
  <c r="H301" i="2"/>
  <c r="I301" i="2"/>
  <c r="J301" i="2"/>
  <c r="K301" i="2"/>
  <c r="L301" i="2"/>
  <c r="M301" i="2"/>
  <c r="N301" i="2"/>
  <c r="O301" i="2"/>
  <c r="P301" i="2"/>
  <c r="Q301" i="2"/>
  <c r="R301" i="2"/>
  <c r="S301" i="2"/>
  <c r="T301" i="2"/>
  <c r="U301" i="2"/>
  <c r="V301" i="2"/>
  <c r="W301" i="2"/>
  <c r="X301" i="2"/>
  <c r="E303" i="2"/>
  <c r="F303" i="2"/>
  <c r="G303" i="2"/>
  <c r="H303" i="2"/>
  <c r="I303" i="2"/>
  <c r="J303" i="2"/>
  <c r="K303" i="2"/>
  <c r="L303" i="2"/>
  <c r="M303" i="2"/>
  <c r="N303" i="2"/>
  <c r="O303" i="2"/>
  <c r="P303" i="2"/>
  <c r="Q303" i="2"/>
  <c r="R303" i="2"/>
  <c r="S303" i="2"/>
  <c r="T303" i="2"/>
  <c r="U303" i="2"/>
  <c r="V303" i="2"/>
  <c r="W303" i="2"/>
  <c r="X303" i="2"/>
  <c r="E305" i="2"/>
  <c r="F305" i="2"/>
  <c r="G305" i="2"/>
  <c r="H305" i="2"/>
  <c r="I305" i="2"/>
  <c r="J305" i="2"/>
  <c r="K305" i="2"/>
  <c r="L305" i="2"/>
  <c r="M305" i="2"/>
  <c r="N305" i="2"/>
  <c r="O305" i="2"/>
  <c r="P305" i="2"/>
  <c r="Q305" i="2"/>
  <c r="R305" i="2"/>
  <c r="S305" i="2"/>
  <c r="T305" i="2"/>
  <c r="U305" i="2"/>
  <c r="V305" i="2"/>
  <c r="W305" i="2"/>
  <c r="X305" i="2"/>
  <c r="E307" i="2"/>
  <c r="F307" i="2"/>
  <c r="G307" i="2"/>
  <c r="H307" i="2"/>
  <c r="I307" i="2"/>
  <c r="J307" i="2"/>
  <c r="K307" i="2"/>
  <c r="L307" i="2"/>
  <c r="M307" i="2"/>
  <c r="N307" i="2"/>
  <c r="O307" i="2"/>
  <c r="P307" i="2"/>
  <c r="Q307" i="2"/>
  <c r="R307" i="2"/>
  <c r="S307" i="2"/>
  <c r="T307" i="2"/>
  <c r="U307" i="2"/>
  <c r="V307" i="2"/>
  <c r="W307" i="2"/>
  <c r="X307" i="2"/>
  <c r="E309" i="2"/>
  <c r="F309" i="2"/>
  <c r="G309" i="2"/>
  <c r="H309" i="2"/>
  <c r="I309" i="2"/>
  <c r="J309" i="2"/>
  <c r="K309" i="2"/>
  <c r="L309" i="2"/>
  <c r="M309" i="2"/>
  <c r="N309" i="2"/>
  <c r="O309" i="2"/>
  <c r="P309" i="2"/>
  <c r="Q309" i="2"/>
  <c r="R309" i="2"/>
  <c r="S309" i="2"/>
  <c r="T309" i="2"/>
  <c r="U309" i="2"/>
  <c r="V309" i="2"/>
  <c r="W309" i="2"/>
  <c r="X309" i="2"/>
  <c r="E311" i="2"/>
  <c r="F311" i="2"/>
  <c r="G311" i="2"/>
  <c r="H311" i="2"/>
  <c r="I311" i="2"/>
  <c r="J311" i="2"/>
  <c r="K311" i="2"/>
  <c r="L311" i="2"/>
  <c r="M311" i="2"/>
  <c r="N311" i="2"/>
  <c r="O311" i="2"/>
  <c r="P311" i="2"/>
  <c r="Q311" i="2"/>
  <c r="R311" i="2"/>
  <c r="S311" i="2"/>
  <c r="T311" i="2"/>
  <c r="U311" i="2"/>
  <c r="V311" i="2"/>
  <c r="W311" i="2"/>
  <c r="X311" i="2"/>
  <c r="E313" i="2"/>
  <c r="F313" i="2"/>
  <c r="G313" i="2"/>
  <c r="H313" i="2"/>
  <c r="I313" i="2"/>
  <c r="J313" i="2"/>
  <c r="K313" i="2"/>
  <c r="L313" i="2"/>
  <c r="M313" i="2"/>
  <c r="N313" i="2"/>
  <c r="O313" i="2"/>
  <c r="P313" i="2"/>
  <c r="Q313" i="2"/>
  <c r="R313" i="2"/>
  <c r="S313" i="2"/>
  <c r="T313" i="2"/>
  <c r="U313" i="2"/>
  <c r="V313" i="2"/>
  <c r="W313" i="2"/>
  <c r="X313" i="2"/>
  <c r="E315" i="2"/>
  <c r="F315" i="2"/>
  <c r="G315" i="2"/>
  <c r="H315" i="2"/>
  <c r="I315" i="2"/>
  <c r="J315" i="2"/>
  <c r="K315" i="2"/>
  <c r="L315" i="2"/>
  <c r="M315" i="2"/>
  <c r="N315" i="2"/>
  <c r="O315" i="2"/>
  <c r="P315" i="2"/>
  <c r="Q315" i="2"/>
  <c r="R315" i="2"/>
  <c r="S315" i="2"/>
  <c r="T315" i="2"/>
  <c r="U315" i="2"/>
  <c r="V315" i="2"/>
  <c r="W315" i="2"/>
  <c r="X315" i="2"/>
  <c r="E317" i="2"/>
  <c r="F317" i="2"/>
  <c r="G317" i="2"/>
  <c r="H317" i="2"/>
  <c r="I317" i="2"/>
  <c r="J317" i="2"/>
  <c r="K317" i="2"/>
  <c r="L317" i="2"/>
  <c r="M317" i="2"/>
  <c r="N317" i="2"/>
  <c r="O317" i="2"/>
  <c r="P317" i="2"/>
  <c r="Q317" i="2"/>
  <c r="R317" i="2"/>
  <c r="S317" i="2"/>
  <c r="T317" i="2"/>
  <c r="U317" i="2"/>
  <c r="V317" i="2"/>
  <c r="W317" i="2"/>
  <c r="X317" i="2"/>
  <c r="E320" i="2"/>
  <c r="F320" i="2"/>
  <c r="G320" i="2"/>
  <c r="H320" i="2"/>
  <c r="I320" i="2"/>
  <c r="J320" i="2"/>
  <c r="K320" i="2"/>
  <c r="L320" i="2"/>
  <c r="M320" i="2"/>
  <c r="N320" i="2"/>
  <c r="O320" i="2"/>
  <c r="P320" i="2"/>
  <c r="Q320" i="2"/>
  <c r="R320" i="2"/>
  <c r="S320" i="2"/>
  <c r="T320" i="2"/>
  <c r="U320" i="2"/>
  <c r="V320" i="2"/>
  <c r="W320" i="2"/>
  <c r="X320" i="2"/>
  <c r="E322" i="2"/>
  <c r="F322" i="2"/>
  <c r="G322" i="2"/>
  <c r="H322" i="2"/>
  <c r="I322" i="2"/>
  <c r="J322" i="2"/>
  <c r="K322" i="2"/>
  <c r="L322" i="2"/>
  <c r="M322" i="2"/>
  <c r="N322" i="2"/>
  <c r="O322" i="2"/>
  <c r="P322" i="2"/>
  <c r="Q322" i="2"/>
  <c r="R322" i="2"/>
  <c r="S322" i="2"/>
  <c r="T322" i="2"/>
  <c r="U322" i="2"/>
  <c r="V322" i="2"/>
  <c r="W322" i="2"/>
  <c r="X322" i="2"/>
  <c r="E324" i="2"/>
  <c r="F324" i="2"/>
  <c r="G324" i="2"/>
  <c r="H324" i="2"/>
  <c r="I324" i="2"/>
  <c r="J324" i="2"/>
  <c r="K324" i="2"/>
  <c r="L324" i="2"/>
  <c r="M324" i="2"/>
  <c r="N324" i="2"/>
  <c r="O324" i="2"/>
  <c r="P324" i="2"/>
  <c r="Q324" i="2"/>
  <c r="R324" i="2"/>
  <c r="S324" i="2"/>
  <c r="T324" i="2"/>
  <c r="U324" i="2"/>
  <c r="V324" i="2"/>
  <c r="W324" i="2"/>
  <c r="X324" i="2"/>
  <c r="E326" i="2"/>
  <c r="F326" i="2"/>
  <c r="G326" i="2"/>
  <c r="H326" i="2"/>
  <c r="I326" i="2"/>
  <c r="J326" i="2"/>
  <c r="K326" i="2"/>
  <c r="L326" i="2"/>
  <c r="M326" i="2"/>
  <c r="N326" i="2"/>
  <c r="O326" i="2"/>
  <c r="P326" i="2"/>
  <c r="Q326" i="2"/>
  <c r="R326" i="2"/>
  <c r="S326" i="2"/>
  <c r="T326" i="2"/>
  <c r="U326" i="2"/>
  <c r="V326" i="2"/>
  <c r="W326" i="2"/>
  <c r="X326" i="2"/>
  <c r="E329" i="2"/>
  <c r="E328" i="2" s="1"/>
  <c r="F329" i="2"/>
  <c r="F328" i="2" s="1"/>
  <c r="G329" i="2"/>
  <c r="G328" i="2" s="1"/>
  <c r="H329" i="2"/>
  <c r="H328" i="2" s="1"/>
  <c r="I329" i="2"/>
  <c r="I328" i="2" s="1"/>
  <c r="J329" i="2"/>
  <c r="J328" i="2" s="1"/>
  <c r="K329" i="2"/>
  <c r="K328" i="2" s="1"/>
  <c r="L329" i="2"/>
  <c r="L328" i="2" s="1"/>
  <c r="M329" i="2"/>
  <c r="M328" i="2" s="1"/>
  <c r="N329" i="2"/>
  <c r="N328" i="2" s="1"/>
  <c r="O329" i="2"/>
  <c r="O328" i="2" s="1"/>
  <c r="P329" i="2"/>
  <c r="P328" i="2" s="1"/>
  <c r="Q329" i="2"/>
  <c r="Q328" i="2" s="1"/>
  <c r="R329" i="2"/>
  <c r="R328" i="2" s="1"/>
  <c r="S329" i="2"/>
  <c r="S328" i="2" s="1"/>
  <c r="T329" i="2"/>
  <c r="T328" i="2" s="1"/>
  <c r="U329" i="2"/>
  <c r="U328" i="2" s="1"/>
  <c r="V329" i="2"/>
  <c r="V328" i="2" s="1"/>
  <c r="W329" i="2"/>
  <c r="W328" i="2" s="1"/>
  <c r="X329" i="2"/>
  <c r="X328" i="2" s="1"/>
  <c r="E332" i="2"/>
  <c r="F332" i="2"/>
  <c r="G332" i="2"/>
  <c r="H332" i="2"/>
  <c r="I332" i="2"/>
  <c r="J332" i="2"/>
  <c r="K332" i="2"/>
  <c r="L332" i="2"/>
  <c r="M332" i="2"/>
  <c r="N332" i="2"/>
  <c r="O332" i="2"/>
  <c r="P332" i="2"/>
  <c r="Q332" i="2"/>
  <c r="R332" i="2"/>
  <c r="S332" i="2"/>
  <c r="T332" i="2"/>
  <c r="U332" i="2"/>
  <c r="V332" i="2"/>
  <c r="W332" i="2"/>
  <c r="X332" i="2"/>
  <c r="E334" i="2"/>
  <c r="F334" i="2"/>
  <c r="G334" i="2"/>
  <c r="H334" i="2"/>
  <c r="I334" i="2"/>
  <c r="J334" i="2"/>
  <c r="K334" i="2"/>
  <c r="L334" i="2"/>
  <c r="M334" i="2"/>
  <c r="N334" i="2"/>
  <c r="O334" i="2"/>
  <c r="O331" i="2" s="1"/>
  <c r="P334" i="2"/>
  <c r="Q334" i="2"/>
  <c r="R334" i="2"/>
  <c r="S334" i="2"/>
  <c r="T334" i="2"/>
  <c r="U334" i="2"/>
  <c r="V334" i="2"/>
  <c r="W334" i="2"/>
  <c r="X334" i="2"/>
  <c r="E336" i="2"/>
  <c r="E331" i="2" s="1"/>
  <c r="F336" i="2"/>
  <c r="G336" i="2"/>
  <c r="H336" i="2"/>
  <c r="I336" i="2"/>
  <c r="J336" i="2"/>
  <c r="K336" i="2"/>
  <c r="L336" i="2"/>
  <c r="M336" i="2"/>
  <c r="N336" i="2"/>
  <c r="O336" i="2"/>
  <c r="P336" i="2"/>
  <c r="Q336" i="2"/>
  <c r="R336" i="2"/>
  <c r="S336" i="2"/>
  <c r="T336" i="2"/>
  <c r="U336" i="2"/>
  <c r="V336" i="2"/>
  <c r="W336" i="2"/>
  <c r="X336" i="2"/>
  <c r="E339" i="2"/>
  <c r="E338" i="2" s="1"/>
  <c r="F339" i="2"/>
  <c r="F338" i="2" s="1"/>
  <c r="G339" i="2"/>
  <c r="G338" i="2" s="1"/>
  <c r="H339" i="2"/>
  <c r="H338" i="2" s="1"/>
  <c r="I339" i="2"/>
  <c r="I338" i="2" s="1"/>
  <c r="J339" i="2"/>
  <c r="J338" i="2" s="1"/>
  <c r="K339" i="2"/>
  <c r="K338" i="2" s="1"/>
  <c r="L339" i="2"/>
  <c r="L338" i="2" s="1"/>
  <c r="M339" i="2"/>
  <c r="M338" i="2" s="1"/>
  <c r="N339" i="2"/>
  <c r="N338" i="2" s="1"/>
  <c r="O339" i="2"/>
  <c r="O338" i="2" s="1"/>
  <c r="P339" i="2"/>
  <c r="P338" i="2" s="1"/>
  <c r="Q339" i="2"/>
  <c r="Q338" i="2" s="1"/>
  <c r="R339" i="2"/>
  <c r="R338" i="2" s="1"/>
  <c r="S339" i="2"/>
  <c r="S338" i="2" s="1"/>
  <c r="T339" i="2"/>
  <c r="T338" i="2" s="1"/>
  <c r="U339" i="2"/>
  <c r="U338" i="2" s="1"/>
  <c r="V339" i="2"/>
  <c r="V338" i="2" s="1"/>
  <c r="W339" i="2"/>
  <c r="W338" i="2" s="1"/>
  <c r="X339" i="2"/>
  <c r="X338" i="2" s="1"/>
  <c r="E342" i="2"/>
  <c r="F342" i="2"/>
  <c r="G342" i="2"/>
  <c r="H342" i="2"/>
  <c r="I342" i="2"/>
  <c r="J342" i="2"/>
  <c r="K342" i="2"/>
  <c r="L342" i="2"/>
  <c r="M342" i="2"/>
  <c r="N342" i="2"/>
  <c r="O342" i="2"/>
  <c r="P342" i="2"/>
  <c r="Q342" i="2"/>
  <c r="R342" i="2"/>
  <c r="S342" i="2"/>
  <c r="T342" i="2"/>
  <c r="U342" i="2"/>
  <c r="V342" i="2"/>
  <c r="W342" i="2"/>
  <c r="X342" i="2"/>
  <c r="E345" i="2"/>
  <c r="F345" i="2"/>
  <c r="G345" i="2"/>
  <c r="H345" i="2"/>
  <c r="I345" i="2"/>
  <c r="J345" i="2"/>
  <c r="K345" i="2"/>
  <c r="L345" i="2"/>
  <c r="M345" i="2"/>
  <c r="N345" i="2"/>
  <c r="O345" i="2"/>
  <c r="P345" i="2"/>
  <c r="Q345" i="2"/>
  <c r="R345" i="2"/>
  <c r="S345" i="2"/>
  <c r="T345" i="2"/>
  <c r="U345" i="2"/>
  <c r="V345" i="2"/>
  <c r="W345" i="2"/>
  <c r="X345" i="2"/>
  <c r="E347" i="2"/>
  <c r="F347" i="2"/>
  <c r="G347" i="2"/>
  <c r="H347" i="2"/>
  <c r="I347" i="2"/>
  <c r="J347" i="2"/>
  <c r="K347" i="2"/>
  <c r="L347" i="2"/>
  <c r="M347" i="2"/>
  <c r="N347" i="2"/>
  <c r="O347" i="2"/>
  <c r="P347" i="2"/>
  <c r="Q347" i="2"/>
  <c r="R347" i="2"/>
  <c r="S347" i="2"/>
  <c r="T347" i="2"/>
  <c r="U347" i="2"/>
  <c r="V347" i="2"/>
  <c r="W347" i="2"/>
  <c r="X347" i="2"/>
  <c r="E349" i="2"/>
  <c r="F349" i="2"/>
  <c r="G349" i="2"/>
  <c r="H349" i="2"/>
  <c r="I349" i="2"/>
  <c r="J349" i="2"/>
  <c r="K349" i="2"/>
  <c r="L349" i="2"/>
  <c r="M349" i="2"/>
  <c r="N349" i="2"/>
  <c r="O349" i="2"/>
  <c r="P349" i="2"/>
  <c r="Q349" i="2"/>
  <c r="R349" i="2"/>
  <c r="S349" i="2"/>
  <c r="T349" i="2"/>
  <c r="U349" i="2"/>
  <c r="V349" i="2"/>
  <c r="W349" i="2"/>
  <c r="X349" i="2"/>
  <c r="E353" i="2"/>
  <c r="F353" i="2"/>
  <c r="G353" i="2"/>
  <c r="H353" i="2"/>
  <c r="I353" i="2"/>
  <c r="J353" i="2"/>
  <c r="K353" i="2"/>
  <c r="L353" i="2"/>
  <c r="M353" i="2"/>
  <c r="N353" i="2"/>
  <c r="O353" i="2"/>
  <c r="O352" i="2" s="1"/>
  <c r="P353" i="2"/>
  <c r="Q353" i="2"/>
  <c r="R353" i="2"/>
  <c r="S353" i="2"/>
  <c r="T353" i="2"/>
  <c r="U353" i="2"/>
  <c r="V353" i="2"/>
  <c r="W353" i="2"/>
  <c r="W352" i="2" s="1"/>
  <c r="X353" i="2"/>
  <c r="E355" i="2"/>
  <c r="F355" i="2"/>
  <c r="G355" i="2"/>
  <c r="H355" i="2"/>
  <c r="I355" i="2"/>
  <c r="J355" i="2"/>
  <c r="K355" i="2"/>
  <c r="K352" i="2" s="1"/>
  <c r="L355" i="2"/>
  <c r="M355" i="2"/>
  <c r="N355" i="2"/>
  <c r="O355" i="2"/>
  <c r="P355" i="2"/>
  <c r="Q355" i="2"/>
  <c r="R355" i="2"/>
  <c r="S355" i="2"/>
  <c r="T355" i="2"/>
  <c r="U355" i="2"/>
  <c r="V355" i="2"/>
  <c r="W355" i="2"/>
  <c r="X355" i="2"/>
  <c r="E358" i="2"/>
  <c r="F358" i="2"/>
  <c r="G358" i="2"/>
  <c r="H358" i="2"/>
  <c r="I358" i="2"/>
  <c r="J358" i="2"/>
  <c r="K358" i="2"/>
  <c r="L358" i="2"/>
  <c r="M358" i="2"/>
  <c r="N358" i="2"/>
  <c r="O358" i="2"/>
  <c r="P358" i="2"/>
  <c r="Q358" i="2"/>
  <c r="R358" i="2"/>
  <c r="S358" i="2"/>
  <c r="T358" i="2"/>
  <c r="U358" i="2"/>
  <c r="V358" i="2"/>
  <c r="W358" i="2"/>
  <c r="X358" i="2"/>
  <c r="E360" i="2"/>
  <c r="F360" i="2"/>
  <c r="G360" i="2"/>
  <c r="H360" i="2"/>
  <c r="I360" i="2"/>
  <c r="J360" i="2"/>
  <c r="K360" i="2"/>
  <c r="L360" i="2"/>
  <c r="M360" i="2"/>
  <c r="N360" i="2"/>
  <c r="O360" i="2"/>
  <c r="P360" i="2"/>
  <c r="Q360" i="2"/>
  <c r="R360" i="2"/>
  <c r="S360" i="2"/>
  <c r="T360" i="2"/>
  <c r="U360" i="2"/>
  <c r="V360" i="2"/>
  <c r="W360" i="2"/>
  <c r="X360" i="2"/>
  <c r="E363" i="2"/>
  <c r="F363" i="2"/>
  <c r="G363" i="2"/>
  <c r="H363" i="2"/>
  <c r="I363" i="2"/>
  <c r="J363" i="2"/>
  <c r="K363" i="2"/>
  <c r="L363" i="2"/>
  <c r="M363" i="2"/>
  <c r="N363" i="2"/>
  <c r="O363" i="2"/>
  <c r="P363" i="2"/>
  <c r="Q363" i="2"/>
  <c r="R363" i="2"/>
  <c r="S363" i="2"/>
  <c r="T363" i="2"/>
  <c r="U363" i="2"/>
  <c r="V363" i="2"/>
  <c r="W363" i="2"/>
  <c r="X363" i="2"/>
  <c r="E365" i="2"/>
  <c r="F365" i="2"/>
  <c r="G365" i="2"/>
  <c r="H365" i="2"/>
  <c r="I365" i="2"/>
  <c r="J365" i="2"/>
  <c r="K365" i="2"/>
  <c r="L365" i="2"/>
  <c r="M365" i="2"/>
  <c r="N365" i="2"/>
  <c r="O365" i="2"/>
  <c r="P365" i="2"/>
  <c r="Q365" i="2"/>
  <c r="R365" i="2"/>
  <c r="S365" i="2"/>
  <c r="T365" i="2"/>
  <c r="U365" i="2"/>
  <c r="V365" i="2"/>
  <c r="W365" i="2"/>
  <c r="X365" i="2"/>
  <c r="E369" i="2"/>
  <c r="F369" i="2"/>
  <c r="G369" i="2"/>
  <c r="H369" i="2"/>
  <c r="I369" i="2"/>
  <c r="J369" i="2"/>
  <c r="K369" i="2"/>
  <c r="L369" i="2"/>
  <c r="M369" i="2"/>
  <c r="N369" i="2"/>
  <c r="O369" i="2"/>
  <c r="P369" i="2"/>
  <c r="Q369" i="2"/>
  <c r="R369" i="2"/>
  <c r="S369" i="2"/>
  <c r="T369" i="2"/>
  <c r="U369" i="2"/>
  <c r="V369" i="2"/>
  <c r="W369" i="2"/>
  <c r="X369" i="2"/>
  <c r="E371" i="2"/>
  <c r="F371" i="2"/>
  <c r="G371" i="2"/>
  <c r="H371" i="2"/>
  <c r="I371" i="2"/>
  <c r="J371" i="2"/>
  <c r="K371" i="2"/>
  <c r="L371" i="2"/>
  <c r="M371" i="2"/>
  <c r="N371" i="2"/>
  <c r="O371" i="2"/>
  <c r="P371" i="2"/>
  <c r="Q371" i="2"/>
  <c r="R371" i="2"/>
  <c r="S371" i="2"/>
  <c r="T371" i="2"/>
  <c r="U371" i="2"/>
  <c r="V371" i="2"/>
  <c r="W371" i="2"/>
  <c r="X371" i="2"/>
  <c r="E376" i="2"/>
  <c r="F376" i="2"/>
  <c r="G376" i="2"/>
  <c r="H376" i="2"/>
  <c r="I376" i="2"/>
  <c r="J376" i="2"/>
  <c r="K376" i="2"/>
  <c r="L376" i="2"/>
  <c r="M376" i="2"/>
  <c r="N376" i="2"/>
  <c r="O376" i="2"/>
  <c r="P376" i="2"/>
  <c r="Q376" i="2"/>
  <c r="R376" i="2"/>
  <c r="S376" i="2"/>
  <c r="T376" i="2"/>
  <c r="U376" i="2"/>
  <c r="V376" i="2"/>
  <c r="W376" i="2"/>
  <c r="X376" i="2"/>
  <c r="E378" i="2"/>
  <c r="F378" i="2"/>
  <c r="G378" i="2"/>
  <c r="H378" i="2"/>
  <c r="I378" i="2"/>
  <c r="J378" i="2"/>
  <c r="K378" i="2"/>
  <c r="L378" i="2"/>
  <c r="M378" i="2"/>
  <c r="N378" i="2"/>
  <c r="O378" i="2"/>
  <c r="P378" i="2"/>
  <c r="Q378" i="2"/>
  <c r="R378" i="2"/>
  <c r="S378" i="2"/>
  <c r="T378" i="2"/>
  <c r="U378" i="2"/>
  <c r="V378" i="2"/>
  <c r="W378" i="2"/>
  <c r="X378" i="2"/>
  <c r="E380" i="2"/>
  <c r="F380" i="2"/>
  <c r="G380" i="2"/>
  <c r="H380" i="2"/>
  <c r="I380" i="2"/>
  <c r="J380" i="2"/>
  <c r="K380" i="2"/>
  <c r="L380" i="2"/>
  <c r="M380" i="2"/>
  <c r="N380" i="2"/>
  <c r="O380" i="2"/>
  <c r="P380" i="2"/>
  <c r="Q380" i="2"/>
  <c r="R380" i="2"/>
  <c r="S380" i="2"/>
  <c r="T380" i="2"/>
  <c r="U380" i="2"/>
  <c r="V380" i="2"/>
  <c r="W380" i="2"/>
  <c r="X380" i="2"/>
  <c r="E382" i="2"/>
  <c r="F382" i="2"/>
  <c r="G382" i="2"/>
  <c r="H382" i="2"/>
  <c r="I382" i="2"/>
  <c r="J382" i="2"/>
  <c r="K382" i="2"/>
  <c r="L382" i="2"/>
  <c r="M382" i="2"/>
  <c r="N382" i="2"/>
  <c r="O382" i="2"/>
  <c r="P382" i="2"/>
  <c r="Q382" i="2"/>
  <c r="R382" i="2"/>
  <c r="S382" i="2"/>
  <c r="T382" i="2"/>
  <c r="U382" i="2"/>
  <c r="V382" i="2"/>
  <c r="W382" i="2"/>
  <c r="X382" i="2"/>
  <c r="E384" i="2"/>
  <c r="F384" i="2"/>
  <c r="G384" i="2"/>
  <c r="H384" i="2"/>
  <c r="I384" i="2"/>
  <c r="J384" i="2"/>
  <c r="K384" i="2"/>
  <c r="L384" i="2"/>
  <c r="M384" i="2"/>
  <c r="N384" i="2"/>
  <c r="O384" i="2"/>
  <c r="P384" i="2"/>
  <c r="Q384" i="2"/>
  <c r="R384" i="2"/>
  <c r="S384" i="2"/>
  <c r="T384" i="2"/>
  <c r="U384" i="2"/>
  <c r="V384" i="2"/>
  <c r="W384" i="2"/>
  <c r="X384" i="2"/>
  <c r="E386" i="2"/>
  <c r="F386" i="2"/>
  <c r="G386" i="2"/>
  <c r="H386" i="2"/>
  <c r="I386" i="2"/>
  <c r="J386" i="2"/>
  <c r="K386" i="2"/>
  <c r="L386" i="2"/>
  <c r="M386" i="2"/>
  <c r="N386" i="2"/>
  <c r="O386" i="2"/>
  <c r="P386" i="2"/>
  <c r="Q386" i="2"/>
  <c r="R386" i="2"/>
  <c r="S386" i="2"/>
  <c r="T386" i="2"/>
  <c r="U386" i="2"/>
  <c r="V386" i="2"/>
  <c r="W386" i="2"/>
  <c r="X386" i="2"/>
  <c r="E388" i="2"/>
  <c r="F388" i="2"/>
  <c r="G388" i="2"/>
  <c r="H388" i="2"/>
  <c r="I388" i="2"/>
  <c r="J388" i="2"/>
  <c r="K388" i="2"/>
  <c r="L388" i="2"/>
  <c r="M388" i="2"/>
  <c r="N388" i="2"/>
  <c r="O388" i="2"/>
  <c r="P388" i="2"/>
  <c r="Q388" i="2"/>
  <c r="R388" i="2"/>
  <c r="S388" i="2"/>
  <c r="T388" i="2"/>
  <c r="U388" i="2"/>
  <c r="V388" i="2"/>
  <c r="W388" i="2"/>
  <c r="X388" i="2"/>
  <c r="E390" i="2"/>
  <c r="F390" i="2"/>
  <c r="G390" i="2"/>
  <c r="H390" i="2"/>
  <c r="I390" i="2"/>
  <c r="J390" i="2"/>
  <c r="K390" i="2"/>
  <c r="L390" i="2"/>
  <c r="M390" i="2"/>
  <c r="N390" i="2"/>
  <c r="O390" i="2"/>
  <c r="P390" i="2"/>
  <c r="Q390" i="2"/>
  <c r="R390" i="2"/>
  <c r="S390" i="2"/>
  <c r="T390" i="2"/>
  <c r="U390" i="2"/>
  <c r="V390" i="2"/>
  <c r="W390" i="2"/>
  <c r="X390" i="2"/>
  <c r="E392" i="2"/>
  <c r="F392" i="2"/>
  <c r="G392" i="2"/>
  <c r="H392" i="2"/>
  <c r="I392" i="2"/>
  <c r="J392" i="2"/>
  <c r="K392" i="2"/>
  <c r="L392" i="2"/>
  <c r="M392" i="2"/>
  <c r="N392" i="2"/>
  <c r="O392" i="2"/>
  <c r="P392" i="2"/>
  <c r="Q392" i="2"/>
  <c r="R392" i="2"/>
  <c r="S392" i="2"/>
  <c r="T392" i="2"/>
  <c r="U392" i="2"/>
  <c r="V392" i="2"/>
  <c r="W392" i="2"/>
  <c r="X392" i="2"/>
  <c r="E394" i="2"/>
  <c r="F394" i="2"/>
  <c r="G394" i="2"/>
  <c r="H394" i="2"/>
  <c r="I394" i="2"/>
  <c r="J394" i="2"/>
  <c r="K394" i="2"/>
  <c r="L394" i="2"/>
  <c r="M394" i="2"/>
  <c r="N394" i="2"/>
  <c r="O394" i="2"/>
  <c r="P394" i="2"/>
  <c r="Q394" i="2"/>
  <c r="R394" i="2"/>
  <c r="S394" i="2"/>
  <c r="T394" i="2"/>
  <c r="U394" i="2"/>
  <c r="V394" i="2"/>
  <c r="W394" i="2"/>
  <c r="X394" i="2"/>
  <c r="E396" i="2"/>
  <c r="F396" i="2"/>
  <c r="G396" i="2"/>
  <c r="H396" i="2"/>
  <c r="I396" i="2"/>
  <c r="J396" i="2"/>
  <c r="K396" i="2"/>
  <c r="L396" i="2"/>
  <c r="M396" i="2"/>
  <c r="N396" i="2"/>
  <c r="O396" i="2"/>
  <c r="P396" i="2"/>
  <c r="Q396" i="2"/>
  <c r="R396" i="2"/>
  <c r="S396" i="2"/>
  <c r="T396" i="2"/>
  <c r="U396" i="2"/>
  <c r="V396" i="2"/>
  <c r="W396" i="2"/>
  <c r="X396" i="2"/>
  <c r="E398" i="2"/>
  <c r="F398" i="2"/>
  <c r="G398" i="2"/>
  <c r="H398" i="2"/>
  <c r="I398" i="2"/>
  <c r="J398" i="2"/>
  <c r="K398" i="2"/>
  <c r="L398" i="2"/>
  <c r="M398" i="2"/>
  <c r="N398" i="2"/>
  <c r="O398" i="2"/>
  <c r="P398" i="2"/>
  <c r="Q398" i="2"/>
  <c r="R398" i="2"/>
  <c r="S398" i="2"/>
  <c r="T398" i="2"/>
  <c r="U398" i="2"/>
  <c r="V398" i="2"/>
  <c r="W398" i="2"/>
  <c r="X398" i="2"/>
  <c r="E400" i="2"/>
  <c r="F400" i="2"/>
  <c r="G400" i="2"/>
  <c r="H400" i="2"/>
  <c r="I400" i="2"/>
  <c r="J400" i="2"/>
  <c r="K400" i="2"/>
  <c r="L400" i="2"/>
  <c r="M400" i="2"/>
  <c r="N400" i="2"/>
  <c r="O400" i="2"/>
  <c r="P400" i="2"/>
  <c r="Q400" i="2"/>
  <c r="R400" i="2"/>
  <c r="S400" i="2"/>
  <c r="T400" i="2"/>
  <c r="U400" i="2"/>
  <c r="V400" i="2"/>
  <c r="W400" i="2"/>
  <c r="X400" i="2"/>
  <c r="E402" i="2"/>
  <c r="F402" i="2"/>
  <c r="G402" i="2"/>
  <c r="H402" i="2"/>
  <c r="I402" i="2"/>
  <c r="J402" i="2"/>
  <c r="K402" i="2"/>
  <c r="L402" i="2"/>
  <c r="M402" i="2"/>
  <c r="N402" i="2"/>
  <c r="O402" i="2"/>
  <c r="P402" i="2"/>
  <c r="Q402" i="2"/>
  <c r="R402" i="2"/>
  <c r="S402" i="2"/>
  <c r="T402" i="2"/>
  <c r="U402" i="2"/>
  <c r="V402" i="2"/>
  <c r="W402" i="2"/>
  <c r="X402" i="2"/>
  <c r="E404" i="2"/>
  <c r="F404" i="2"/>
  <c r="G404" i="2"/>
  <c r="H404" i="2"/>
  <c r="I404" i="2"/>
  <c r="J404" i="2"/>
  <c r="K404" i="2"/>
  <c r="L404" i="2"/>
  <c r="M404" i="2"/>
  <c r="N404" i="2"/>
  <c r="O404" i="2"/>
  <c r="P404" i="2"/>
  <c r="Q404" i="2"/>
  <c r="R404" i="2"/>
  <c r="S404" i="2"/>
  <c r="T404" i="2"/>
  <c r="U404" i="2"/>
  <c r="V404" i="2"/>
  <c r="W404" i="2"/>
  <c r="X404" i="2"/>
  <c r="E408" i="2"/>
  <c r="F408" i="2"/>
  <c r="G408" i="2"/>
  <c r="H408" i="2"/>
  <c r="I408" i="2"/>
  <c r="J408" i="2"/>
  <c r="K408" i="2"/>
  <c r="L408" i="2"/>
  <c r="M408" i="2"/>
  <c r="N408" i="2"/>
  <c r="O408" i="2"/>
  <c r="P408" i="2"/>
  <c r="Q408" i="2"/>
  <c r="R408" i="2"/>
  <c r="S408" i="2"/>
  <c r="T408" i="2"/>
  <c r="U408" i="2"/>
  <c r="V408" i="2"/>
  <c r="W408" i="2"/>
  <c r="X408" i="2"/>
  <c r="E410" i="2"/>
  <c r="F410" i="2"/>
  <c r="G410" i="2"/>
  <c r="H410" i="2"/>
  <c r="I410" i="2"/>
  <c r="J410" i="2"/>
  <c r="K410" i="2"/>
  <c r="L410" i="2"/>
  <c r="M410" i="2"/>
  <c r="N410" i="2"/>
  <c r="O410" i="2"/>
  <c r="P410" i="2"/>
  <c r="Q410" i="2"/>
  <c r="R410" i="2"/>
  <c r="S410" i="2"/>
  <c r="T410" i="2"/>
  <c r="U410" i="2"/>
  <c r="V410" i="2"/>
  <c r="W410" i="2"/>
  <c r="X410" i="2"/>
  <c r="E412" i="2"/>
  <c r="F412" i="2"/>
  <c r="G412" i="2"/>
  <c r="H412" i="2"/>
  <c r="I412" i="2"/>
  <c r="J412" i="2"/>
  <c r="K412" i="2"/>
  <c r="L412" i="2"/>
  <c r="M412" i="2"/>
  <c r="N412" i="2"/>
  <c r="O412" i="2"/>
  <c r="P412" i="2"/>
  <c r="Q412" i="2"/>
  <c r="R412" i="2"/>
  <c r="S412" i="2"/>
  <c r="T412" i="2"/>
  <c r="U412" i="2"/>
  <c r="V412" i="2"/>
  <c r="W412" i="2"/>
  <c r="X412" i="2"/>
  <c r="E414" i="2"/>
  <c r="F414" i="2"/>
  <c r="G414" i="2"/>
  <c r="H414" i="2"/>
  <c r="I414" i="2"/>
  <c r="J414" i="2"/>
  <c r="K414" i="2"/>
  <c r="L414" i="2"/>
  <c r="M414" i="2"/>
  <c r="N414" i="2"/>
  <c r="O414" i="2"/>
  <c r="P414" i="2"/>
  <c r="Q414" i="2"/>
  <c r="R414" i="2"/>
  <c r="S414" i="2"/>
  <c r="T414" i="2"/>
  <c r="U414" i="2"/>
  <c r="V414" i="2"/>
  <c r="W414" i="2"/>
  <c r="X414" i="2"/>
  <c r="E416" i="2"/>
  <c r="F416" i="2"/>
  <c r="G416" i="2"/>
  <c r="H416" i="2"/>
  <c r="I416" i="2"/>
  <c r="J416" i="2"/>
  <c r="K416" i="2"/>
  <c r="L416" i="2"/>
  <c r="M416" i="2"/>
  <c r="N416" i="2"/>
  <c r="O416" i="2"/>
  <c r="P416" i="2"/>
  <c r="Q416" i="2"/>
  <c r="R416" i="2"/>
  <c r="S416" i="2"/>
  <c r="T416" i="2"/>
  <c r="U416" i="2"/>
  <c r="V416" i="2"/>
  <c r="W416" i="2"/>
  <c r="X416" i="2"/>
  <c r="E418" i="2"/>
  <c r="F418" i="2"/>
  <c r="G418" i="2"/>
  <c r="H418" i="2"/>
  <c r="I418" i="2"/>
  <c r="J418" i="2"/>
  <c r="K418" i="2"/>
  <c r="L418" i="2"/>
  <c r="M418" i="2"/>
  <c r="N418" i="2"/>
  <c r="O418" i="2"/>
  <c r="P418" i="2"/>
  <c r="Q418" i="2"/>
  <c r="R418" i="2"/>
  <c r="S418" i="2"/>
  <c r="T418" i="2"/>
  <c r="U418" i="2"/>
  <c r="V418" i="2"/>
  <c r="W418" i="2"/>
  <c r="X418" i="2"/>
  <c r="E420" i="2"/>
  <c r="F420" i="2"/>
  <c r="G420" i="2"/>
  <c r="H420" i="2"/>
  <c r="I420" i="2"/>
  <c r="J420" i="2"/>
  <c r="K420" i="2"/>
  <c r="L420" i="2"/>
  <c r="M420" i="2"/>
  <c r="N420" i="2"/>
  <c r="O420" i="2"/>
  <c r="P420" i="2"/>
  <c r="Q420" i="2"/>
  <c r="R420" i="2"/>
  <c r="S420" i="2"/>
  <c r="T420" i="2"/>
  <c r="U420" i="2"/>
  <c r="V420" i="2"/>
  <c r="W420" i="2"/>
  <c r="X420" i="2"/>
  <c r="E422" i="2"/>
  <c r="F422" i="2"/>
  <c r="G422" i="2"/>
  <c r="H422" i="2"/>
  <c r="I422" i="2"/>
  <c r="J422" i="2"/>
  <c r="K422" i="2"/>
  <c r="L422" i="2"/>
  <c r="M422" i="2"/>
  <c r="N422" i="2"/>
  <c r="O422" i="2"/>
  <c r="P422" i="2"/>
  <c r="Q422" i="2"/>
  <c r="R422" i="2"/>
  <c r="S422" i="2"/>
  <c r="T422" i="2"/>
  <c r="U422" i="2"/>
  <c r="V422" i="2"/>
  <c r="W422" i="2"/>
  <c r="X422" i="2"/>
  <c r="E424" i="2"/>
  <c r="F424" i="2"/>
  <c r="G424" i="2"/>
  <c r="H424" i="2"/>
  <c r="I424" i="2"/>
  <c r="J424" i="2"/>
  <c r="K424" i="2"/>
  <c r="L424" i="2"/>
  <c r="M424" i="2"/>
  <c r="N424" i="2"/>
  <c r="O424" i="2"/>
  <c r="P424" i="2"/>
  <c r="Q424" i="2"/>
  <c r="R424" i="2"/>
  <c r="S424" i="2"/>
  <c r="T424" i="2"/>
  <c r="U424" i="2"/>
  <c r="V424" i="2"/>
  <c r="W424" i="2"/>
  <c r="X424" i="2"/>
  <c r="E426" i="2"/>
  <c r="F426" i="2"/>
  <c r="G426" i="2"/>
  <c r="H426" i="2"/>
  <c r="I426" i="2"/>
  <c r="J426" i="2"/>
  <c r="K426" i="2"/>
  <c r="L426" i="2"/>
  <c r="M426" i="2"/>
  <c r="N426" i="2"/>
  <c r="O426" i="2"/>
  <c r="P426" i="2"/>
  <c r="Q426" i="2"/>
  <c r="R426" i="2"/>
  <c r="S426" i="2"/>
  <c r="T426" i="2"/>
  <c r="U426" i="2"/>
  <c r="V426" i="2"/>
  <c r="W426" i="2"/>
  <c r="X426" i="2"/>
  <c r="E428" i="2"/>
  <c r="F428" i="2"/>
  <c r="G428" i="2"/>
  <c r="H428" i="2"/>
  <c r="I428" i="2"/>
  <c r="J428" i="2"/>
  <c r="K428" i="2"/>
  <c r="L428" i="2"/>
  <c r="M428" i="2"/>
  <c r="N428" i="2"/>
  <c r="O428" i="2"/>
  <c r="P428" i="2"/>
  <c r="Q428" i="2"/>
  <c r="R428" i="2"/>
  <c r="S428" i="2"/>
  <c r="T428" i="2"/>
  <c r="U428" i="2"/>
  <c r="V428" i="2"/>
  <c r="W428" i="2"/>
  <c r="X428" i="2"/>
  <c r="E430" i="2"/>
  <c r="F430" i="2"/>
  <c r="G430" i="2"/>
  <c r="H430" i="2"/>
  <c r="I430" i="2"/>
  <c r="J430" i="2"/>
  <c r="K430" i="2"/>
  <c r="L430" i="2"/>
  <c r="M430" i="2"/>
  <c r="N430" i="2"/>
  <c r="O430" i="2"/>
  <c r="P430" i="2"/>
  <c r="Q430" i="2"/>
  <c r="R430" i="2"/>
  <c r="S430" i="2"/>
  <c r="T430" i="2"/>
  <c r="U430" i="2"/>
  <c r="V430" i="2"/>
  <c r="W430" i="2"/>
  <c r="X430" i="2"/>
  <c r="E432" i="2"/>
  <c r="F432" i="2"/>
  <c r="G432" i="2"/>
  <c r="H432" i="2"/>
  <c r="I432" i="2"/>
  <c r="J432" i="2"/>
  <c r="K432" i="2"/>
  <c r="L432" i="2"/>
  <c r="M432" i="2"/>
  <c r="N432" i="2"/>
  <c r="O432" i="2"/>
  <c r="P432" i="2"/>
  <c r="Q432" i="2"/>
  <c r="R432" i="2"/>
  <c r="S432" i="2"/>
  <c r="T432" i="2"/>
  <c r="U432" i="2"/>
  <c r="V432" i="2"/>
  <c r="W432" i="2"/>
  <c r="X432" i="2"/>
  <c r="E434" i="2"/>
  <c r="F434" i="2"/>
  <c r="G434" i="2"/>
  <c r="H434" i="2"/>
  <c r="I434" i="2"/>
  <c r="J434" i="2"/>
  <c r="K434" i="2"/>
  <c r="L434" i="2"/>
  <c r="M434" i="2"/>
  <c r="N434" i="2"/>
  <c r="O434" i="2"/>
  <c r="P434" i="2"/>
  <c r="Q434" i="2"/>
  <c r="R434" i="2"/>
  <c r="S434" i="2"/>
  <c r="T434" i="2"/>
  <c r="U434" i="2"/>
  <c r="V434" i="2"/>
  <c r="W434" i="2"/>
  <c r="X434" i="2"/>
  <c r="E436" i="2"/>
  <c r="F436" i="2"/>
  <c r="G436" i="2"/>
  <c r="H436" i="2"/>
  <c r="I436" i="2"/>
  <c r="J436" i="2"/>
  <c r="K436" i="2"/>
  <c r="L436" i="2"/>
  <c r="M436" i="2"/>
  <c r="N436" i="2"/>
  <c r="O436" i="2"/>
  <c r="P436" i="2"/>
  <c r="Q436" i="2"/>
  <c r="R436" i="2"/>
  <c r="S436" i="2"/>
  <c r="T436" i="2"/>
  <c r="U436" i="2"/>
  <c r="V436" i="2"/>
  <c r="W436" i="2"/>
  <c r="X436" i="2"/>
  <c r="E438" i="2"/>
  <c r="F438" i="2"/>
  <c r="G438" i="2"/>
  <c r="H438" i="2"/>
  <c r="I438" i="2"/>
  <c r="J438" i="2"/>
  <c r="K438" i="2"/>
  <c r="L438" i="2"/>
  <c r="M438" i="2"/>
  <c r="N438" i="2"/>
  <c r="O438" i="2"/>
  <c r="P438" i="2"/>
  <c r="Q438" i="2"/>
  <c r="R438" i="2"/>
  <c r="S438" i="2"/>
  <c r="T438" i="2"/>
  <c r="U438" i="2"/>
  <c r="V438" i="2"/>
  <c r="W438" i="2"/>
  <c r="X438" i="2"/>
  <c r="E440" i="2"/>
  <c r="F440" i="2"/>
  <c r="G440" i="2"/>
  <c r="H440" i="2"/>
  <c r="I440" i="2"/>
  <c r="J440" i="2"/>
  <c r="K440" i="2"/>
  <c r="L440" i="2"/>
  <c r="M440" i="2"/>
  <c r="N440" i="2"/>
  <c r="O440" i="2"/>
  <c r="P440" i="2"/>
  <c r="Q440" i="2"/>
  <c r="R440" i="2"/>
  <c r="S440" i="2"/>
  <c r="T440" i="2"/>
  <c r="U440" i="2"/>
  <c r="V440" i="2"/>
  <c r="W440" i="2"/>
  <c r="X440" i="2"/>
  <c r="E443" i="2"/>
  <c r="F443" i="2"/>
  <c r="G443" i="2"/>
  <c r="H443" i="2"/>
  <c r="I443" i="2"/>
  <c r="J443" i="2"/>
  <c r="K443" i="2"/>
  <c r="L443" i="2"/>
  <c r="M443" i="2"/>
  <c r="N443" i="2"/>
  <c r="O443" i="2"/>
  <c r="P443" i="2"/>
  <c r="Q443" i="2"/>
  <c r="R443" i="2"/>
  <c r="S443" i="2"/>
  <c r="T443" i="2"/>
  <c r="U443" i="2"/>
  <c r="V443" i="2"/>
  <c r="W443" i="2"/>
  <c r="X443" i="2"/>
  <c r="E445" i="2"/>
  <c r="F445" i="2"/>
  <c r="G445" i="2"/>
  <c r="H445" i="2"/>
  <c r="I445" i="2"/>
  <c r="J445" i="2"/>
  <c r="K445" i="2"/>
  <c r="L445" i="2"/>
  <c r="M445" i="2"/>
  <c r="N445" i="2"/>
  <c r="O445" i="2"/>
  <c r="P445" i="2"/>
  <c r="Q445" i="2"/>
  <c r="R445" i="2"/>
  <c r="S445" i="2"/>
  <c r="T445" i="2"/>
  <c r="U445" i="2"/>
  <c r="V445" i="2"/>
  <c r="W445" i="2"/>
  <c r="X445" i="2"/>
  <c r="E447" i="2"/>
  <c r="F447" i="2"/>
  <c r="G447" i="2"/>
  <c r="H447" i="2"/>
  <c r="I447" i="2"/>
  <c r="J447" i="2"/>
  <c r="K447" i="2"/>
  <c r="L447" i="2"/>
  <c r="M447" i="2"/>
  <c r="N447" i="2"/>
  <c r="O447" i="2"/>
  <c r="P447" i="2"/>
  <c r="Q447" i="2"/>
  <c r="R447" i="2"/>
  <c r="S447" i="2"/>
  <c r="T447" i="2"/>
  <c r="U447" i="2"/>
  <c r="V447" i="2"/>
  <c r="W447" i="2"/>
  <c r="X447" i="2"/>
  <c r="J449" i="2"/>
  <c r="Q449" i="2"/>
  <c r="E450" i="2"/>
  <c r="E449" i="2" s="1"/>
  <c r="F450" i="2"/>
  <c r="F449" i="2" s="1"/>
  <c r="G450" i="2"/>
  <c r="G449" i="2" s="1"/>
  <c r="H450" i="2"/>
  <c r="H449" i="2" s="1"/>
  <c r="I450" i="2"/>
  <c r="I449" i="2" s="1"/>
  <c r="J450" i="2"/>
  <c r="K450" i="2"/>
  <c r="K449" i="2" s="1"/>
  <c r="L450" i="2"/>
  <c r="L449" i="2" s="1"/>
  <c r="M450" i="2"/>
  <c r="M449" i="2" s="1"/>
  <c r="N450" i="2"/>
  <c r="N449" i="2" s="1"/>
  <c r="O450" i="2"/>
  <c r="O449" i="2" s="1"/>
  <c r="P450" i="2"/>
  <c r="P449" i="2" s="1"/>
  <c r="Q450" i="2"/>
  <c r="R450" i="2"/>
  <c r="R449" i="2" s="1"/>
  <c r="S450" i="2"/>
  <c r="S449" i="2" s="1"/>
  <c r="T450" i="2"/>
  <c r="T449" i="2" s="1"/>
  <c r="U450" i="2"/>
  <c r="U449" i="2" s="1"/>
  <c r="V450" i="2"/>
  <c r="V449" i="2" s="1"/>
  <c r="W450" i="2"/>
  <c r="W449" i="2" s="1"/>
  <c r="X450" i="2"/>
  <c r="X449" i="2" s="1"/>
  <c r="E453" i="2"/>
  <c r="E452" i="2" s="1"/>
  <c r="F453" i="2"/>
  <c r="F452" i="2" s="1"/>
  <c r="G453" i="2"/>
  <c r="G452" i="2" s="1"/>
  <c r="H453" i="2"/>
  <c r="H452" i="2" s="1"/>
  <c r="I453" i="2"/>
  <c r="I452" i="2" s="1"/>
  <c r="J453" i="2"/>
  <c r="J452" i="2" s="1"/>
  <c r="K453" i="2"/>
  <c r="K452" i="2" s="1"/>
  <c r="L453" i="2"/>
  <c r="L452" i="2" s="1"/>
  <c r="M453" i="2"/>
  <c r="M452" i="2" s="1"/>
  <c r="N453" i="2"/>
  <c r="N452" i="2" s="1"/>
  <c r="O453" i="2"/>
  <c r="O452" i="2" s="1"/>
  <c r="P453" i="2"/>
  <c r="P452" i="2" s="1"/>
  <c r="Q453" i="2"/>
  <c r="Q452" i="2" s="1"/>
  <c r="R453" i="2"/>
  <c r="R452" i="2" s="1"/>
  <c r="S453" i="2"/>
  <c r="S452" i="2" s="1"/>
  <c r="T453" i="2"/>
  <c r="T452" i="2" s="1"/>
  <c r="U453" i="2"/>
  <c r="U452" i="2" s="1"/>
  <c r="V453" i="2"/>
  <c r="V452" i="2" s="1"/>
  <c r="W453" i="2"/>
  <c r="W452" i="2" s="1"/>
  <c r="X453" i="2"/>
  <c r="X452" i="2" s="1"/>
  <c r="E457" i="2"/>
  <c r="E455" i="2" s="1"/>
  <c r="F457" i="2"/>
  <c r="F455" i="2" s="1"/>
  <c r="G457" i="2"/>
  <c r="G455" i="2" s="1"/>
  <c r="H457" i="2"/>
  <c r="H455" i="2" s="1"/>
  <c r="I457" i="2"/>
  <c r="I455" i="2" s="1"/>
  <c r="J457" i="2"/>
  <c r="J455" i="2" s="1"/>
  <c r="K457" i="2"/>
  <c r="K455" i="2" s="1"/>
  <c r="L457" i="2"/>
  <c r="L455" i="2" s="1"/>
  <c r="M457" i="2"/>
  <c r="M455" i="2" s="1"/>
  <c r="N457" i="2"/>
  <c r="N455" i="2" s="1"/>
  <c r="O457" i="2"/>
  <c r="O455" i="2" s="1"/>
  <c r="P457" i="2"/>
  <c r="P455" i="2" s="1"/>
  <c r="Q457" i="2"/>
  <c r="Q455" i="2" s="1"/>
  <c r="R457" i="2"/>
  <c r="R455" i="2" s="1"/>
  <c r="S457" i="2"/>
  <c r="S455" i="2" s="1"/>
  <c r="T457" i="2"/>
  <c r="T455" i="2" s="1"/>
  <c r="U457" i="2"/>
  <c r="U455" i="2" s="1"/>
  <c r="V457" i="2"/>
  <c r="V455" i="2" s="1"/>
  <c r="W457" i="2"/>
  <c r="W455" i="2" s="1"/>
  <c r="X457" i="2"/>
  <c r="X455" i="2" s="1"/>
  <c r="E462" i="2"/>
  <c r="F462" i="2"/>
  <c r="G462" i="2"/>
  <c r="H462" i="2"/>
  <c r="I462" i="2"/>
  <c r="J462" i="2"/>
  <c r="K462" i="2"/>
  <c r="L462" i="2"/>
  <c r="M462" i="2"/>
  <c r="N462" i="2"/>
  <c r="O462" i="2"/>
  <c r="P462" i="2"/>
  <c r="Q462" i="2"/>
  <c r="R462" i="2"/>
  <c r="S462" i="2"/>
  <c r="T462" i="2"/>
  <c r="U462" i="2"/>
  <c r="V462" i="2"/>
  <c r="W462" i="2"/>
  <c r="X462" i="2"/>
  <c r="E464" i="2"/>
  <c r="F464" i="2"/>
  <c r="G464" i="2"/>
  <c r="H464" i="2"/>
  <c r="I464" i="2"/>
  <c r="J464" i="2"/>
  <c r="K464" i="2"/>
  <c r="L464" i="2"/>
  <c r="M464" i="2"/>
  <c r="N464" i="2"/>
  <c r="O464" i="2"/>
  <c r="P464" i="2"/>
  <c r="Q464" i="2"/>
  <c r="R464" i="2"/>
  <c r="S464" i="2"/>
  <c r="T464" i="2"/>
  <c r="U464" i="2"/>
  <c r="V464" i="2"/>
  <c r="W464" i="2"/>
  <c r="X464" i="2"/>
  <c r="E466" i="2"/>
  <c r="F466" i="2"/>
  <c r="G466" i="2"/>
  <c r="H466" i="2"/>
  <c r="I466" i="2"/>
  <c r="J466" i="2"/>
  <c r="K466" i="2"/>
  <c r="L466" i="2"/>
  <c r="M466" i="2"/>
  <c r="N466" i="2"/>
  <c r="O466" i="2"/>
  <c r="P466" i="2"/>
  <c r="Q466" i="2"/>
  <c r="R466" i="2"/>
  <c r="S466" i="2"/>
  <c r="T466" i="2"/>
  <c r="U466" i="2"/>
  <c r="V466" i="2"/>
  <c r="W466" i="2"/>
  <c r="X466" i="2"/>
  <c r="M468" i="2"/>
  <c r="E469" i="2"/>
  <c r="E468" i="2" s="1"/>
  <c r="F469" i="2"/>
  <c r="F468" i="2" s="1"/>
  <c r="G469" i="2"/>
  <c r="G468" i="2" s="1"/>
  <c r="H469" i="2"/>
  <c r="H468" i="2" s="1"/>
  <c r="I469" i="2"/>
  <c r="I468" i="2" s="1"/>
  <c r="J469" i="2"/>
  <c r="J468" i="2" s="1"/>
  <c r="K469" i="2"/>
  <c r="K468" i="2" s="1"/>
  <c r="L469" i="2"/>
  <c r="L468" i="2" s="1"/>
  <c r="M469" i="2"/>
  <c r="N469" i="2"/>
  <c r="N468" i="2" s="1"/>
  <c r="O469" i="2"/>
  <c r="O468" i="2" s="1"/>
  <c r="P469" i="2"/>
  <c r="P468" i="2" s="1"/>
  <c r="Q469" i="2"/>
  <c r="Q468" i="2" s="1"/>
  <c r="R469" i="2"/>
  <c r="R468" i="2" s="1"/>
  <c r="S469" i="2"/>
  <c r="S468" i="2" s="1"/>
  <c r="T469" i="2"/>
  <c r="T468" i="2" s="1"/>
  <c r="U469" i="2"/>
  <c r="U468" i="2" s="1"/>
  <c r="V469" i="2"/>
  <c r="V468" i="2" s="1"/>
  <c r="W469" i="2"/>
  <c r="W468" i="2" s="1"/>
  <c r="X469" i="2"/>
  <c r="X468" i="2" s="1"/>
  <c r="V471" i="2"/>
  <c r="E472" i="2"/>
  <c r="E471" i="2" s="1"/>
  <c r="F472" i="2"/>
  <c r="F471" i="2" s="1"/>
  <c r="G472" i="2"/>
  <c r="G471" i="2" s="1"/>
  <c r="H472" i="2"/>
  <c r="H471" i="2" s="1"/>
  <c r="I472" i="2"/>
  <c r="I471" i="2" s="1"/>
  <c r="J472" i="2"/>
  <c r="J471" i="2" s="1"/>
  <c r="K472" i="2"/>
  <c r="K471" i="2" s="1"/>
  <c r="L472" i="2"/>
  <c r="L471" i="2" s="1"/>
  <c r="M472" i="2"/>
  <c r="M471" i="2" s="1"/>
  <c r="N472" i="2"/>
  <c r="N471" i="2" s="1"/>
  <c r="O472" i="2"/>
  <c r="O471" i="2" s="1"/>
  <c r="P472" i="2"/>
  <c r="P471" i="2" s="1"/>
  <c r="Q472" i="2"/>
  <c r="Q471" i="2" s="1"/>
  <c r="R472" i="2"/>
  <c r="R471" i="2" s="1"/>
  <c r="S472" i="2"/>
  <c r="S471" i="2" s="1"/>
  <c r="T472" i="2"/>
  <c r="T471" i="2" s="1"/>
  <c r="U472" i="2"/>
  <c r="U471" i="2" s="1"/>
  <c r="V472" i="2"/>
  <c r="W472" i="2"/>
  <c r="W471" i="2" s="1"/>
  <c r="X472" i="2"/>
  <c r="X471" i="2" s="1"/>
  <c r="E476" i="2"/>
  <c r="F476" i="2"/>
  <c r="G476" i="2"/>
  <c r="H476" i="2"/>
  <c r="I476" i="2"/>
  <c r="J476" i="2"/>
  <c r="K476" i="2"/>
  <c r="L476" i="2"/>
  <c r="M476" i="2"/>
  <c r="N476" i="2"/>
  <c r="O476" i="2"/>
  <c r="P476" i="2"/>
  <c r="Q476" i="2"/>
  <c r="R476" i="2"/>
  <c r="S476" i="2"/>
  <c r="T476" i="2"/>
  <c r="U476" i="2"/>
  <c r="V476" i="2"/>
  <c r="W476" i="2"/>
  <c r="X476" i="2"/>
  <c r="E479" i="2"/>
  <c r="F479" i="2"/>
  <c r="G479" i="2"/>
  <c r="H479" i="2"/>
  <c r="I479" i="2"/>
  <c r="J479" i="2"/>
  <c r="K479" i="2"/>
  <c r="L479" i="2"/>
  <c r="M479" i="2"/>
  <c r="N479" i="2"/>
  <c r="O479" i="2"/>
  <c r="P479" i="2"/>
  <c r="Q479" i="2"/>
  <c r="R479" i="2"/>
  <c r="S479" i="2"/>
  <c r="T479" i="2"/>
  <c r="U479" i="2"/>
  <c r="V479" i="2"/>
  <c r="W479" i="2"/>
  <c r="X479" i="2"/>
  <c r="E481" i="2"/>
  <c r="F481" i="2"/>
  <c r="G481" i="2"/>
  <c r="H481" i="2"/>
  <c r="I481" i="2"/>
  <c r="J481" i="2"/>
  <c r="K481" i="2"/>
  <c r="L481" i="2"/>
  <c r="M481" i="2"/>
  <c r="N481" i="2"/>
  <c r="O481" i="2"/>
  <c r="P481" i="2"/>
  <c r="Q481" i="2"/>
  <c r="R481" i="2"/>
  <c r="S481" i="2"/>
  <c r="T481" i="2"/>
  <c r="U481" i="2"/>
  <c r="V481" i="2"/>
  <c r="W481" i="2"/>
  <c r="X481" i="2"/>
  <c r="E483" i="2"/>
  <c r="F483" i="2"/>
  <c r="G483" i="2"/>
  <c r="H483" i="2"/>
  <c r="I483" i="2"/>
  <c r="J483" i="2"/>
  <c r="K483" i="2"/>
  <c r="L483" i="2"/>
  <c r="M483" i="2"/>
  <c r="N483" i="2"/>
  <c r="O483" i="2"/>
  <c r="P483" i="2"/>
  <c r="Q483" i="2"/>
  <c r="R483" i="2"/>
  <c r="S483" i="2"/>
  <c r="T483" i="2"/>
  <c r="U483" i="2"/>
  <c r="V483" i="2"/>
  <c r="W483" i="2"/>
  <c r="X483" i="2"/>
  <c r="E485" i="2"/>
  <c r="F485" i="2"/>
  <c r="G485" i="2"/>
  <c r="H485" i="2"/>
  <c r="I485" i="2"/>
  <c r="J485" i="2"/>
  <c r="K485" i="2"/>
  <c r="L485" i="2"/>
  <c r="M485" i="2"/>
  <c r="N485" i="2"/>
  <c r="O485" i="2"/>
  <c r="P485" i="2"/>
  <c r="Q485" i="2"/>
  <c r="R485" i="2"/>
  <c r="S485" i="2"/>
  <c r="T485" i="2"/>
  <c r="U485" i="2"/>
  <c r="V485" i="2"/>
  <c r="W485" i="2"/>
  <c r="X485" i="2"/>
  <c r="E487" i="2"/>
  <c r="F487" i="2"/>
  <c r="G487" i="2"/>
  <c r="H487" i="2"/>
  <c r="I487" i="2"/>
  <c r="J487" i="2"/>
  <c r="K487" i="2"/>
  <c r="L487" i="2"/>
  <c r="M487" i="2"/>
  <c r="N487" i="2"/>
  <c r="O487" i="2"/>
  <c r="P487" i="2"/>
  <c r="Q487" i="2"/>
  <c r="R487" i="2"/>
  <c r="S487" i="2"/>
  <c r="T487" i="2"/>
  <c r="U487" i="2"/>
  <c r="V487" i="2"/>
  <c r="W487" i="2"/>
  <c r="X487" i="2"/>
  <c r="E489" i="2"/>
  <c r="F489" i="2"/>
  <c r="G489" i="2"/>
  <c r="H489" i="2"/>
  <c r="I489" i="2"/>
  <c r="J489" i="2"/>
  <c r="K489" i="2"/>
  <c r="L489" i="2"/>
  <c r="M489" i="2"/>
  <c r="N489" i="2"/>
  <c r="O489" i="2"/>
  <c r="P489" i="2"/>
  <c r="Q489" i="2"/>
  <c r="R489" i="2"/>
  <c r="S489" i="2"/>
  <c r="T489" i="2"/>
  <c r="U489" i="2"/>
  <c r="V489" i="2"/>
  <c r="W489" i="2"/>
  <c r="X489" i="2"/>
  <c r="E491" i="2"/>
  <c r="F491" i="2"/>
  <c r="G491" i="2"/>
  <c r="H491" i="2"/>
  <c r="I491" i="2"/>
  <c r="J491" i="2"/>
  <c r="K491" i="2"/>
  <c r="L491" i="2"/>
  <c r="M491" i="2"/>
  <c r="N491" i="2"/>
  <c r="O491" i="2"/>
  <c r="P491" i="2"/>
  <c r="Q491" i="2"/>
  <c r="R491" i="2"/>
  <c r="S491" i="2"/>
  <c r="T491" i="2"/>
  <c r="U491" i="2"/>
  <c r="V491" i="2"/>
  <c r="W491" i="2"/>
  <c r="X491" i="2"/>
  <c r="E493" i="2"/>
  <c r="F493" i="2"/>
  <c r="G493" i="2"/>
  <c r="H493" i="2"/>
  <c r="I493" i="2"/>
  <c r="J493" i="2"/>
  <c r="K493" i="2"/>
  <c r="L493" i="2"/>
  <c r="M493" i="2"/>
  <c r="N493" i="2"/>
  <c r="O493" i="2"/>
  <c r="P493" i="2"/>
  <c r="Q493" i="2"/>
  <c r="R493" i="2"/>
  <c r="S493" i="2"/>
  <c r="T493" i="2"/>
  <c r="U493" i="2"/>
  <c r="V493" i="2"/>
  <c r="W493" i="2"/>
  <c r="X493" i="2"/>
  <c r="E495" i="2"/>
  <c r="F495" i="2"/>
  <c r="G495" i="2"/>
  <c r="H495" i="2"/>
  <c r="I495" i="2"/>
  <c r="J495" i="2"/>
  <c r="K495" i="2"/>
  <c r="L495" i="2"/>
  <c r="M495" i="2"/>
  <c r="N495" i="2"/>
  <c r="O495" i="2"/>
  <c r="P495" i="2"/>
  <c r="Q495" i="2"/>
  <c r="R495" i="2"/>
  <c r="S495" i="2"/>
  <c r="T495" i="2"/>
  <c r="U495" i="2"/>
  <c r="V495" i="2"/>
  <c r="W495" i="2"/>
  <c r="X495" i="2"/>
  <c r="E497" i="2"/>
  <c r="F497" i="2"/>
  <c r="G497" i="2"/>
  <c r="H497" i="2"/>
  <c r="I497" i="2"/>
  <c r="J497" i="2"/>
  <c r="K497" i="2"/>
  <c r="L497" i="2"/>
  <c r="M497" i="2"/>
  <c r="N497" i="2"/>
  <c r="O497" i="2"/>
  <c r="P497" i="2"/>
  <c r="Q497" i="2"/>
  <c r="R497" i="2"/>
  <c r="S497" i="2"/>
  <c r="T497" i="2"/>
  <c r="U497" i="2"/>
  <c r="V497" i="2"/>
  <c r="W497" i="2"/>
  <c r="X497" i="2"/>
  <c r="E499" i="2"/>
  <c r="F499" i="2"/>
  <c r="G499" i="2"/>
  <c r="H499" i="2"/>
  <c r="I499" i="2"/>
  <c r="J499" i="2"/>
  <c r="K499" i="2"/>
  <c r="L499" i="2"/>
  <c r="M499" i="2"/>
  <c r="N499" i="2"/>
  <c r="O499" i="2"/>
  <c r="P499" i="2"/>
  <c r="Q499" i="2"/>
  <c r="R499" i="2"/>
  <c r="S499" i="2"/>
  <c r="T499" i="2"/>
  <c r="U499" i="2"/>
  <c r="V499" i="2"/>
  <c r="W499" i="2"/>
  <c r="X499" i="2"/>
  <c r="E501" i="2"/>
  <c r="F501" i="2"/>
  <c r="G501" i="2"/>
  <c r="H501" i="2"/>
  <c r="I501" i="2"/>
  <c r="J501" i="2"/>
  <c r="K501" i="2"/>
  <c r="L501" i="2"/>
  <c r="M501" i="2"/>
  <c r="N501" i="2"/>
  <c r="O501" i="2"/>
  <c r="P501" i="2"/>
  <c r="Q501" i="2"/>
  <c r="R501" i="2"/>
  <c r="S501" i="2"/>
  <c r="T501" i="2"/>
  <c r="U501" i="2"/>
  <c r="V501" i="2"/>
  <c r="W501" i="2"/>
  <c r="X501" i="2"/>
  <c r="E503" i="2"/>
  <c r="F503" i="2"/>
  <c r="G503" i="2"/>
  <c r="H503" i="2"/>
  <c r="I503" i="2"/>
  <c r="J503" i="2"/>
  <c r="K503" i="2"/>
  <c r="L503" i="2"/>
  <c r="M503" i="2"/>
  <c r="N503" i="2"/>
  <c r="O503" i="2"/>
  <c r="P503" i="2"/>
  <c r="Q503" i="2"/>
  <c r="R503" i="2"/>
  <c r="S503" i="2"/>
  <c r="T503" i="2"/>
  <c r="U503" i="2"/>
  <c r="V503" i="2"/>
  <c r="W503" i="2"/>
  <c r="X503" i="2"/>
  <c r="E505" i="2"/>
  <c r="F505" i="2"/>
  <c r="G505" i="2"/>
  <c r="H505" i="2"/>
  <c r="I505" i="2"/>
  <c r="J505" i="2"/>
  <c r="K505" i="2"/>
  <c r="L505" i="2"/>
  <c r="M505" i="2"/>
  <c r="N505" i="2"/>
  <c r="O505" i="2"/>
  <c r="P505" i="2"/>
  <c r="Q505" i="2"/>
  <c r="R505" i="2"/>
  <c r="S505" i="2"/>
  <c r="T505" i="2"/>
  <c r="U505" i="2"/>
  <c r="V505" i="2"/>
  <c r="W505" i="2"/>
  <c r="X505" i="2"/>
  <c r="E507" i="2"/>
  <c r="F507" i="2"/>
  <c r="G507" i="2"/>
  <c r="H507" i="2"/>
  <c r="I507" i="2"/>
  <c r="J507" i="2"/>
  <c r="K507" i="2"/>
  <c r="L507" i="2"/>
  <c r="M507" i="2"/>
  <c r="N507" i="2"/>
  <c r="O507" i="2"/>
  <c r="P507" i="2"/>
  <c r="Q507" i="2"/>
  <c r="R507" i="2"/>
  <c r="S507" i="2"/>
  <c r="T507" i="2"/>
  <c r="U507" i="2"/>
  <c r="V507" i="2"/>
  <c r="W507" i="2"/>
  <c r="X507" i="2"/>
  <c r="R509" i="2"/>
  <c r="E510" i="2"/>
  <c r="E509" i="2" s="1"/>
  <c r="F510" i="2"/>
  <c r="F509" i="2" s="1"/>
  <c r="G510" i="2"/>
  <c r="G509" i="2" s="1"/>
  <c r="H510" i="2"/>
  <c r="H509" i="2" s="1"/>
  <c r="I510" i="2"/>
  <c r="I509" i="2" s="1"/>
  <c r="J510" i="2"/>
  <c r="J509" i="2" s="1"/>
  <c r="K510" i="2"/>
  <c r="K509" i="2" s="1"/>
  <c r="L510" i="2"/>
  <c r="L509" i="2" s="1"/>
  <c r="M510" i="2"/>
  <c r="M509" i="2" s="1"/>
  <c r="N510" i="2"/>
  <c r="N509" i="2" s="1"/>
  <c r="O510" i="2"/>
  <c r="O509" i="2" s="1"/>
  <c r="P510" i="2"/>
  <c r="P509" i="2" s="1"/>
  <c r="Q510" i="2"/>
  <c r="Q509" i="2" s="1"/>
  <c r="R510" i="2"/>
  <c r="S510" i="2"/>
  <c r="S509" i="2" s="1"/>
  <c r="T510" i="2"/>
  <c r="T509" i="2" s="1"/>
  <c r="U510" i="2"/>
  <c r="U509" i="2" s="1"/>
  <c r="V510" i="2"/>
  <c r="V509" i="2" s="1"/>
  <c r="W510" i="2"/>
  <c r="W509" i="2" s="1"/>
  <c r="X510" i="2"/>
  <c r="X509" i="2" s="1"/>
  <c r="E513" i="2"/>
  <c r="E512" i="2" s="1"/>
  <c r="F513" i="2"/>
  <c r="F512" i="2" s="1"/>
  <c r="G513" i="2"/>
  <c r="G512" i="2" s="1"/>
  <c r="H513" i="2"/>
  <c r="H512" i="2" s="1"/>
  <c r="I513" i="2"/>
  <c r="I512" i="2" s="1"/>
  <c r="J513" i="2"/>
  <c r="J512" i="2" s="1"/>
  <c r="K513" i="2"/>
  <c r="K512" i="2" s="1"/>
  <c r="L513" i="2"/>
  <c r="L512" i="2" s="1"/>
  <c r="M513" i="2"/>
  <c r="M512" i="2" s="1"/>
  <c r="N513" i="2"/>
  <c r="N512" i="2" s="1"/>
  <c r="O513" i="2"/>
  <c r="O512" i="2" s="1"/>
  <c r="P513" i="2"/>
  <c r="P512" i="2" s="1"/>
  <c r="Q513" i="2"/>
  <c r="Q512" i="2" s="1"/>
  <c r="R513" i="2"/>
  <c r="R512" i="2" s="1"/>
  <c r="S513" i="2"/>
  <c r="S512" i="2" s="1"/>
  <c r="T513" i="2"/>
  <c r="T512" i="2" s="1"/>
  <c r="U513" i="2"/>
  <c r="U512" i="2" s="1"/>
  <c r="V513" i="2"/>
  <c r="V512" i="2" s="1"/>
  <c r="W513" i="2"/>
  <c r="W512" i="2" s="1"/>
  <c r="X513" i="2"/>
  <c r="X512" i="2" s="1"/>
  <c r="E516" i="2"/>
  <c r="F516" i="2"/>
  <c r="G516" i="2"/>
  <c r="H516" i="2"/>
  <c r="I516" i="2"/>
  <c r="J516" i="2"/>
  <c r="K516" i="2"/>
  <c r="L516" i="2"/>
  <c r="M516" i="2"/>
  <c r="N516" i="2"/>
  <c r="O516" i="2"/>
  <c r="P516" i="2"/>
  <c r="Q516" i="2"/>
  <c r="R516" i="2"/>
  <c r="S516" i="2"/>
  <c r="T516" i="2"/>
  <c r="U516" i="2"/>
  <c r="V516" i="2"/>
  <c r="W516" i="2"/>
  <c r="X516" i="2"/>
  <c r="E518" i="2"/>
  <c r="F518" i="2"/>
  <c r="G518" i="2"/>
  <c r="H518" i="2"/>
  <c r="I518" i="2"/>
  <c r="J518" i="2"/>
  <c r="K518" i="2"/>
  <c r="L518" i="2"/>
  <c r="M518" i="2"/>
  <c r="N518" i="2"/>
  <c r="O518" i="2"/>
  <c r="P518" i="2"/>
  <c r="Q518" i="2"/>
  <c r="R518" i="2"/>
  <c r="S518" i="2"/>
  <c r="T518" i="2"/>
  <c r="U518" i="2"/>
  <c r="V518" i="2"/>
  <c r="W518" i="2"/>
  <c r="X518" i="2"/>
  <c r="E521" i="2"/>
  <c r="F521" i="2"/>
  <c r="G521" i="2"/>
  <c r="H521" i="2"/>
  <c r="I521" i="2"/>
  <c r="J521" i="2"/>
  <c r="K521" i="2"/>
  <c r="L521" i="2"/>
  <c r="M521" i="2"/>
  <c r="N521" i="2"/>
  <c r="O521" i="2"/>
  <c r="P521" i="2"/>
  <c r="Q521" i="2"/>
  <c r="R521" i="2"/>
  <c r="S521" i="2"/>
  <c r="T521" i="2"/>
  <c r="U521" i="2"/>
  <c r="V521" i="2"/>
  <c r="W521" i="2"/>
  <c r="X521" i="2"/>
  <c r="E523" i="2"/>
  <c r="F523" i="2"/>
  <c r="G523" i="2"/>
  <c r="H523" i="2"/>
  <c r="I523" i="2"/>
  <c r="J523" i="2"/>
  <c r="J520" i="2" s="1"/>
  <c r="K523" i="2"/>
  <c r="L523" i="2"/>
  <c r="M523" i="2"/>
  <c r="N523" i="2"/>
  <c r="O523" i="2"/>
  <c r="P523" i="2"/>
  <c r="Q523" i="2"/>
  <c r="R523" i="2"/>
  <c r="R520" i="2" s="1"/>
  <c r="S523" i="2"/>
  <c r="T523" i="2"/>
  <c r="U523" i="2"/>
  <c r="V523" i="2"/>
  <c r="W523" i="2"/>
  <c r="X523" i="2"/>
  <c r="W527" i="2"/>
  <c r="W526" i="2" s="1"/>
  <c r="E528" i="2"/>
  <c r="F528" i="2"/>
  <c r="G528" i="2"/>
  <c r="H528" i="2"/>
  <c r="I528" i="2"/>
  <c r="J528" i="2"/>
  <c r="J527" i="2" s="1"/>
  <c r="J526" i="2" s="1"/>
  <c r="K528" i="2"/>
  <c r="K527" i="2" s="1"/>
  <c r="K526" i="2" s="1"/>
  <c r="L528" i="2"/>
  <c r="L527" i="2" s="1"/>
  <c r="L526" i="2" s="1"/>
  <c r="M528" i="2"/>
  <c r="N528" i="2"/>
  <c r="O528" i="2"/>
  <c r="P528" i="2"/>
  <c r="Q528" i="2"/>
  <c r="R528" i="2"/>
  <c r="R527" i="2" s="1"/>
  <c r="R526" i="2" s="1"/>
  <c r="S528" i="2"/>
  <c r="T528" i="2"/>
  <c r="U528" i="2"/>
  <c r="V528" i="2"/>
  <c r="W528" i="2"/>
  <c r="X528" i="2"/>
  <c r="E530" i="2"/>
  <c r="F530" i="2"/>
  <c r="F527" i="2" s="1"/>
  <c r="F526" i="2" s="1"/>
  <c r="G530" i="2"/>
  <c r="H530" i="2"/>
  <c r="I530" i="2"/>
  <c r="I527" i="2" s="1"/>
  <c r="I526" i="2" s="1"/>
  <c r="J530" i="2"/>
  <c r="K530" i="2"/>
  <c r="L530" i="2"/>
  <c r="M530" i="2"/>
  <c r="N530" i="2"/>
  <c r="O530" i="2"/>
  <c r="P530" i="2"/>
  <c r="Q530" i="2"/>
  <c r="Q527" i="2" s="1"/>
  <c r="Q526" i="2" s="1"/>
  <c r="R530" i="2"/>
  <c r="S530" i="2"/>
  <c r="T530" i="2"/>
  <c r="U530" i="2"/>
  <c r="V530" i="2"/>
  <c r="W530" i="2"/>
  <c r="X530" i="2"/>
  <c r="F534" i="2"/>
  <c r="F533" i="2" s="1"/>
  <c r="E535" i="2"/>
  <c r="E534" i="2" s="1"/>
  <c r="E533" i="2" s="1"/>
  <c r="F535" i="2"/>
  <c r="G535" i="2"/>
  <c r="G534" i="2" s="1"/>
  <c r="G533" i="2" s="1"/>
  <c r="H535" i="2"/>
  <c r="H534" i="2" s="1"/>
  <c r="H533" i="2" s="1"/>
  <c r="I535" i="2"/>
  <c r="I534" i="2" s="1"/>
  <c r="I533" i="2" s="1"/>
  <c r="J535" i="2"/>
  <c r="J534" i="2" s="1"/>
  <c r="J533" i="2" s="1"/>
  <c r="K535" i="2"/>
  <c r="K534" i="2" s="1"/>
  <c r="K533" i="2" s="1"/>
  <c r="L535" i="2"/>
  <c r="L534" i="2" s="1"/>
  <c r="L533" i="2" s="1"/>
  <c r="M535" i="2"/>
  <c r="M534" i="2" s="1"/>
  <c r="M533" i="2" s="1"/>
  <c r="N535" i="2"/>
  <c r="N534" i="2" s="1"/>
  <c r="N533" i="2" s="1"/>
  <c r="O535" i="2"/>
  <c r="O534" i="2" s="1"/>
  <c r="O533" i="2" s="1"/>
  <c r="P535" i="2"/>
  <c r="P534" i="2" s="1"/>
  <c r="P533" i="2" s="1"/>
  <c r="Q535" i="2"/>
  <c r="Q534" i="2" s="1"/>
  <c r="Q533" i="2" s="1"/>
  <c r="R535" i="2"/>
  <c r="R534" i="2" s="1"/>
  <c r="R533" i="2" s="1"/>
  <c r="S535" i="2"/>
  <c r="S534" i="2" s="1"/>
  <c r="S533" i="2" s="1"/>
  <c r="T535" i="2"/>
  <c r="T534" i="2" s="1"/>
  <c r="T533" i="2" s="1"/>
  <c r="U535" i="2"/>
  <c r="U534" i="2" s="1"/>
  <c r="U533" i="2" s="1"/>
  <c r="V535" i="2"/>
  <c r="V534" i="2" s="1"/>
  <c r="V533" i="2" s="1"/>
  <c r="W535" i="2"/>
  <c r="W534" i="2" s="1"/>
  <c r="W533" i="2" s="1"/>
  <c r="X535" i="2"/>
  <c r="X534" i="2" s="1"/>
  <c r="X533" i="2" s="1"/>
  <c r="S539" i="2"/>
  <c r="E540" i="2"/>
  <c r="F540" i="2"/>
  <c r="G540" i="2"/>
  <c r="H540" i="2"/>
  <c r="I540" i="2"/>
  <c r="J540" i="2"/>
  <c r="K540" i="2"/>
  <c r="L540" i="2"/>
  <c r="M540" i="2"/>
  <c r="N540" i="2"/>
  <c r="O540" i="2"/>
  <c r="P540" i="2"/>
  <c r="Q540" i="2"/>
  <c r="R540" i="2"/>
  <c r="S540" i="2"/>
  <c r="T540" i="2"/>
  <c r="U540" i="2"/>
  <c r="V540" i="2"/>
  <c r="W540" i="2"/>
  <c r="X540" i="2"/>
  <c r="E545" i="2"/>
  <c r="F545" i="2"/>
  <c r="G545" i="2"/>
  <c r="H545" i="2"/>
  <c r="I545" i="2"/>
  <c r="J545" i="2"/>
  <c r="K545" i="2"/>
  <c r="L545" i="2"/>
  <c r="M545" i="2"/>
  <c r="N545" i="2"/>
  <c r="O545" i="2"/>
  <c r="P545" i="2"/>
  <c r="Q545" i="2"/>
  <c r="R545" i="2"/>
  <c r="S545" i="2"/>
  <c r="T545" i="2"/>
  <c r="U545" i="2"/>
  <c r="V545" i="2"/>
  <c r="W545" i="2"/>
  <c r="X545" i="2"/>
  <c r="E547" i="2"/>
  <c r="F547" i="2"/>
  <c r="G547" i="2"/>
  <c r="H547" i="2"/>
  <c r="I547" i="2"/>
  <c r="J547" i="2"/>
  <c r="K547" i="2"/>
  <c r="L547" i="2"/>
  <c r="M547" i="2"/>
  <c r="N547" i="2"/>
  <c r="O547" i="2"/>
  <c r="P547" i="2"/>
  <c r="Q547" i="2"/>
  <c r="R547" i="2"/>
  <c r="S547" i="2"/>
  <c r="T547" i="2"/>
  <c r="U547" i="2"/>
  <c r="V547" i="2"/>
  <c r="W547" i="2"/>
  <c r="X547" i="2"/>
  <c r="E549" i="2"/>
  <c r="F549" i="2"/>
  <c r="G549" i="2"/>
  <c r="H549" i="2"/>
  <c r="I549" i="2"/>
  <c r="J549" i="2"/>
  <c r="K549" i="2"/>
  <c r="L549" i="2"/>
  <c r="M549" i="2"/>
  <c r="N549" i="2"/>
  <c r="O549" i="2"/>
  <c r="P549" i="2"/>
  <c r="Q549" i="2"/>
  <c r="R549" i="2"/>
  <c r="S549" i="2"/>
  <c r="T549" i="2"/>
  <c r="U549" i="2"/>
  <c r="V549" i="2"/>
  <c r="W549" i="2"/>
  <c r="X549" i="2"/>
  <c r="E553" i="2"/>
  <c r="F553" i="2"/>
  <c r="G553" i="2"/>
  <c r="H553" i="2"/>
  <c r="I553" i="2"/>
  <c r="J553" i="2"/>
  <c r="K553" i="2"/>
  <c r="L553" i="2"/>
  <c r="M553" i="2"/>
  <c r="N553" i="2"/>
  <c r="O553" i="2"/>
  <c r="P553" i="2"/>
  <c r="Q553" i="2"/>
  <c r="R553" i="2"/>
  <c r="S553" i="2"/>
  <c r="T553" i="2"/>
  <c r="U553" i="2"/>
  <c r="V553" i="2"/>
  <c r="W553" i="2"/>
  <c r="X553" i="2"/>
  <c r="E555" i="2"/>
  <c r="F555" i="2"/>
  <c r="G555" i="2"/>
  <c r="H555" i="2"/>
  <c r="I555" i="2"/>
  <c r="J555" i="2"/>
  <c r="K555" i="2"/>
  <c r="L555" i="2"/>
  <c r="M555" i="2"/>
  <c r="N555" i="2"/>
  <c r="O555" i="2"/>
  <c r="P555" i="2"/>
  <c r="Q555" i="2"/>
  <c r="R555" i="2"/>
  <c r="S555" i="2"/>
  <c r="T555" i="2"/>
  <c r="U555" i="2"/>
  <c r="V555" i="2"/>
  <c r="W555" i="2"/>
  <c r="X555" i="2"/>
  <c r="J557" i="2"/>
  <c r="E558" i="2"/>
  <c r="F558" i="2"/>
  <c r="G558" i="2"/>
  <c r="H558" i="2"/>
  <c r="I558" i="2"/>
  <c r="J558" i="2"/>
  <c r="K558" i="2"/>
  <c r="L558" i="2"/>
  <c r="M558" i="2"/>
  <c r="N558" i="2"/>
  <c r="O558" i="2"/>
  <c r="P558" i="2"/>
  <c r="Q558" i="2"/>
  <c r="R558" i="2"/>
  <c r="S558" i="2"/>
  <c r="T558" i="2"/>
  <c r="U558" i="2"/>
  <c r="V558" i="2"/>
  <c r="W558" i="2"/>
  <c r="X558" i="2"/>
  <c r="E560" i="2"/>
  <c r="F560" i="2"/>
  <c r="G560" i="2"/>
  <c r="H560" i="2"/>
  <c r="I560" i="2"/>
  <c r="J560" i="2"/>
  <c r="K560" i="2"/>
  <c r="L560" i="2"/>
  <c r="M560" i="2"/>
  <c r="N560" i="2"/>
  <c r="O560" i="2"/>
  <c r="P560" i="2"/>
  <c r="Q560" i="2"/>
  <c r="R560" i="2"/>
  <c r="S560" i="2"/>
  <c r="T560" i="2"/>
  <c r="U560" i="2"/>
  <c r="V560" i="2"/>
  <c r="W560" i="2"/>
  <c r="X560" i="2"/>
  <c r="E562" i="2"/>
  <c r="F562" i="2"/>
  <c r="G562" i="2"/>
  <c r="H562" i="2"/>
  <c r="I562" i="2"/>
  <c r="J562" i="2"/>
  <c r="K562" i="2"/>
  <c r="L562" i="2"/>
  <c r="M562" i="2"/>
  <c r="N562" i="2"/>
  <c r="O562" i="2"/>
  <c r="P562" i="2"/>
  <c r="Q562" i="2"/>
  <c r="R562" i="2"/>
  <c r="S562" i="2"/>
  <c r="T562" i="2"/>
  <c r="U562" i="2"/>
  <c r="V562" i="2"/>
  <c r="W562" i="2"/>
  <c r="X562" i="2"/>
  <c r="E564" i="2"/>
  <c r="F564" i="2"/>
  <c r="G564" i="2"/>
  <c r="H564" i="2"/>
  <c r="I564" i="2"/>
  <c r="J564" i="2"/>
  <c r="K564" i="2"/>
  <c r="L564" i="2"/>
  <c r="M564" i="2"/>
  <c r="N564" i="2"/>
  <c r="O564" i="2"/>
  <c r="P564" i="2"/>
  <c r="Q564" i="2"/>
  <c r="R564" i="2"/>
  <c r="S564" i="2"/>
  <c r="T564" i="2"/>
  <c r="U564" i="2"/>
  <c r="V564" i="2"/>
  <c r="W564" i="2"/>
  <c r="X564" i="2"/>
  <c r="E567" i="2"/>
  <c r="F567" i="2"/>
  <c r="G567" i="2"/>
  <c r="H567" i="2"/>
  <c r="I567" i="2"/>
  <c r="J567" i="2"/>
  <c r="K567" i="2"/>
  <c r="L567" i="2"/>
  <c r="M567" i="2"/>
  <c r="N567" i="2"/>
  <c r="O567" i="2"/>
  <c r="P567" i="2"/>
  <c r="Q567" i="2"/>
  <c r="R567" i="2"/>
  <c r="S567" i="2"/>
  <c r="T567" i="2"/>
  <c r="U567" i="2"/>
  <c r="V567" i="2"/>
  <c r="W567" i="2"/>
  <c r="X567" i="2"/>
  <c r="E570" i="2"/>
  <c r="F570" i="2"/>
  <c r="G570" i="2"/>
  <c r="H570" i="2"/>
  <c r="I570" i="2"/>
  <c r="J570" i="2"/>
  <c r="K570" i="2"/>
  <c r="L570" i="2"/>
  <c r="M570" i="2"/>
  <c r="N570" i="2"/>
  <c r="O570" i="2"/>
  <c r="P570" i="2"/>
  <c r="Q570" i="2"/>
  <c r="R570" i="2"/>
  <c r="S570" i="2"/>
  <c r="T570" i="2"/>
  <c r="U570" i="2"/>
  <c r="V570" i="2"/>
  <c r="W570" i="2"/>
  <c r="X570" i="2"/>
  <c r="E572" i="2"/>
  <c r="F572" i="2"/>
  <c r="G572" i="2"/>
  <c r="H572" i="2"/>
  <c r="I572" i="2"/>
  <c r="J572" i="2"/>
  <c r="K572" i="2"/>
  <c r="L572" i="2"/>
  <c r="M572" i="2"/>
  <c r="N572" i="2"/>
  <c r="O572" i="2"/>
  <c r="P572" i="2"/>
  <c r="Q572" i="2"/>
  <c r="R572" i="2"/>
  <c r="S572" i="2"/>
  <c r="T572" i="2"/>
  <c r="U572" i="2"/>
  <c r="V572" i="2"/>
  <c r="W572" i="2"/>
  <c r="X572" i="2"/>
  <c r="E574" i="2"/>
  <c r="F574" i="2"/>
  <c r="G574" i="2"/>
  <c r="H574" i="2"/>
  <c r="I574" i="2"/>
  <c r="J574" i="2"/>
  <c r="K574" i="2"/>
  <c r="L574" i="2"/>
  <c r="M574" i="2"/>
  <c r="N574" i="2"/>
  <c r="O574" i="2"/>
  <c r="P574" i="2"/>
  <c r="Q574" i="2"/>
  <c r="R574" i="2"/>
  <c r="S574" i="2"/>
  <c r="T574" i="2"/>
  <c r="U574" i="2"/>
  <c r="V574" i="2"/>
  <c r="W574" i="2"/>
  <c r="X574" i="2"/>
  <c r="E576" i="2"/>
  <c r="F576" i="2"/>
  <c r="G576" i="2"/>
  <c r="H576" i="2"/>
  <c r="I576" i="2"/>
  <c r="J576" i="2"/>
  <c r="K576" i="2"/>
  <c r="L576" i="2"/>
  <c r="M576" i="2"/>
  <c r="N576" i="2"/>
  <c r="O576" i="2"/>
  <c r="P576" i="2"/>
  <c r="Q576" i="2"/>
  <c r="R576" i="2"/>
  <c r="S576" i="2"/>
  <c r="T576" i="2"/>
  <c r="U576" i="2"/>
  <c r="V576" i="2"/>
  <c r="W576" i="2"/>
  <c r="X576" i="2"/>
  <c r="E580" i="2"/>
  <c r="F580" i="2"/>
  <c r="G580" i="2"/>
  <c r="H580" i="2"/>
  <c r="I580" i="2"/>
  <c r="J580" i="2"/>
  <c r="K580" i="2"/>
  <c r="L580" i="2"/>
  <c r="M580" i="2"/>
  <c r="N580" i="2"/>
  <c r="O580" i="2"/>
  <c r="P580" i="2"/>
  <c r="Q580" i="2"/>
  <c r="R580" i="2"/>
  <c r="S580" i="2"/>
  <c r="T580" i="2"/>
  <c r="U580" i="2"/>
  <c r="V580" i="2"/>
  <c r="W580" i="2"/>
  <c r="X580" i="2"/>
  <c r="E582" i="2"/>
  <c r="F582" i="2"/>
  <c r="G582" i="2"/>
  <c r="H582" i="2"/>
  <c r="I582" i="2"/>
  <c r="J582" i="2"/>
  <c r="K582" i="2"/>
  <c r="L582" i="2"/>
  <c r="M582" i="2"/>
  <c r="N582" i="2"/>
  <c r="O582" i="2"/>
  <c r="P582" i="2"/>
  <c r="Q582" i="2"/>
  <c r="R582" i="2"/>
  <c r="S582" i="2"/>
  <c r="T582" i="2"/>
  <c r="U582" i="2"/>
  <c r="V582" i="2"/>
  <c r="W582" i="2"/>
  <c r="X582" i="2"/>
  <c r="G584" i="2"/>
  <c r="W584" i="2"/>
  <c r="E585" i="2"/>
  <c r="E584" i="2" s="1"/>
  <c r="F585" i="2"/>
  <c r="F584" i="2" s="1"/>
  <c r="G585" i="2"/>
  <c r="H585" i="2"/>
  <c r="H584" i="2" s="1"/>
  <c r="I585" i="2"/>
  <c r="I584" i="2" s="1"/>
  <c r="J585" i="2"/>
  <c r="J584" i="2" s="1"/>
  <c r="K585" i="2"/>
  <c r="K584" i="2" s="1"/>
  <c r="L585" i="2"/>
  <c r="L584" i="2" s="1"/>
  <c r="M585" i="2"/>
  <c r="M584" i="2" s="1"/>
  <c r="N585" i="2"/>
  <c r="N584" i="2" s="1"/>
  <c r="O585" i="2"/>
  <c r="O584" i="2" s="1"/>
  <c r="P585" i="2"/>
  <c r="P584" i="2" s="1"/>
  <c r="Q585" i="2"/>
  <c r="Q584" i="2" s="1"/>
  <c r="R585" i="2"/>
  <c r="R584" i="2" s="1"/>
  <c r="S585" i="2"/>
  <c r="S584" i="2" s="1"/>
  <c r="T585" i="2"/>
  <c r="T584" i="2" s="1"/>
  <c r="U585" i="2"/>
  <c r="U584" i="2" s="1"/>
  <c r="V585" i="2"/>
  <c r="V584" i="2" s="1"/>
  <c r="W585" i="2"/>
  <c r="X585" i="2"/>
  <c r="X584" i="2" s="1"/>
  <c r="E590" i="2"/>
  <c r="F590" i="2"/>
  <c r="G590" i="2"/>
  <c r="H590" i="2"/>
  <c r="I590" i="2"/>
  <c r="J590" i="2"/>
  <c r="K590" i="2"/>
  <c r="L590" i="2"/>
  <c r="M590" i="2"/>
  <c r="N590" i="2"/>
  <c r="O590" i="2"/>
  <c r="P590" i="2"/>
  <c r="Q590" i="2"/>
  <c r="R590" i="2"/>
  <c r="S590" i="2"/>
  <c r="T590" i="2"/>
  <c r="U590" i="2"/>
  <c r="V590" i="2"/>
  <c r="W590" i="2"/>
  <c r="X590" i="2"/>
  <c r="E592" i="2"/>
  <c r="F592" i="2"/>
  <c r="G592" i="2"/>
  <c r="H592" i="2"/>
  <c r="I592" i="2"/>
  <c r="J592" i="2"/>
  <c r="K592" i="2"/>
  <c r="L592" i="2"/>
  <c r="M592" i="2"/>
  <c r="N592" i="2"/>
  <c r="O592" i="2"/>
  <c r="P592" i="2"/>
  <c r="Q592" i="2"/>
  <c r="R592" i="2"/>
  <c r="S592" i="2"/>
  <c r="T592" i="2"/>
  <c r="U592" i="2"/>
  <c r="V592" i="2"/>
  <c r="W592" i="2"/>
  <c r="X592" i="2"/>
  <c r="E594" i="2"/>
  <c r="F594" i="2"/>
  <c r="G594" i="2"/>
  <c r="H594" i="2"/>
  <c r="I594" i="2"/>
  <c r="J594" i="2"/>
  <c r="K594" i="2"/>
  <c r="L594" i="2"/>
  <c r="M594" i="2"/>
  <c r="N594" i="2"/>
  <c r="O594" i="2"/>
  <c r="P594" i="2"/>
  <c r="Q594" i="2"/>
  <c r="R594" i="2"/>
  <c r="S594" i="2"/>
  <c r="T594" i="2"/>
  <c r="U594" i="2"/>
  <c r="V594" i="2"/>
  <c r="W594" i="2"/>
  <c r="X594" i="2"/>
  <c r="E597" i="2"/>
  <c r="E596" i="2" s="1"/>
  <c r="F597" i="2"/>
  <c r="F596" i="2" s="1"/>
  <c r="G597" i="2"/>
  <c r="G596" i="2" s="1"/>
  <c r="H597" i="2"/>
  <c r="H596" i="2" s="1"/>
  <c r="I597" i="2"/>
  <c r="I596" i="2" s="1"/>
  <c r="J597" i="2"/>
  <c r="J596" i="2" s="1"/>
  <c r="K597" i="2"/>
  <c r="K596" i="2" s="1"/>
  <c r="L597" i="2"/>
  <c r="L596" i="2" s="1"/>
  <c r="M597" i="2"/>
  <c r="M596" i="2" s="1"/>
  <c r="N597" i="2"/>
  <c r="N596" i="2" s="1"/>
  <c r="O597" i="2"/>
  <c r="O596" i="2" s="1"/>
  <c r="P597" i="2"/>
  <c r="P596" i="2" s="1"/>
  <c r="Q597" i="2"/>
  <c r="Q596" i="2" s="1"/>
  <c r="R597" i="2"/>
  <c r="R596" i="2" s="1"/>
  <c r="S597" i="2"/>
  <c r="S596" i="2" s="1"/>
  <c r="T597" i="2"/>
  <c r="T596" i="2" s="1"/>
  <c r="U597" i="2"/>
  <c r="U596" i="2" s="1"/>
  <c r="V597" i="2"/>
  <c r="V596" i="2" s="1"/>
  <c r="W597" i="2"/>
  <c r="W596" i="2" s="1"/>
  <c r="X597" i="2"/>
  <c r="X596" i="2" s="1"/>
  <c r="E600" i="2"/>
  <c r="E599" i="2" s="1"/>
  <c r="F600" i="2"/>
  <c r="F599" i="2" s="1"/>
  <c r="G600" i="2"/>
  <c r="G599" i="2" s="1"/>
  <c r="H600" i="2"/>
  <c r="H599" i="2" s="1"/>
  <c r="I600" i="2"/>
  <c r="I599" i="2" s="1"/>
  <c r="J600" i="2"/>
  <c r="J599" i="2" s="1"/>
  <c r="K600" i="2"/>
  <c r="K599" i="2" s="1"/>
  <c r="L600" i="2"/>
  <c r="L599" i="2" s="1"/>
  <c r="M600" i="2"/>
  <c r="M599" i="2" s="1"/>
  <c r="N600" i="2"/>
  <c r="N599" i="2" s="1"/>
  <c r="O600" i="2"/>
  <c r="O599" i="2" s="1"/>
  <c r="P600" i="2"/>
  <c r="P599" i="2" s="1"/>
  <c r="Q600" i="2"/>
  <c r="Q599" i="2" s="1"/>
  <c r="R600" i="2"/>
  <c r="R599" i="2" s="1"/>
  <c r="S600" i="2"/>
  <c r="S599" i="2" s="1"/>
  <c r="T600" i="2"/>
  <c r="T599" i="2" s="1"/>
  <c r="U600" i="2"/>
  <c r="U599" i="2" s="1"/>
  <c r="V600" i="2"/>
  <c r="V599" i="2" s="1"/>
  <c r="W600" i="2"/>
  <c r="W599" i="2" s="1"/>
  <c r="X600" i="2"/>
  <c r="X599" i="2" s="1"/>
  <c r="E603" i="2"/>
  <c r="F603" i="2"/>
  <c r="G603" i="2"/>
  <c r="H603" i="2"/>
  <c r="I603" i="2"/>
  <c r="J603" i="2"/>
  <c r="K603" i="2"/>
  <c r="L603" i="2"/>
  <c r="M603" i="2"/>
  <c r="N603" i="2"/>
  <c r="O603" i="2"/>
  <c r="P603" i="2"/>
  <c r="Q603" i="2"/>
  <c r="R603" i="2"/>
  <c r="S603" i="2"/>
  <c r="T603" i="2"/>
  <c r="U603" i="2"/>
  <c r="V603" i="2"/>
  <c r="W603" i="2"/>
  <c r="X603" i="2"/>
  <c r="E605" i="2"/>
  <c r="F605" i="2"/>
  <c r="G605" i="2"/>
  <c r="H605" i="2"/>
  <c r="I605" i="2"/>
  <c r="J605" i="2"/>
  <c r="K605" i="2"/>
  <c r="L605" i="2"/>
  <c r="M605" i="2"/>
  <c r="N605" i="2"/>
  <c r="O605" i="2"/>
  <c r="P605" i="2"/>
  <c r="Q605" i="2"/>
  <c r="R605" i="2"/>
  <c r="S605" i="2"/>
  <c r="T605" i="2"/>
  <c r="U605" i="2"/>
  <c r="V605" i="2"/>
  <c r="W605" i="2"/>
  <c r="X605" i="2"/>
  <c r="E607" i="2"/>
  <c r="F607" i="2"/>
  <c r="G607" i="2"/>
  <c r="H607" i="2"/>
  <c r="I607" i="2"/>
  <c r="J607" i="2"/>
  <c r="K607" i="2"/>
  <c r="L607" i="2"/>
  <c r="M607" i="2"/>
  <c r="N607" i="2"/>
  <c r="O607" i="2"/>
  <c r="P607" i="2"/>
  <c r="Q607" i="2"/>
  <c r="R607" i="2"/>
  <c r="S607" i="2"/>
  <c r="T607" i="2"/>
  <c r="U607" i="2"/>
  <c r="V607" i="2"/>
  <c r="W607" i="2"/>
  <c r="X607" i="2"/>
  <c r="E609" i="2"/>
  <c r="F609" i="2"/>
  <c r="G609" i="2"/>
  <c r="H609" i="2"/>
  <c r="I609" i="2"/>
  <c r="J609" i="2"/>
  <c r="K609" i="2"/>
  <c r="L609" i="2"/>
  <c r="M609" i="2"/>
  <c r="N609" i="2"/>
  <c r="O609" i="2"/>
  <c r="P609" i="2"/>
  <c r="Q609" i="2"/>
  <c r="R609" i="2"/>
  <c r="S609" i="2"/>
  <c r="T609" i="2"/>
  <c r="U609" i="2"/>
  <c r="V609" i="2"/>
  <c r="W609" i="2"/>
  <c r="X609" i="2"/>
  <c r="E611" i="2"/>
  <c r="F611" i="2"/>
  <c r="G611" i="2"/>
  <c r="H611" i="2"/>
  <c r="I611" i="2"/>
  <c r="J611" i="2"/>
  <c r="K611" i="2"/>
  <c r="L611" i="2"/>
  <c r="M611" i="2"/>
  <c r="N611" i="2"/>
  <c r="O611" i="2"/>
  <c r="P611" i="2"/>
  <c r="Q611" i="2"/>
  <c r="R611" i="2"/>
  <c r="S611" i="2"/>
  <c r="T611" i="2"/>
  <c r="U611" i="2"/>
  <c r="V611" i="2"/>
  <c r="W611" i="2"/>
  <c r="X611" i="2"/>
  <c r="E613" i="2"/>
  <c r="F613" i="2"/>
  <c r="G613" i="2"/>
  <c r="H613" i="2"/>
  <c r="I613" i="2"/>
  <c r="J613" i="2"/>
  <c r="K613" i="2"/>
  <c r="L613" i="2"/>
  <c r="M613" i="2"/>
  <c r="N613" i="2"/>
  <c r="O613" i="2"/>
  <c r="P613" i="2"/>
  <c r="Q613" i="2"/>
  <c r="R613" i="2"/>
  <c r="S613" i="2"/>
  <c r="T613" i="2"/>
  <c r="U613" i="2"/>
  <c r="V613" i="2"/>
  <c r="W613" i="2"/>
  <c r="X613" i="2"/>
  <c r="E615" i="2"/>
  <c r="F615" i="2"/>
  <c r="G615" i="2"/>
  <c r="H615" i="2"/>
  <c r="I615" i="2"/>
  <c r="J615" i="2"/>
  <c r="K615" i="2"/>
  <c r="L615" i="2"/>
  <c r="M615" i="2"/>
  <c r="N615" i="2"/>
  <c r="O615" i="2"/>
  <c r="P615" i="2"/>
  <c r="Q615" i="2"/>
  <c r="R615" i="2"/>
  <c r="S615" i="2"/>
  <c r="T615" i="2"/>
  <c r="U615" i="2"/>
  <c r="V615" i="2"/>
  <c r="W615" i="2"/>
  <c r="X615" i="2"/>
  <c r="E618" i="2"/>
  <c r="F618" i="2"/>
  <c r="G618" i="2"/>
  <c r="H618" i="2"/>
  <c r="I618" i="2"/>
  <c r="J618" i="2"/>
  <c r="K618" i="2"/>
  <c r="L618" i="2"/>
  <c r="M618" i="2"/>
  <c r="N618" i="2"/>
  <c r="O618" i="2"/>
  <c r="P618" i="2"/>
  <c r="Q618" i="2"/>
  <c r="R618" i="2"/>
  <c r="S618" i="2"/>
  <c r="T618" i="2"/>
  <c r="U618" i="2"/>
  <c r="V618" i="2"/>
  <c r="W618" i="2"/>
  <c r="X618" i="2"/>
  <c r="E621" i="2"/>
  <c r="F621" i="2"/>
  <c r="G621" i="2"/>
  <c r="H621" i="2"/>
  <c r="I621" i="2"/>
  <c r="J621" i="2"/>
  <c r="K621" i="2"/>
  <c r="L621" i="2"/>
  <c r="M621" i="2"/>
  <c r="N621" i="2"/>
  <c r="O621" i="2"/>
  <c r="P621" i="2"/>
  <c r="Q621" i="2"/>
  <c r="R621" i="2"/>
  <c r="S621" i="2"/>
  <c r="T621" i="2"/>
  <c r="U621" i="2"/>
  <c r="V621" i="2"/>
  <c r="W621" i="2"/>
  <c r="X621" i="2"/>
  <c r="E623" i="2"/>
  <c r="F623" i="2"/>
  <c r="G623" i="2"/>
  <c r="H623" i="2"/>
  <c r="I623" i="2"/>
  <c r="J623" i="2"/>
  <c r="K623" i="2"/>
  <c r="L623" i="2"/>
  <c r="M623" i="2"/>
  <c r="N623" i="2"/>
  <c r="O623" i="2"/>
  <c r="P623" i="2"/>
  <c r="Q623" i="2"/>
  <c r="R623" i="2"/>
  <c r="S623" i="2"/>
  <c r="T623" i="2"/>
  <c r="U623" i="2"/>
  <c r="V623" i="2"/>
  <c r="W623" i="2"/>
  <c r="X623" i="2"/>
  <c r="E625" i="2"/>
  <c r="F625" i="2"/>
  <c r="G625" i="2"/>
  <c r="H625" i="2"/>
  <c r="I625" i="2"/>
  <c r="J625" i="2"/>
  <c r="K625" i="2"/>
  <c r="L625" i="2"/>
  <c r="M625" i="2"/>
  <c r="N625" i="2"/>
  <c r="O625" i="2"/>
  <c r="P625" i="2"/>
  <c r="Q625" i="2"/>
  <c r="R625" i="2"/>
  <c r="S625" i="2"/>
  <c r="T625" i="2"/>
  <c r="U625" i="2"/>
  <c r="V625" i="2"/>
  <c r="W625" i="2"/>
  <c r="X625" i="2"/>
  <c r="E627" i="2"/>
  <c r="F627" i="2"/>
  <c r="G627" i="2"/>
  <c r="H627" i="2"/>
  <c r="I627" i="2"/>
  <c r="J627" i="2"/>
  <c r="K627" i="2"/>
  <c r="L627" i="2"/>
  <c r="M627" i="2"/>
  <c r="N627" i="2"/>
  <c r="O627" i="2"/>
  <c r="P627" i="2"/>
  <c r="Q627" i="2"/>
  <c r="R627" i="2"/>
  <c r="S627" i="2"/>
  <c r="T627" i="2"/>
  <c r="U627" i="2"/>
  <c r="V627" i="2"/>
  <c r="W627" i="2"/>
  <c r="X627" i="2"/>
  <c r="E629" i="2"/>
  <c r="F629" i="2"/>
  <c r="G629" i="2"/>
  <c r="H629" i="2"/>
  <c r="I629" i="2"/>
  <c r="J629" i="2"/>
  <c r="K629" i="2"/>
  <c r="L629" i="2"/>
  <c r="M629" i="2"/>
  <c r="N629" i="2"/>
  <c r="O629" i="2"/>
  <c r="P629" i="2"/>
  <c r="Q629" i="2"/>
  <c r="R629" i="2"/>
  <c r="S629" i="2"/>
  <c r="T629" i="2"/>
  <c r="U629" i="2"/>
  <c r="V629" i="2"/>
  <c r="W629" i="2"/>
  <c r="X629" i="2"/>
  <c r="E631" i="2"/>
  <c r="F631" i="2"/>
  <c r="G631" i="2"/>
  <c r="H631" i="2"/>
  <c r="I631" i="2"/>
  <c r="J631" i="2"/>
  <c r="K631" i="2"/>
  <c r="L631" i="2"/>
  <c r="M631" i="2"/>
  <c r="N631" i="2"/>
  <c r="O631" i="2"/>
  <c r="P631" i="2"/>
  <c r="Q631" i="2"/>
  <c r="R631" i="2"/>
  <c r="S631" i="2"/>
  <c r="T631" i="2"/>
  <c r="U631" i="2"/>
  <c r="V631" i="2"/>
  <c r="W631" i="2"/>
  <c r="X631" i="2"/>
  <c r="E633" i="2"/>
  <c r="F633" i="2"/>
  <c r="G633" i="2"/>
  <c r="H633" i="2"/>
  <c r="I633" i="2"/>
  <c r="J633" i="2"/>
  <c r="K633" i="2"/>
  <c r="L633" i="2"/>
  <c r="M633" i="2"/>
  <c r="N633" i="2"/>
  <c r="O633" i="2"/>
  <c r="P633" i="2"/>
  <c r="Q633" i="2"/>
  <c r="R633" i="2"/>
  <c r="S633" i="2"/>
  <c r="T633" i="2"/>
  <c r="U633" i="2"/>
  <c r="V633" i="2"/>
  <c r="W633" i="2"/>
  <c r="X633" i="2"/>
  <c r="E635" i="2"/>
  <c r="F635" i="2"/>
  <c r="G635" i="2"/>
  <c r="H635" i="2"/>
  <c r="I635" i="2"/>
  <c r="J635" i="2"/>
  <c r="K635" i="2"/>
  <c r="L635" i="2"/>
  <c r="M635" i="2"/>
  <c r="N635" i="2"/>
  <c r="O635" i="2"/>
  <c r="P635" i="2"/>
  <c r="Q635" i="2"/>
  <c r="R635" i="2"/>
  <c r="S635" i="2"/>
  <c r="T635" i="2"/>
  <c r="U635" i="2"/>
  <c r="V635" i="2"/>
  <c r="W635" i="2"/>
  <c r="X635" i="2"/>
  <c r="E637" i="2"/>
  <c r="F637" i="2"/>
  <c r="G637" i="2"/>
  <c r="H637" i="2"/>
  <c r="I637" i="2"/>
  <c r="J637" i="2"/>
  <c r="K637" i="2"/>
  <c r="L637" i="2"/>
  <c r="M637" i="2"/>
  <c r="N637" i="2"/>
  <c r="O637" i="2"/>
  <c r="P637" i="2"/>
  <c r="Q637" i="2"/>
  <c r="R637" i="2"/>
  <c r="S637" i="2"/>
  <c r="T637" i="2"/>
  <c r="U637" i="2"/>
  <c r="V637" i="2"/>
  <c r="W637" i="2"/>
  <c r="X637" i="2"/>
  <c r="E639" i="2"/>
  <c r="F639" i="2"/>
  <c r="G639" i="2"/>
  <c r="H639" i="2"/>
  <c r="I639" i="2"/>
  <c r="J639" i="2"/>
  <c r="K639" i="2"/>
  <c r="L639" i="2"/>
  <c r="M639" i="2"/>
  <c r="N639" i="2"/>
  <c r="O639" i="2"/>
  <c r="P639" i="2"/>
  <c r="Q639" i="2"/>
  <c r="R639" i="2"/>
  <c r="S639" i="2"/>
  <c r="T639" i="2"/>
  <c r="U639" i="2"/>
  <c r="V639" i="2"/>
  <c r="W639" i="2"/>
  <c r="X639" i="2"/>
  <c r="E641" i="2"/>
  <c r="F641" i="2"/>
  <c r="G641" i="2"/>
  <c r="H641" i="2"/>
  <c r="I641" i="2"/>
  <c r="J641" i="2"/>
  <c r="K641" i="2"/>
  <c r="L641" i="2"/>
  <c r="M641" i="2"/>
  <c r="N641" i="2"/>
  <c r="O641" i="2"/>
  <c r="P641" i="2"/>
  <c r="Q641" i="2"/>
  <c r="R641" i="2"/>
  <c r="S641" i="2"/>
  <c r="T641" i="2"/>
  <c r="U641" i="2"/>
  <c r="V641" i="2"/>
  <c r="W641" i="2"/>
  <c r="X641" i="2"/>
  <c r="E643" i="2"/>
  <c r="F643" i="2"/>
  <c r="G643" i="2"/>
  <c r="H643" i="2"/>
  <c r="I643" i="2"/>
  <c r="J643" i="2"/>
  <c r="K643" i="2"/>
  <c r="L643" i="2"/>
  <c r="M643" i="2"/>
  <c r="N643" i="2"/>
  <c r="O643" i="2"/>
  <c r="P643" i="2"/>
  <c r="Q643" i="2"/>
  <c r="R643" i="2"/>
  <c r="S643" i="2"/>
  <c r="T643" i="2"/>
  <c r="U643" i="2"/>
  <c r="V643" i="2"/>
  <c r="W643" i="2"/>
  <c r="X643" i="2"/>
  <c r="E645" i="2"/>
  <c r="F645" i="2"/>
  <c r="G645" i="2"/>
  <c r="H645" i="2"/>
  <c r="I645" i="2"/>
  <c r="J645" i="2"/>
  <c r="K645" i="2"/>
  <c r="L645" i="2"/>
  <c r="M645" i="2"/>
  <c r="N645" i="2"/>
  <c r="O645" i="2"/>
  <c r="P645" i="2"/>
  <c r="Q645" i="2"/>
  <c r="R645" i="2"/>
  <c r="S645" i="2"/>
  <c r="T645" i="2"/>
  <c r="U645" i="2"/>
  <c r="V645" i="2"/>
  <c r="W645" i="2"/>
  <c r="X645" i="2"/>
  <c r="E647" i="2"/>
  <c r="F647" i="2"/>
  <c r="G647" i="2"/>
  <c r="H647" i="2"/>
  <c r="I647" i="2"/>
  <c r="J647" i="2"/>
  <c r="K647" i="2"/>
  <c r="L647" i="2"/>
  <c r="M647" i="2"/>
  <c r="N647" i="2"/>
  <c r="O647" i="2"/>
  <c r="P647" i="2"/>
  <c r="Q647" i="2"/>
  <c r="R647" i="2"/>
  <c r="S647" i="2"/>
  <c r="T647" i="2"/>
  <c r="U647" i="2"/>
  <c r="V647" i="2"/>
  <c r="W647" i="2"/>
  <c r="X647" i="2"/>
  <c r="E649" i="2"/>
  <c r="F649" i="2"/>
  <c r="G649" i="2"/>
  <c r="H649" i="2"/>
  <c r="I649" i="2"/>
  <c r="J649" i="2"/>
  <c r="K649" i="2"/>
  <c r="L649" i="2"/>
  <c r="M649" i="2"/>
  <c r="N649" i="2"/>
  <c r="O649" i="2"/>
  <c r="P649" i="2"/>
  <c r="Q649" i="2"/>
  <c r="R649" i="2"/>
  <c r="S649" i="2"/>
  <c r="T649" i="2"/>
  <c r="U649" i="2"/>
  <c r="V649" i="2"/>
  <c r="W649" i="2"/>
  <c r="X649" i="2"/>
  <c r="E651" i="2"/>
  <c r="F651" i="2"/>
  <c r="G651" i="2"/>
  <c r="H651" i="2"/>
  <c r="I651" i="2"/>
  <c r="J651" i="2"/>
  <c r="K651" i="2"/>
  <c r="L651" i="2"/>
  <c r="M651" i="2"/>
  <c r="N651" i="2"/>
  <c r="O651" i="2"/>
  <c r="P651" i="2"/>
  <c r="Q651" i="2"/>
  <c r="R651" i="2"/>
  <c r="S651" i="2"/>
  <c r="T651" i="2"/>
  <c r="U651" i="2"/>
  <c r="V651" i="2"/>
  <c r="W651" i="2"/>
  <c r="X651" i="2"/>
  <c r="E653" i="2"/>
  <c r="F653" i="2"/>
  <c r="G653" i="2"/>
  <c r="H653" i="2"/>
  <c r="I653" i="2"/>
  <c r="J653" i="2"/>
  <c r="K653" i="2"/>
  <c r="L653" i="2"/>
  <c r="M653" i="2"/>
  <c r="N653" i="2"/>
  <c r="O653" i="2"/>
  <c r="P653" i="2"/>
  <c r="Q653" i="2"/>
  <c r="R653" i="2"/>
  <c r="S653" i="2"/>
  <c r="T653" i="2"/>
  <c r="U653" i="2"/>
  <c r="V653" i="2"/>
  <c r="W653" i="2"/>
  <c r="X653" i="2"/>
  <c r="E655" i="2"/>
  <c r="F655" i="2"/>
  <c r="G655" i="2"/>
  <c r="H655" i="2"/>
  <c r="I655" i="2"/>
  <c r="J655" i="2"/>
  <c r="K655" i="2"/>
  <c r="L655" i="2"/>
  <c r="M655" i="2"/>
  <c r="N655" i="2"/>
  <c r="O655" i="2"/>
  <c r="P655" i="2"/>
  <c r="Q655" i="2"/>
  <c r="R655" i="2"/>
  <c r="S655" i="2"/>
  <c r="T655" i="2"/>
  <c r="U655" i="2"/>
  <c r="V655" i="2"/>
  <c r="W655" i="2"/>
  <c r="X655" i="2"/>
  <c r="E657" i="2"/>
  <c r="F657" i="2"/>
  <c r="G657" i="2"/>
  <c r="H657" i="2"/>
  <c r="I657" i="2"/>
  <c r="J657" i="2"/>
  <c r="K657" i="2"/>
  <c r="L657" i="2"/>
  <c r="M657" i="2"/>
  <c r="N657" i="2"/>
  <c r="O657" i="2"/>
  <c r="P657" i="2"/>
  <c r="Q657" i="2"/>
  <c r="R657" i="2"/>
  <c r="S657" i="2"/>
  <c r="T657" i="2"/>
  <c r="U657" i="2"/>
  <c r="V657" i="2"/>
  <c r="W657" i="2"/>
  <c r="X657" i="2"/>
  <c r="E659" i="2"/>
  <c r="F659" i="2"/>
  <c r="G659" i="2"/>
  <c r="H659" i="2"/>
  <c r="I659" i="2"/>
  <c r="J659" i="2"/>
  <c r="K659" i="2"/>
  <c r="L659" i="2"/>
  <c r="M659" i="2"/>
  <c r="N659" i="2"/>
  <c r="O659" i="2"/>
  <c r="P659" i="2"/>
  <c r="Q659" i="2"/>
  <c r="R659" i="2"/>
  <c r="S659" i="2"/>
  <c r="T659" i="2"/>
  <c r="U659" i="2"/>
  <c r="V659" i="2"/>
  <c r="W659" i="2"/>
  <c r="X659" i="2"/>
  <c r="E661" i="2"/>
  <c r="F661" i="2"/>
  <c r="G661" i="2"/>
  <c r="H661" i="2"/>
  <c r="I661" i="2"/>
  <c r="J661" i="2"/>
  <c r="K661" i="2"/>
  <c r="L661" i="2"/>
  <c r="M661" i="2"/>
  <c r="N661" i="2"/>
  <c r="O661" i="2"/>
  <c r="P661" i="2"/>
  <c r="Q661" i="2"/>
  <c r="R661" i="2"/>
  <c r="S661" i="2"/>
  <c r="T661" i="2"/>
  <c r="U661" i="2"/>
  <c r="V661" i="2"/>
  <c r="W661" i="2"/>
  <c r="X661" i="2"/>
  <c r="E663" i="2"/>
  <c r="F663" i="2"/>
  <c r="G663" i="2"/>
  <c r="H663" i="2"/>
  <c r="I663" i="2"/>
  <c r="J663" i="2"/>
  <c r="K663" i="2"/>
  <c r="L663" i="2"/>
  <c r="M663" i="2"/>
  <c r="N663" i="2"/>
  <c r="O663" i="2"/>
  <c r="P663" i="2"/>
  <c r="Q663" i="2"/>
  <c r="R663" i="2"/>
  <c r="S663" i="2"/>
  <c r="T663" i="2"/>
  <c r="U663" i="2"/>
  <c r="V663" i="2"/>
  <c r="W663" i="2"/>
  <c r="X663" i="2"/>
  <c r="E665" i="2"/>
  <c r="F665" i="2"/>
  <c r="G665" i="2"/>
  <c r="H665" i="2"/>
  <c r="I665" i="2"/>
  <c r="J665" i="2"/>
  <c r="K665" i="2"/>
  <c r="L665" i="2"/>
  <c r="M665" i="2"/>
  <c r="N665" i="2"/>
  <c r="O665" i="2"/>
  <c r="P665" i="2"/>
  <c r="Q665" i="2"/>
  <c r="R665" i="2"/>
  <c r="S665" i="2"/>
  <c r="T665" i="2"/>
  <c r="U665" i="2"/>
  <c r="V665" i="2"/>
  <c r="W665" i="2"/>
  <c r="X665" i="2"/>
  <c r="E667" i="2"/>
  <c r="F667" i="2"/>
  <c r="G667" i="2"/>
  <c r="H667" i="2"/>
  <c r="I667" i="2"/>
  <c r="J667" i="2"/>
  <c r="K667" i="2"/>
  <c r="L667" i="2"/>
  <c r="M667" i="2"/>
  <c r="N667" i="2"/>
  <c r="O667" i="2"/>
  <c r="P667" i="2"/>
  <c r="Q667" i="2"/>
  <c r="R667" i="2"/>
  <c r="S667" i="2"/>
  <c r="T667" i="2"/>
  <c r="U667" i="2"/>
  <c r="V667" i="2"/>
  <c r="W667" i="2"/>
  <c r="X667" i="2"/>
  <c r="E669" i="2"/>
  <c r="F669" i="2"/>
  <c r="G669" i="2"/>
  <c r="H669" i="2"/>
  <c r="I669" i="2"/>
  <c r="J669" i="2"/>
  <c r="K669" i="2"/>
  <c r="L669" i="2"/>
  <c r="M669" i="2"/>
  <c r="N669" i="2"/>
  <c r="O669" i="2"/>
  <c r="P669" i="2"/>
  <c r="Q669" i="2"/>
  <c r="R669" i="2"/>
  <c r="S669" i="2"/>
  <c r="T669" i="2"/>
  <c r="U669" i="2"/>
  <c r="V669" i="2"/>
  <c r="W669" i="2"/>
  <c r="X669" i="2"/>
  <c r="E671" i="2"/>
  <c r="F671" i="2"/>
  <c r="G671" i="2"/>
  <c r="H671" i="2"/>
  <c r="I671" i="2"/>
  <c r="J671" i="2"/>
  <c r="K671" i="2"/>
  <c r="L671" i="2"/>
  <c r="M671" i="2"/>
  <c r="N671" i="2"/>
  <c r="O671" i="2"/>
  <c r="P671" i="2"/>
  <c r="Q671" i="2"/>
  <c r="R671" i="2"/>
  <c r="S671" i="2"/>
  <c r="T671" i="2"/>
  <c r="U671" i="2"/>
  <c r="V671" i="2"/>
  <c r="W671" i="2"/>
  <c r="X671" i="2"/>
  <c r="E673" i="2"/>
  <c r="F673" i="2"/>
  <c r="G673" i="2"/>
  <c r="H673" i="2"/>
  <c r="I673" i="2"/>
  <c r="J673" i="2"/>
  <c r="K673" i="2"/>
  <c r="L673" i="2"/>
  <c r="M673" i="2"/>
  <c r="N673" i="2"/>
  <c r="O673" i="2"/>
  <c r="P673" i="2"/>
  <c r="Q673" i="2"/>
  <c r="R673" i="2"/>
  <c r="S673" i="2"/>
  <c r="T673" i="2"/>
  <c r="U673" i="2"/>
  <c r="V673" i="2"/>
  <c r="W673" i="2"/>
  <c r="X673" i="2"/>
  <c r="E675" i="2"/>
  <c r="F675" i="2"/>
  <c r="G675" i="2"/>
  <c r="H675" i="2"/>
  <c r="I675" i="2"/>
  <c r="J675" i="2"/>
  <c r="K675" i="2"/>
  <c r="L675" i="2"/>
  <c r="M675" i="2"/>
  <c r="N675" i="2"/>
  <c r="O675" i="2"/>
  <c r="P675" i="2"/>
  <c r="Q675" i="2"/>
  <c r="R675" i="2"/>
  <c r="S675" i="2"/>
  <c r="T675" i="2"/>
  <c r="U675" i="2"/>
  <c r="V675" i="2"/>
  <c r="W675" i="2"/>
  <c r="X675" i="2"/>
  <c r="E677" i="2"/>
  <c r="F677" i="2"/>
  <c r="G677" i="2"/>
  <c r="H677" i="2"/>
  <c r="I677" i="2"/>
  <c r="J677" i="2"/>
  <c r="K677" i="2"/>
  <c r="L677" i="2"/>
  <c r="M677" i="2"/>
  <c r="N677" i="2"/>
  <c r="O677" i="2"/>
  <c r="P677" i="2"/>
  <c r="Q677" i="2"/>
  <c r="R677" i="2"/>
  <c r="S677" i="2"/>
  <c r="T677" i="2"/>
  <c r="U677" i="2"/>
  <c r="V677" i="2"/>
  <c r="W677" i="2"/>
  <c r="X677" i="2"/>
  <c r="E679" i="2"/>
  <c r="F679" i="2"/>
  <c r="G679" i="2"/>
  <c r="H679" i="2"/>
  <c r="I679" i="2"/>
  <c r="J679" i="2"/>
  <c r="K679" i="2"/>
  <c r="L679" i="2"/>
  <c r="M679" i="2"/>
  <c r="N679" i="2"/>
  <c r="O679" i="2"/>
  <c r="P679" i="2"/>
  <c r="Q679" i="2"/>
  <c r="R679" i="2"/>
  <c r="S679" i="2"/>
  <c r="T679" i="2"/>
  <c r="U679" i="2"/>
  <c r="V679" i="2"/>
  <c r="W679" i="2"/>
  <c r="X679" i="2"/>
  <c r="E681" i="2"/>
  <c r="F681" i="2"/>
  <c r="G681" i="2"/>
  <c r="H681" i="2"/>
  <c r="I681" i="2"/>
  <c r="J681" i="2"/>
  <c r="K681" i="2"/>
  <c r="L681" i="2"/>
  <c r="M681" i="2"/>
  <c r="N681" i="2"/>
  <c r="O681" i="2"/>
  <c r="P681" i="2"/>
  <c r="Q681" i="2"/>
  <c r="R681" i="2"/>
  <c r="S681" i="2"/>
  <c r="T681" i="2"/>
  <c r="U681" i="2"/>
  <c r="V681" i="2"/>
  <c r="W681" i="2"/>
  <c r="X681" i="2"/>
  <c r="E683" i="2"/>
  <c r="F683" i="2"/>
  <c r="G683" i="2"/>
  <c r="H683" i="2"/>
  <c r="I683" i="2"/>
  <c r="J683" i="2"/>
  <c r="K683" i="2"/>
  <c r="L683" i="2"/>
  <c r="M683" i="2"/>
  <c r="N683" i="2"/>
  <c r="O683" i="2"/>
  <c r="P683" i="2"/>
  <c r="Q683" i="2"/>
  <c r="R683" i="2"/>
  <c r="S683" i="2"/>
  <c r="T683" i="2"/>
  <c r="U683" i="2"/>
  <c r="V683" i="2"/>
  <c r="W683" i="2"/>
  <c r="X683" i="2"/>
  <c r="E685" i="2"/>
  <c r="F685" i="2"/>
  <c r="G685" i="2"/>
  <c r="H685" i="2"/>
  <c r="I685" i="2"/>
  <c r="J685" i="2"/>
  <c r="K685" i="2"/>
  <c r="L685" i="2"/>
  <c r="M685" i="2"/>
  <c r="N685" i="2"/>
  <c r="O685" i="2"/>
  <c r="P685" i="2"/>
  <c r="Q685" i="2"/>
  <c r="R685" i="2"/>
  <c r="S685" i="2"/>
  <c r="T685" i="2"/>
  <c r="U685" i="2"/>
  <c r="V685" i="2"/>
  <c r="W685" i="2"/>
  <c r="X685" i="2"/>
  <c r="E687" i="2"/>
  <c r="F687" i="2"/>
  <c r="G687" i="2"/>
  <c r="H687" i="2"/>
  <c r="I687" i="2"/>
  <c r="J687" i="2"/>
  <c r="K687" i="2"/>
  <c r="L687" i="2"/>
  <c r="M687" i="2"/>
  <c r="N687" i="2"/>
  <c r="O687" i="2"/>
  <c r="P687" i="2"/>
  <c r="Q687" i="2"/>
  <c r="R687" i="2"/>
  <c r="S687" i="2"/>
  <c r="T687" i="2"/>
  <c r="U687" i="2"/>
  <c r="V687" i="2"/>
  <c r="W687" i="2"/>
  <c r="X687" i="2"/>
  <c r="E689" i="2"/>
  <c r="F689" i="2"/>
  <c r="G689" i="2"/>
  <c r="H689" i="2"/>
  <c r="I689" i="2"/>
  <c r="J689" i="2"/>
  <c r="K689" i="2"/>
  <c r="L689" i="2"/>
  <c r="M689" i="2"/>
  <c r="N689" i="2"/>
  <c r="O689" i="2"/>
  <c r="P689" i="2"/>
  <c r="Q689" i="2"/>
  <c r="R689" i="2"/>
  <c r="S689" i="2"/>
  <c r="T689" i="2"/>
  <c r="U689" i="2"/>
  <c r="V689" i="2"/>
  <c r="W689" i="2"/>
  <c r="X689" i="2"/>
  <c r="E691" i="2"/>
  <c r="F691" i="2"/>
  <c r="G691" i="2"/>
  <c r="H691" i="2"/>
  <c r="I691" i="2"/>
  <c r="J691" i="2"/>
  <c r="K691" i="2"/>
  <c r="L691" i="2"/>
  <c r="M691" i="2"/>
  <c r="N691" i="2"/>
  <c r="O691" i="2"/>
  <c r="P691" i="2"/>
  <c r="Q691" i="2"/>
  <c r="R691" i="2"/>
  <c r="S691" i="2"/>
  <c r="T691" i="2"/>
  <c r="U691" i="2"/>
  <c r="V691" i="2"/>
  <c r="W691" i="2"/>
  <c r="X691" i="2"/>
  <c r="E694" i="2"/>
  <c r="E693" i="2" s="1"/>
  <c r="F694" i="2"/>
  <c r="F693" i="2" s="1"/>
  <c r="G694" i="2"/>
  <c r="G693" i="2" s="1"/>
  <c r="H694" i="2"/>
  <c r="H693" i="2" s="1"/>
  <c r="I694" i="2"/>
  <c r="I693" i="2" s="1"/>
  <c r="J694" i="2"/>
  <c r="J693" i="2" s="1"/>
  <c r="K694" i="2"/>
  <c r="K693" i="2" s="1"/>
  <c r="L694" i="2"/>
  <c r="L693" i="2" s="1"/>
  <c r="M694" i="2"/>
  <c r="M693" i="2" s="1"/>
  <c r="N694" i="2"/>
  <c r="N693" i="2" s="1"/>
  <c r="O694" i="2"/>
  <c r="O693" i="2" s="1"/>
  <c r="P694" i="2"/>
  <c r="P693" i="2" s="1"/>
  <c r="Q694" i="2"/>
  <c r="Q693" i="2" s="1"/>
  <c r="R694" i="2"/>
  <c r="R693" i="2" s="1"/>
  <c r="S694" i="2"/>
  <c r="S693" i="2" s="1"/>
  <c r="T694" i="2"/>
  <c r="T693" i="2" s="1"/>
  <c r="U694" i="2"/>
  <c r="U693" i="2" s="1"/>
  <c r="V694" i="2"/>
  <c r="V693" i="2" s="1"/>
  <c r="W694" i="2"/>
  <c r="W693" i="2" s="1"/>
  <c r="X694" i="2"/>
  <c r="X693" i="2" s="1"/>
  <c r="E697" i="2"/>
  <c r="F697" i="2"/>
  <c r="G697" i="2"/>
  <c r="H697" i="2"/>
  <c r="I697" i="2"/>
  <c r="J697" i="2"/>
  <c r="K697" i="2"/>
  <c r="L697" i="2"/>
  <c r="M697" i="2"/>
  <c r="N697" i="2"/>
  <c r="O697" i="2"/>
  <c r="P697" i="2"/>
  <c r="Q697" i="2"/>
  <c r="R697" i="2"/>
  <c r="S697" i="2"/>
  <c r="T697" i="2"/>
  <c r="U697" i="2"/>
  <c r="V697" i="2"/>
  <c r="W697" i="2"/>
  <c r="X697" i="2"/>
  <c r="E699" i="2"/>
  <c r="F699" i="2"/>
  <c r="G699" i="2"/>
  <c r="H699" i="2"/>
  <c r="I699" i="2"/>
  <c r="J699" i="2"/>
  <c r="K699" i="2"/>
  <c r="L699" i="2"/>
  <c r="M699" i="2"/>
  <c r="N699" i="2"/>
  <c r="O699" i="2"/>
  <c r="P699" i="2"/>
  <c r="Q699" i="2"/>
  <c r="R699" i="2"/>
  <c r="S699" i="2"/>
  <c r="T699" i="2"/>
  <c r="U699" i="2"/>
  <c r="V699" i="2"/>
  <c r="W699" i="2"/>
  <c r="X699" i="2"/>
  <c r="E701" i="2"/>
  <c r="F701" i="2"/>
  <c r="G701" i="2"/>
  <c r="H701" i="2"/>
  <c r="I701" i="2"/>
  <c r="J701" i="2"/>
  <c r="K701" i="2"/>
  <c r="L701" i="2"/>
  <c r="M701" i="2"/>
  <c r="N701" i="2"/>
  <c r="O701" i="2"/>
  <c r="P701" i="2"/>
  <c r="Q701" i="2"/>
  <c r="R701" i="2"/>
  <c r="S701" i="2"/>
  <c r="T701" i="2"/>
  <c r="U701" i="2"/>
  <c r="V701" i="2"/>
  <c r="W701" i="2"/>
  <c r="X701" i="2"/>
  <c r="E703" i="2"/>
  <c r="F703" i="2"/>
  <c r="G703" i="2"/>
  <c r="H703" i="2"/>
  <c r="I703" i="2"/>
  <c r="J703" i="2"/>
  <c r="K703" i="2"/>
  <c r="L703" i="2"/>
  <c r="M703" i="2"/>
  <c r="N703" i="2"/>
  <c r="O703" i="2"/>
  <c r="P703" i="2"/>
  <c r="Q703" i="2"/>
  <c r="R703" i="2"/>
  <c r="S703" i="2"/>
  <c r="T703" i="2"/>
  <c r="U703" i="2"/>
  <c r="V703" i="2"/>
  <c r="W703" i="2"/>
  <c r="X703" i="2"/>
  <c r="E705" i="2"/>
  <c r="F705" i="2"/>
  <c r="G705" i="2"/>
  <c r="H705" i="2"/>
  <c r="I705" i="2"/>
  <c r="J705" i="2"/>
  <c r="K705" i="2"/>
  <c r="L705" i="2"/>
  <c r="M705" i="2"/>
  <c r="N705" i="2"/>
  <c r="O705" i="2"/>
  <c r="P705" i="2"/>
  <c r="Q705" i="2"/>
  <c r="R705" i="2"/>
  <c r="S705" i="2"/>
  <c r="T705" i="2"/>
  <c r="U705" i="2"/>
  <c r="V705" i="2"/>
  <c r="W705" i="2"/>
  <c r="X705" i="2"/>
  <c r="E707" i="2"/>
  <c r="F707" i="2"/>
  <c r="G707" i="2"/>
  <c r="H707" i="2"/>
  <c r="I707" i="2"/>
  <c r="J707" i="2"/>
  <c r="K707" i="2"/>
  <c r="L707" i="2"/>
  <c r="M707" i="2"/>
  <c r="N707" i="2"/>
  <c r="O707" i="2"/>
  <c r="P707" i="2"/>
  <c r="Q707" i="2"/>
  <c r="R707" i="2"/>
  <c r="S707" i="2"/>
  <c r="T707" i="2"/>
  <c r="U707" i="2"/>
  <c r="V707" i="2"/>
  <c r="W707" i="2"/>
  <c r="X707" i="2"/>
  <c r="E709" i="2"/>
  <c r="F709" i="2"/>
  <c r="G709" i="2"/>
  <c r="H709" i="2"/>
  <c r="I709" i="2"/>
  <c r="J709" i="2"/>
  <c r="K709" i="2"/>
  <c r="L709" i="2"/>
  <c r="M709" i="2"/>
  <c r="N709" i="2"/>
  <c r="O709" i="2"/>
  <c r="P709" i="2"/>
  <c r="Q709" i="2"/>
  <c r="R709" i="2"/>
  <c r="S709" i="2"/>
  <c r="T709" i="2"/>
  <c r="U709" i="2"/>
  <c r="V709" i="2"/>
  <c r="W709" i="2"/>
  <c r="X709" i="2"/>
  <c r="E711" i="2"/>
  <c r="F711" i="2"/>
  <c r="G711" i="2"/>
  <c r="H711" i="2"/>
  <c r="I711" i="2"/>
  <c r="J711" i="2"/>
  <c r="K711" i="2"/>
  <c r="L711" i="2"/>
  <c r="M711" i="2"/>
  <c r="N711" i="2"/>
  <c r="O711" i="2"/>
  <c r="P711" i="2"/>
  <c r="Q711" i="2"/>
  <c r="R711" i="2"/>
  <c r="S711" i="2"/>
  <c r="T711" i="2"/>
  <c r="U711" i="2"/>
  <c r="V711" i="2"/>
  <c r="W711" i="2"/>
  <c r="X711" i="2"/>
  <c r="E713" i="2"/>
  <c r="F713" i="2"/>
  <c r="G713" i="2"/>
  <c r="H713" i="2"/>
  <c r="I713" i="2"/>
  <c r="J713" i="2"/>
  <c r="K713" i="2"/>
  <c r="L713" i="2"/>
  <c r="M713" i="2"/>
  <c r="N713" i="2"/>
  <c r="O713" i="2"/>
  <c r="P713" i="2"/>
  <c r="Q713" i="2"/>
  <c r="R713" i="2"/>
  <c r="S713" i="2"/>
  <c r="T713" i="2"/>
  <c r="U713" i="2"/>
  <c r="V713" i="2"/>
  <c r="W713" i="2"/>
  <c r="X713" i="2"/>
  <c r="E715" i="2"/>
  <c r="F715" i="2"/>
  <c r="G715" i="2"/>
  <c r="H715" i="2"/>
  <c r="I715" i="2"/>
  <c r="J715" i="2"/>
  <c r="K715" i="2"/>
  <c r="L715" i="2"/>
  <c r="M715" i="2"/>
  <c r="N715" i="2"/>
  <c r="O715" i="2"/>
  <c r="P715" i="2"/>
  <c r="Q715" i="2"/>
  <c r="R715" i="2"/>
  <c r="S715" i="2"/>
  <c r="T715" i="2"/>
  <c r="U715" i="2"/>
  <c r="V715" i="2"/>
  <c r="W715" i="2"/>
  <c r="X715" i="2"/>
  <c r="E717" i="2"/>
  <c r="F717" i="2"/>
  <c r="G717" i="2"/>
  <c r="H717" i="2"/>
  <c r="I717" i="2"/>
  <c r="J717" i="2"/>
  <c r="K717" i="2"/>
  <c r="L717" i="2"/>
  <c r="M717" i="2"/>
  <c r="N717" i="2"/>
  <c r="O717" i="2"/>
  <c r="P717" i="2"/>
  <c r="Q717" i="2"/>
  <c r="R717" i="2"/>
  <c r="S717" i="2"/>
  <c r="T717" i="2"/>
  <c r="U717" i="2"/>
  <c r="V717" i="2"/>
  <c r="W717" i="2"/>
  <c r="X717" i="2"/>
  <c r="E719" i="2"/>
  <c r="F719" i="2"/>
  <c r="G719" i="2"/>
  <c r="H719" i="2"/>
  <c r="I719" i="2"/>
  <c r="J719" i="2"/>
  <c r="K719" i="2"/>
  <c r="L719" i="2"/>
  <c r="M719" i="2"/>
  <c r="N719" i="2"/>
  <c r="O719" i="2"/>
  <c r="P719" i="2"/>
  <c r="Q719" i="2"/>
  <c r="R719" i="2"/>
  <c r="S719" i="2"/>
  <c r="T719" i="2"/>
  <c r="U719" i="2"/>
  <c r="V719" i="2"/>
  <c r="W719" i="2"/>
  <c r="X719" i="2"/>
  <c r="E723" i="2"/>
  <c r="F723" i="2"/>
  <c r="G723" i="2"/>
  <c r="H723" i="2"/>
  <c r="I723" i="2"/>
  <c r="J723" i="2"/>
  <c r="K723" i="2"/>
  <c r="L723" i="2"/>
  <c r="M723" i="2"/>
  <c r="N723" i="2"/>
  <c r="O723" i="2"/>
  <c r="P723" i="2"/>
  <c r="Q723" i="2"/>
  <c r="R723" i="2"/>
  <c r="S723" i="2"/>
  <c r="T723" i="2"/>
  <c r="U723" i="2"/>
  <c r="V723" i="2"/>
  <c r="W723" i="2"/>
  <c r="X723" i="2"/>
  <c r="E725" i="2"/>
  <c r="F725" i="2"/>
  <c r="G725" i="2"/>
  <c r="H725" i="2"/>
  <c r="I725" i="2"/>
  <c r="J725" i="2"/>
  <c r="K725" i="2"/>
  <c r="L725" i="2"/>
  <c r="M725" i="2"/>
  <c r="N725" i="2"/>
  <c r="O725" i="2"/>
  <c r="P725" i="2"/>
  <c r="Q725" i="2"/>
  <c r="R725" i="2"/>
  <c r="S725" i="2"/>
  <c r="T725" i="2"/>
  <c r="U725" i="2"/>
  <c r="V725" i="2"/>
  <c r="W725" i="2"/>
  <c r="X725" i="2"/>
  <c r="E727" i="2"/>
  <c r="F727" i="2"/>
  <c r="G727" i="2"/>
  <c r="H727" i="2"/>
  <c r="I727" i="2"/>
  <c r="J727" i="2"/>
  <c r="K727" i="2"/>
  <c r="L727" i="2"/>
  <c r="M727" i="2"/>
  <c r="N727" i="2"/>
  <c r="O727" i="2"/>
  <c r="P727" i="2"/>
  <c r="Q727" i="2"/>
  <c r="R727" i="2"/>
  <c r="S727" i="2"/>
  <c r="T727" i="2"/>
  <c r="U727" i="2"/>
  <c r="V727" i="2"/>
  <c r="W727" i="2"/>
  <c r="X727" i="2"/>
  <c r="E731" i="2"/>
  <c r="F731" i="2"/>
  <c r="G731" i="2"/>
  <c r="H731" i="2"/>
  <c r="I731" i="2"/>
  <c r="J731" i="2"/>
  <c r="K731" i="2"/>
  <c r="L731" i="2"/>
  <c r="M731" i="2"/>
  <c r="N731" i="2"/>
  <c r="O731" i="2"/>
  <c r="P731" i="2"/>
  <c r="Q731" i="2"/>
  <c r="R731" i="2"/>
  <c r="S731" i="2"/>
  <c r="T731" i="2"/>
  <c r="U731" i="2"/>
  <c r="V731" i="2"/>
  <c r="W731" i="2"/>
  <c r="X731" i="2"/>
  <c r="E733" i="2"/>
  <c r="F733" i="2"/>
  <c r="G733" i="2"/>
  <c r="H733" i="2"/>
  <c r="I733" i="2"/>
  <c r="J733" i="2"/>
  <c r="K733" i="2"/>
  <c r="L733" i="2"/>
  <c r="M733" i="2"/>
  <c r="N733" i="2"/>
  <c r="O733" i="2"/>
  <c r="P733" i="2"/>
  <c r="Q733" i="2"/>
  <c r="R733" i="2"/>
  <c r="S733" i="2"/>
  <c r="T733" i="2"/>
  <c r="U733" i="2"/>
  <c r="V733" i="2"/>
  <c r="W733" i="2"/>
  <c r="X733" i="2"/>
  <c r="E735" i="2"/>
  <c r="F735" i="2"/>
  <c r="G735" i="2"/>
  <c r="H735" i="2"/>
  <c r="I735" i="2"/>
  <c r="J735" i="2"/>
  <c r="K735" i="2"/>
  <c r="L735" i="2"/>
  <c r="M735" i="2"/>
  <c r="N735" i="2"/>
  <c r="O735" i="2"/>
  <c r="P735" i="2"/>
  <c r="Q735" i="2"/>
  <c r="R735" i="2"/>
  <c r="S735" i="2"/>
  <c r="T735" i="2"/>
  <c r="U735" i="2"/>
  <c r="V735" i="2"/>
  <c r="W735" i="2"/>
  <c r="X735" i="2"/>
  <c r="E737" i="2"/>
  <c r="F737" i="2"/>
  <c r="G737" i="2"/>
  <c r="H737" i="2"/>
  <c r="I737" i="2"/>
  <c r="J737" i="2"/>
  <c r="K737" i="2"/>
  <c r="L737" i="2"/>
  <c r="M737" i="2"/>
  <c r="N737" i="2"/>
  <c r="O737" i="2"/>
  <c r="P737" i="2"/>
  <c r="Q737" i="2"/>
  <c r="R737" i="2"/>
  <c r="S737" i="2"/>
  <c r="T737" i="2"/>
  <c r="U737" i="2"/>
  <c r="V737" i="2"/>
  <c r="W737" i="2"/>
  <c r="X737" i="2"/>
  <c r="E739" i="2"/>
  <c r="F739" i="2"/>
  <c r="G739" i="2"/>
  <c r="H739" i="2"/>
  <c r="I739" i="2"/>
  <c r="J739" i="2"/>
  <c r="K739" i="2"/>
  <c r="L739" i="2"/>
  <c r="M739" i="2"/>
  <c r="N739" i="2"/>
  <c r="O739" i="2"/>
  <c r="P739" i="2"/>
  <c r="Q739" i="2"/>
  <c r="R739" i="2"/>
  <c r="S739" i="2"/>
  <c r="T739" i="2"/>
  <c r="U739" i="2"/>
  <c r="V739" i="2"/>
  <c r="W739" i="2"/>
  <c r="X739" i="2"/>
  <c r="E741" i="2"/>
  <c r="F741" i="2"/>
  <c r="G741" i="2"/>
  <c r="H741" i="2"/>
  <c r="I741" i="2"/>
  <c r="J741" i="2"/>
  <c r="K741" i="2"/>
  <c r="L741" i="2"/>
  <c r="M741" i="2"/>
  <c r="N741" i="2"/>
  <c r="O741" i="2"/>
  <c r="P741" i="2"/>
  <c r="Q741" i="2"/>
  <c r="R741" i="2"/>
  <c r="S741" i="2"/>
  <c r="T741" i="2"/>
  <c r="U741" i="2"/>
  <c r="V741" i="2"/>
  <c r="W741" i="2"/>
  <c r="X741" i="2"/>
  <c r="E743" i="2"/>
  <c r="F743" i="2"/>
  <c r="G743" i="2"/>
  <c r="H743" i="2"/>
  <c r="I743" i="2"/>
  <c r="J743" i="2"/>
  <c r="K743" i="2"/>
  <c r="L743" i="2"/>
  <c r="M743" i="2"/>
  <c r="N743" i="2"/>
  <c r="O743" i="2"/>
  <c r="P743" i="2"/>
  <c r="Q743" i="2"/>
  <c r="R743" i="2"/>
  <c r="S743" i="2"/>
  <c r="T743" i="2"/>
  <c r="U743" i="2"/>
  <c r="V743" i="2"/>
  <c r="W743" i="2"/>
  <c r="X743" i="2"/>
  <c r="E745" i="2"/>
  <c r="F745" i="2"/>
  <c r="G745" i="2"/>
  <c r="H745" i="2"/>
  <c r="I745" i="2"/>
  <c r="J745" i="2"/>
  <c r="K745" i="2"/>
  <c r="L745" i="2"/>
  <c r="M745" i="2"/>
  <c r="N745" i="2"/>
  <c r="O745" i="2"/>
  <c r="P745" i="2"/>
  <c r="Q745" i="2"/>
  <c r="R745" i="2"/>
  <c r="S745" i="2"/>
  <c r="T745" i="2"/>
  <c r="U745" i="2"/>
  <c r="V745" i="2"/>
  <c r="W745" i="2"/>
  <c r="X745" i="2"/>
  <c r="E747" i="2"/>
  <c r="F747" i="2"/>
  <c r="G747" i="2"/>
  <c r="H747" i="2"/>
  <c r="I747" i="2"/>
  <c r="J747" i="2"/>
  <c r="K747" i="2"/>
  <c r="L747" i="2"/>
  <c r="M747" i="2"/>
  <c r="N747" i="2"/>
  <c r="O747" i="2"/>
  <c r="P747" i="2"/>
  <c r="Q747" i="2"/>
  <c r="R747" i="2"/>
  <c r="S747" i="2"/>
  <c r="T747" i="2"/>
  <c r="U747" i="2"/>
  <c r="V747" i="2"/>
  <c r="W747" i="2"/>
  <c r="X747" i="2"/>
  <c r="E749" i="2"/>
  <c r="F749" i="2"/>
  <c r="G749" i="2"/>
  <c r="H749" i="2"/>
  <c r="I749" i="2"/>
  <c r="J749" i="2"/>
  <c r="K749" i="2"/>
  <c r="L749" i="2"/>
  <c r="M749" i="2"/>
  <c r="N749" i="2"/>
  <c r="O749" i="2"/>
  <c r="P749" i="2"/>
  <c r="Q749" i="2"/>
  <c r="R749" i="2"/>
  <c r="S749" i="2"/>
  <c r="T749" i="2"/>
  <c r="U749" i="2"/>
  <c r="V749" i="2"/>
  <c r="W749" i="2"/>
  <c r="X749" i="2"/>
  <c r="E751" i="2"/>
  <c r="F751" i="2"/>
  <c r="G751" i="2"/>
  <c r="H751" i="2"/>
  <c r="I751" i="2"/>
  <c r="J751" i="2"/>
  <c r="K751" i="2"/>
  <c r="L751" i="2"/>
  <c r="M751" i="2"/>
  <c r="N751" i="2"/>
  <c r="O751" i="2"/>
  <c r="P751" i="2"/>
  <c r="Q751" i="2"/>
  <c r="R751" i="2"/>
  <c r="S751" i="2"/>
  <c r="T751" i="2"/>
  <c r="U751" i="2"/>
  <c r="V751" i="2"/>
  <c r="W751" i="2"/>
  <c r="X751" i="2"/>
  <c r="E753" i="2"/>
  <c r="F753" i="2"/>
  <c r="G753" i="2"/>
  <c r="H753" i="2"/>
  <c r="I753" i="2"/>
  <c r="J753" i="2"/>
  <c r="K753" i="2"/>
  <c r="L753" i="2"/>
  <c r="M753" i="2"/>
  <c r="N753" i="2"/>
  <c r="O753" i="2"/>
  <c r="P753" i="2"/>
  <c r="Q753" i="2"/>
  <c r="R753" i="2"/>
  <c r="S753" i="2"/>
  <c r="T753" i="2"/>
  <c r="U753" i="2"/>
  <c r="V753" i="2"/>
  <c r="W753" i="2"/>
  <c r="X753" i="2"/>
  <c r="E755" i="2"/>
  <c r="F755" i="2"/>
  <c r="G755" i="2"/>
  <c r="H755" i="2"/>
  <c r="I755" i="2"/>
  <c r="J755" i="2"/>
  <c r="K755" i="2"/>
  <c r="L755" i="2"/>
  <c r="M755" i="2"/>
  <c r="N755" i="2"/>
  <c r="O755" i="2"/>
  <c r="P755" i="2"/>
  <c r="Q755" i="2"/>
  <c r="R755" i="2"/>
  <c r="S755" i="2"/>
  <c r="T755" i="2"/>
  <c r="U755" i="2"/>
  <c r="V755" i="2"/>
  <c r="W755" i="2"/>
  <c r="X755" i="2"/>
  <c r="E757" i="2"/>
  <c r="F757" i="2"/>
  <c r="G757" i="2"/>
  <c r="H757" i="2"/>
  <c r="I757" i="2"/>
  <c r="J757" i="2"/>
  <c r="K757" i="2"/>
  <c r="L757" i="2"/>
  <c r="M757" i="2"/>
  <c r="N757" i="2"/>
  <c r="O757" i="2"/>
  <c r="P757" i="2"/>
  <c r="Q757" i="2"/>
  <c r="R757" i="2"/>
  <c r="S757" i="2"/>
  <c r="T757" i="2"/>
  <c r="U757" i="2"/>
  <c r="V757" i="2"/>
  <c r="W757" i="2"/>
  <c r="X757" i="2"/>
  <c r="E761" i="2"/>
  <c r="F761" i="2"/>
  <c r="G761" i="2"/>
  <c r="H761" i="2"/>
  <c r="I761" i="2"/>
  <c r="J761" i="2"/>
  <c r="K761" i="2"/>
  <c r="L761" i="2"/>
  <c r="M761" i="2"/>
  <c r="N761" i="2"/>
  <c r="O761" i="2"/>
  <c r="P761" i="2"/>
  <c r="Q761" i="2"/>
  <c r="R761" i="2"/>
  <c r="S761" i="2"/>
  <c r="T761" i="2"/>
  <c r="U761" i="2"/>
  <c r="V761" i="2"/>
  <c r="W761" i="2"/>
  <c r="X761" i="2"/>
  <c r="E763" i="2"/>
  <c r="F763" i="2"/>
  <c r="G763" i="2"/>
  <c r="H763" i="2"/>
  <c r="I763" i="2"/>
  <c r="J763" i="2"/>
  <c r="K763" i="2"/>
  <c r="L763" i="2"/>
  <c r="M763" i="2"/>
  <c r="N763" i="2"/>
  <c r="O763" i="2"/>
  <c r="P763" i="2"/>
  <c r="Q763" i="2"/>
  <c r="R763" i="2"/>
  <c r="S763" i="2"/>
  <c r="T763" i="2"/>
  <c r="U763" i="2"/>
  <c r="V763" i="2"/>
  <c r="W763" i="2"/>
  <c r="X763" i="2"/>
  <c r="E767" i="2"/>
  <c r="F767" i="2"/>
  <c r="G767" i="2"/>
  <c r="H767" i="2"/>
  <c r="I767" i="2"/>
  <c r="J767" i="2"/>
  <c r="K767" i="2"/>
  <c r="L767" i="2"/>
  <c r="M767" i="2"/>
  <c r="N767" i="2"/>
  <c r="O767" i="2"/>
  <c r="P767" i="2"/>
  <c r="Q767" i="2"/>
  <c r="R767" i="2"/>
  <c r="S767" i="2"/>
  <c r="T767" i="2"/>
  <c r="U767" i="2"/>
  <c r="V767" i="2"/>
  <c r="W767" i="2"/>
  <c r="X767" i="2"/>
  <c r="E769" i="2"/>
  <c r="F769" i="2"/>
  <c r="G769" i="2"/>
  <c r="H769" i="2"/>
  <c r="I769" i="2"/>
  <c r="J769" i="2"/>
  <c r="K769" i="2"/>
  <c r="L769" i="2"/>
  <c r="M769" i="2"/>
  <c r="N769" i="2"/>
  <c r="O769" i="2"/>
  <c r="P769" i="2"/>
  <c r="Q769" i="2"/>
  <c r="R769" i="2"/>
  <c r="S769" i="2"/>
  <c r="T769" i="2"/>
  <c r="U769" i="2"/>
  <c r="V769" i="2"/>
  <c r="W769" i="2"/>
  <c r="X769" i="2"/>
  <c r="E773" i="2"/>
  <c r="F773" i="2"/>
  <c r="G773" i="2"/>
  <c r="H773" i="2"/>
  <c r="I773" i="2"/>
  <c r="J773" i="2"/>
  <c r="K773" i="2"/>
  <c r="L773" i="2"/>
  <c r="M773" i="2"/>
  <c r="N773" i="2"/>
  <c r="O773" i="2"/>
  <c r="P773" i="2"/>
  <c r="Q773" i="2"/>
  <c r="R773" i="2"/>
  <c r="S773" i="2"/>
  <c r="T773" i="2"/>
  <c r="U773" i="2"/>
  <c r="V773" i="2"/>
  <c r="W773" i="2"/>
  <c r="X773" i="2"/>
  <c r="E775" i="2"/>
  <c r="F775" i="2"/>
  <c r="G775" i="2"/>
  <c r="H775" i="2"/>
  <c r="I775" i="2"/>
  <c r="J775" i="2"/>
  <c r="K775" i="2"/>
  <c r="L775" i="2"/>
  <c r="M775" i="2"/>
  <c r="N775" i="2"/>
  <c r="O775" i="2"/>
  <c r="P775" i="2"/>
  <c r="Q775" i="2"/>
  <c r="R775" i="2"/>
  <c r="S775" i="2"/>
  <c r="T775" i="2"/>
  <c r="U775" i="2"/>
  <c r="V775" i="2"/>
  <c r="W775" i="2"/>
  <c r="X775" i="2"/>
  <c r="C784" i="2"/>
  <c r="C796" i="2" s="1"/>
  <c r="D784" i="2"/>
  <c r="D796" i="2" s="1"/>
  <c r="E784" i="2"/>
  <c r="E796" i="2" s="1"/>
  <c r="F784" i="2"/>
  <c r="F796" i="2" s="1"/>
  <c r="G784" i="2"/>
  <c r="G796" i="2" s="1"/>
  <c r="H784" i="2"/>
  <c r="H796" i="2" s="1"/>
  <c r="I784" i="2"/>
  <c r="I796" i="2" s="1"/>
  <c r="J784" i="2"/>
  <c r="J796" i="2" s="1"/>
  <c r="K784" i="2"/>
  <c r="K796" i="2" s="1"/>
  <c r="L784" i="2"/>
  <c r="L796" i="2" s="1"/>
  <c r="M784" i="2"/>
  <c r="M796" i="2" s="1"/>
  <c r="N784" i="2"/>
  <c r="N796" i="2" s="1"/>
  <c r="O784" i="2"/>
  <c r="O796" i="2" s="1"/>
  <c r="P784" i="2"/>
  <c r="P796" i="2" s="1"/>
  <c r="Q784" i="2"/>
  <c r="Q796" i="2" s="1"/>
  <c r="R784" i="2"/>
  <c r="R796" i="2" s="1"/>
  <c r="S784" i="2"/>
  <c r="S796" i="2" s="1"/>
  <c r="T784" i="2"/>
  <c r="T796" i="2" s="1"/>
  <c r="U784" i="2"/>
  <c r="V784" i="2"/>
  <c r="V796" i="2" s="1"/>
  <c r="U796" i="2"/>
  <c r="R442" i="2" l="1"/>
  <c r="L331" i="2"/>
  <c r="X252" i="2"/>
  <c r="L475" i="2"/>
  <c r="L474" i="2" s="1"/>
  <c r="G352" i="2"/>
  <c r="K220" i="2"/>
  <c r="K219" i="2" s="1"/>
  <c r="R182" i="2"/>
  <c r="S166" i="2"/>
  <c r="E40" i="2"/>
  <c r="T407" i="2"/>
  <c r="N772" i="2"/>
  <c r="N771" i="2" s="1"/>
  <c r="K239" i="2"/>
  <c r="K238" i="2" s="1"/>
  <c r="W239" i="2"/>
  <c r="W238" i="2" s="1"/>
  <c r="O239" i="2"/>
  <c r="O238" i="2" s="1"/>
  <c r="M151" i="2"/>
  <c r="R110" i="2"/>
  <c r="V772" i="2"/>
  <c r="V771" i="2" s="1"/>
  <c r="R722" i="2"/>
  <c r="R721" i="2" s="1"/>
  <c r="R588" i="2"/>
  <c r="U772" i="2"/>
  <c r="U771" i="2" s="1"/>
  <c r="M772" i="2"/>
  <c r="M771" i="2" s="1"/>
  <c r="E772" i="2"/>
  <c r="E771" i="2" s="1"/>
  <c r="Q772" i="2"/>
  <c r="Q771" i="2" s="1"/>
  <c r="I772" i="2"/>
  <c r="I771" i="2" s="1"/>
  <c r="T520" i="2"/>
  <c r="X520" i="2"/>
  <c r="P520" i="2"/>
  <c r="H520" i="2"/>
  <c r="P515" i="2"/>
  <c r="H515" i="2"/>
  <c r="J461" i="2"/>
  <c r="Q407" i="2"/>
  <c r="L151" i="2"/>
  <c r="V73" i="2"/>
  <c r="V72" i="2" s="1"/>
  <c r="N73" i="2"/>
  <c r="N72" i="2" s="1"/>
  <c r="F73" i="2"/>
  <c r="F72" i="2" s="1"/>
  <c r="G54" i="2"/>
  <c r="G53" i="2" s="1"/>
  <c r="N602" i="2"/>
  <c r="W520" i="2"/>
  <c r="O520" i="2"/>
  <c r="G515" i="2"/>
  <c r="U461" i="2"/>
  <c r="M461" i="2"/>
  <c r="E461" i="2"/>
  <c r="X166" i="2"/>
  <c r="P166" i="2"/>
  <c r="H166" i="2"/>
  <c r="P83" i="2"/>
  <c r="P82" i="2" s="1"/>
  <c r="H83" i="2"/>
  <c r="H82" i="2" s="1"/>
  <c r="F772" i="2"/>
  <c r="F771" i="2" s="1"/>
  <c r="J722" i="2"/>
  <c r="J721" i="2" s="1"/>
  <c r="F588" i="2"/>
  <c r="F587" i="2" s="1"/>
  <c r="W461" i="2"/>
  <c r="V357" i="2"/>
  <c r="O772" i="2"/>
  <c r="O771" i="2" s="1"/>
  <c r="S588" i="2"/>
  <c r="U527" i="2"/>
  <c r="U526" i="2" s="1"/>
  <c r="M527" i="2"/>
  <c r="M526" i="2" s="1"/>
  <c r="N520" i="2"/>
  <c r="V515" i="2"/>
  <c r="S375" i="2"/>
  <c r="U281" i="2"/>
  <c r="R245" i="2"/>
  <c r="J245" i="2"/>
  <c r="L239" i="2"/>
  <c r="L238" i="2" s="1"/>
  <c r="J442" i="2"/>
  <c r="W341" i="2"/>
  <c r="J331" i="2"/>
  <c r="M281" i="2"/>
  <c r="K253" i="2"/>
  <c r="K252" i="2" s="1"/>
  <c r="Q245" i="2"/>
  <c r="L95" i="2"/>
  <c r="P772" i="2"/>
  <c r="P771" i="2" s="1"/>
  <c r="P730" i="2"/>
  <c r="P729" i="2" s="1"/>
  <c r="H730" i="2"/>
  <c r="H729" i="2" s="1"/>
  <c r="L696" i="2"/>
  <c r="X588" i="2"/>
  <c r="H588" i="2"/>
  <c r="R566" i="2"/>
  <c r="J253" i="2"/>
  <c r="J252" i="2" s="1"/>
  <c r="J244" i="2" s="1"/>
  <c r="H245" i="2"/>
  <c r="R208" i="2"/>
  <c r="W73" i="2"/>
  <c r="W72" i="2" s="1"/>
  <c r="O73" i="2"/>
  <c r="O72" i="2" s="1"/>
  <c r="G73" i="2"/>
  <c r="G72" i="2" s="1"/>
  <c r="N40" i="2"/>
  <c r="P341" i="2"/>
  <c r="N252" i="2"/>
  <c r="G760" i="2"/>
  <c r="G759" i="2" s="1"/>
  <c r="F539" i="2"/>
  <c r="L520" i="2"/>
  <c r="T475" i="2"/>
  <c r="L407" i="2"/>
  <c r="R375" i="2"/>
  <c r="W331" i="2"/>
  <c r="G331" i="2"/>
  <c r="U267" i="2"/>
  <c r="M267" i="2"/>
  <c r="M266" i="2" s="1"/>
  <c r="S239" i="2"/>
  <c r="S238" i="2" s="1"/>
  <c r="W166" i="2"/>
  <c r="G166" i="2"/>
  <c r="P146" i="2"/>
  <c r="H146" i="2"/>
  <c r="O83" i="2"/>
  <c r="O82" i="2" s="1"/>
  <c r="G83" i="2"/>
  <c r="G82" i="2" s="1"/>
  <c r="X40" i="2"/>
  <c r="T40" i="2"/>
  <c r="X557" i="2"/>
  <c r="S442" i="2"/>
  <c r="O357" i="2"/>
  <c r="M220" i="2"/>
  <c r="M219" i="2" s="1"/>
  <c r="R539" i="2"/>
  <c r="W281" i="2"/>
  <c r="W245" i="2"/>
  <c r="U588" i="2"/>
  <c r="O566" i="2"/>
  <c r="T527" i="2"/>
  <c r="T526" i="2" s="1"/>
  <c r="X527" i="2"/>
  <c r="X526" i="2" s="1"/>
  <c r="P527" i="2"/>
  <c r="P526" i="2" s="1"/>
  <c r="H527" i="2"/>
  <c r="H526" i="2" s="1"/>
  <c r="S520" i="2"/>
  <c r="K520" i="2"/>
  <c r="X515" i="2"/>
  <c r="T515" i="2"/>
  <c r="L515" i="2"/>
  <c r="V368" i="2"/>
  <c r="V367" i="2" s="1"/>
  <c r="N368" i="2"/>
  <c r="N367" i="2" s="1"/>
  <c r="F368" i="2"/>
  <c r="F367" i="2" s="1"/>
  <c r="S352" i="2"/>
  <c r="M245" i="2"/>
  <c r="R239" i="2"/>
  <c r="R238" i="2" s="1"/>
  <c r="J239" i="2"/>
  <c r="J238" i="2" s="1"/>
  <c r="T220" i="2"/>
  <c r="T219" i="2" s="1"/>
  <c r="H198" i="2"/>
  <c r="N166" i="2"/>
  <c r="U151" i="2"/>
  <c r="U145" i="2" s="1"/>
  <c r="O146" i="2"/>
  <c r="G146" i="2"/>
  <c r="S110" i="2"/>
  <c r="V83" i="2"/>
  <c r="V82" i="2" s="1"/>
  <c r="N83" i="2"/>
  <c r="N82" i="2" s="1"/>
  <c r="T73" i="2"/>
  <c r="T72" i="2" s="1"/>
  <c r="L73" i="2"/>
  <c r="L72" i="2" s="1"/>
  <c r="W40" i="2"/>
  <c r="M539" i="2"/>
  <c r="O730" i="2"/>
  <c r="O729" i="2" s="1"/>
  <c r="K375" i="2"/>
  <c r="H760" i="2"/>
  <c r="H759" i="2" s="1"/>
  <c r="T722" i="2"/>
  <c r="T721" i="2" s="1"/>
  <c r="L722" i="2"/>
  <c r="L721" i="2" s="1"/>
  <c r="M602" i="2"/>
  <c r="P588" i="2"/>
  <c r="O527" i="2"/>
  <c r="O526" i="2" s="1"/>
  <c r="S515" i="2"/>
  <c r="N475" i="2"/>
  <c r="Q357" i="2"/>
  <c r="I357" i="2"/>
  <c r="R352" i="2"/>
  <c r="J352" i="2"/>
  <c r="Q239" i="2"/>
  <c r="Q238" i="2" s="1"/>
  <c r="W229" i="2"/>
  <c r="O198" i="2"/>
  <c r="P182" i="2"/>
  <c r="T151" i="2"/>
  <c r="V146" i="2"/>
  <c r="F146" i="2"/>
  <c r="V126" i="2"/>
  <c r="V125" i="2" s="1"/>
  <c r="U83" i="2"/>
  <c r="U82" i="2" s="1"/>
  <c r="M83" i="2"/>
  <c r="M82" i="2" s="1"/>
  <c r="E83" i="2"/>
  <c r="E82" i="2" s="1"/>
  <c r="S73" i="2"/>
  <c r="S72" i="2" s="1"/>
  <c r="K73" i="2"/>
  <c r="K72" i="2" s="1"/>
  <c r="O54" i="2"/>
  <c r="O53" i="2" s="1"/>
  <c r="N11" i="2"/>
  <c r="F11" i="2"/>
  <c r="F10" i="2" s="1"/>
  <c r="G730" i="2"/>
  <c r="G729" i="2" s="1"/>
  <c r="W772" i="2"/>
  <c r="W771" i="2" s="1"/>
  <c r="G772" i="2"/>
  <c r="G771" i="2" s="1"/>
  <c r="S722" i="2"/>
  <c r="S721" i="2" s="1"/>
  <c r="K722" i="2"/>
  <c r="K721" i="2" s="1"/>
  <c r="G588" i="2"/>
  <c r="V527" i="2"/>
  <c r="V526" i="2" s="1"/>
  <c r="F515" i="2"/>
  <c r="X461" i="2"/>
  <c r="P461" i="2"/>
  <c r="H461" i="2"/>
  <c r="U407" i="2"/>
  <c r="E407" i="2"/>
  <c r="X368" i="2"/>
  <c r="X367" i="2" s="1"/>
  <c r="P368" i="2"/>
  <c r="P367" i="2" s="1"/>
  <c r="H368" i="2"/>
  <c r="H367" i="2" s="1"/>
  <c r="M352" i="2"/>
  <c r="E352" i="2"/>
  <c r="Q352" i="2"/>
  <c r="I352" i="2"/>
  <c r="H239" i="2"/>
  <c r="H238" i="2" s="1"/>
  <c r="T166" i="2"/>
  <c r="L166" i="2"/>
  <c r="K151" i="2"/>
  <c r="E146" i="2"/>
  <c r="E145" i="2" s="1"/>
  <c r="Q110" i="2"/>
  <c r="X83" i="2"/>
  <c r="X82" i="2" s="1"/>
  <c r="R73" i="2"/>
  <c r="R72" i="2" s="1"/>
  <c r="E539" i="2"/>
  <c r="N220" i="2"/>
  <c r="N219" i="2" s="1"/>
  <c r="V760" i="2"/>
  <c r="V759" i="2" s="1"/>
  <c r="N760" i="2"/>
  <c r="N759" i="2" s="1"/>
  <c r="R772" i="2"/>
  <c r="R771" i="2" s="1"/>
  <c r="J772" i="2"/>
  <c r="J771" i="2" s="1"/>
  <c r="U730" i="2"/>
  <c r="U729" i="2" s="1"/>
  <c r="M730" i="2"/>
  <c r="M729" i="2" s="1"/>
  <c r="E730" i="2"/>
  <c r="E729" i="2" s="1"/>
  <c r="Q730" i="2"/>
  <c r="Q729" i="2" s="1"/>
  <c r="I730" i="2"/>
  <c r="I729" i="2" s="1"/>
  <c r="F602" i="2"/>
  <c r="S566" i="2"/>
  <c r="K566" i="2"/>
  <c r="J539" i="2"/>
  <c r="V539" i="2"/>
  <c r="N539" i="2"/>
  <c r="W459" i="2"/>
  <c r="K461" i="2"/>
  <c r="K459" i="2" s="1"/>
  <c r="T442" i="2"/>
  <c r="Q341" i="2"/>
  <c r="I341" i="2"/>
  <c r="T281" i="2"/>
  <c r="L281" i="2"/>
  <c r="P252" i="2"/>
  <c r="S245" i="2"/>
  <c r="K245" i="2"/>
  <c r="U245" i="2"/>
  <c r="P208" i="2"/>
  <c r="P207" i="2" s="1"/>
  <c r="I539" i="2"/>
  <c r="F220" i="2"/>
  <c r="F219" i="2" s="1"/>
  <c r="K696" i="2"/>
  <c r="W557" i="2"/>
  <c r="K557" i="2"/>
  <c r="W267" i="2"/>
  <c r="W266" i="2" s="1"/>
  <c r="G267" i="2"/>
  <c r="G266" i="2" s="1"/>
  <c r="X760" i="2"/>
  <c r="X759" i="2" s="1"/>
  <c r="P760" i="2"/>
  <c r="P759" i="2" s="1"/>
  <c r="V722" i="2"/>
  <c r="V721" i="2" s="1"/>
  <c r="N722" i="2"/>
  <c r="N721" i="2" s="1"/>
  <c r="F722" i="2"/>
  <c r="F721" i="2" s="1"/>
  <c r="R696" i="2"/>
  <c r="J696" i="2"/>
  <c r="V696" i="2"/>
  <c r="N696" i="2"/>
  <c r="F696" i="2"/>
  <c r="W602" i="2"/>
  <c r="J588" i="2"/>
  <c r="J587" i="2" s="1"/>
  <c r="V557" i="2"/>
  <c r="F557" i="2"/>
  <c r="R557" i="2"/>
  <c r="N527" i="2"/>
  <c r="N526" i="2" s="1"/>
  <c r="V520" i="2"/>
  <c r="F520" i="2"/>
  <c r="N515" i="2"/>
  <c r="R515" i="2"/>
  <c r="J515" i="2"/>
  <c r="N331" i="2"/>
  <c r="E245" i="2"/>
  <c r="L229" i="2"/>
  <c r="W182" i="2"/>
  <c r="P126" i="2"/>
  <c r="P125" i="2" s="1"/>
  <c r="H126" i="2"/>
  <c r="H125" i="2" s="1"/>
  <c r="J53" i="2"/>
  <c r="Q539" i="2"/>
  <c r="U539" i="2"/>
  <c r="S696" i="2"/>
  <c r="X602" i="2"/>
  <c r="O267" i="2"/>
  <c r="O266" i="2" s="1"/>
  <c r="F245" i="2"/>
  <c r="X182" i="2"/>
  <c r="W760" i="2"/>
  <c r="W759" i="2" s="1"/>
  <c r="O760" i="2"/>
  <c r="O759" i="2" s="1"/>
  <c r="Q722" i="2"/>
  <c r="Q721" i="2" s="1"/>
  <c r="I722" i="2"/>
  <c r="I721" i="2" s="1"/>
  <c r="U722" i="2"/>
  <c r="U721" i="2" s="1"/>
  <c r="M722" i="2"/>
  <c r="M721" i="2" s="1"/>
  <c r="E722" i="2"/>
  <c r="E721" i="2" s="1"/>
  <c r="Q696" i="2"/>
  <c r="I696" i="2"/>
  <c r="U696" i="2"/>
  <c r="M696" i="2"/>
  <c r="E696" i="2"/>
  <c r="V602" i="2"/>
  <c r="V587" i="2" s="1"/>
  <c r="R602" i="2"/>
  <c r="R587" i="2" s="1"/>
  <c r="J602" i="2"/>
  <c r="M588" i="2"/>
  <c r="E588" i="2"/>
  <c r="U557" i="2"/>
  <c r="M557" i="2"/>
  <c r="E557" i="2"/>
  <c r="Q557" i="2"/>
  <c r="I557" i="2"/>
  <c r="I538" i="2" s="1"/>
  <c r="E527" i="2"/>
  <c r="E526" i="2" s="1"/>
  <c r="Q520" i="2"/>
  <c r="I520" i="2"/>
  <c r="U520" i="2"/>
  <c r="M520" i="2"/>
  <c r="E520" i="2"/>
  <c r="U515" i="2"/>
  <c r="M515" i="2"/>
  <c r="M474" i="2" s="1"/>
  <c r="E515" i="2"/>
  <c r="Q515" i="2"/>
  <c r="I515" i="2"/>
  <c r="X375" i="2"/>
  <c r="U266" i="2"/>
  <c r="G245" i="2"/>
  <c r="S229" i="2"/>
  <c r="I198" i="2"/>
  <c r="W126" i="2"/>
  <c r="W125" i="2" s="1"/>
  <c r="H11" i="2"/>
  <c r="H10" i="2" s="1"/>
  <c r="U602" i="2"/>
  <c r="J566" i="2"/>
  <c r="N566" i="2"/>
  <c r="R475" i="2"/>
  <c r="T368" i="2"/>
  <c r="T367" i="2" s="1"/>
  <c r="O281" i="2"/>
  <c r="G281" i="2"/>
  <c r="X198" i="2"/>
  <c r="J151" i="2"/>
  <c r="G11" i="2"/>
  <c r="G10" i="2" s="1"/>
  <c r="X772" i="2"/>
  <c r="X771" i="2" s="1"/>
  <c r="H772" i="2"/>
  <c r="H771" i="2" s="1"/>
  <c r="T772" i="2"/>
  <c r="T771" i="2" s="1"/>
  <c r="L772" i="2"/>
  <c r="L771" i="2" s="1"/>
  <c r="U760" i="2"/>
  <c r="U759" i="2" s="1"/>
  <c r="M760" i="2"/>
  <c r="M759" i="2" s="1"/>
  <c r="E760" i="2"/>
  <c r="E759" i="2" s="1"/>
  <c r="Q760" i="2"/>
  <c r="Q759" i="2" s="1"/>
  <c r="I760" i="2"/>
  <c r="I759" i="2" s="1"/>
  <c r="W730" i="2"/>
  <c r="W729" i="2" s="1"/>
  <c r="Q566" i="2"/>
  <c r="I566" i="2"/>
  <c r="U566" i="2"/>
  <c r="M566" i="2"/>
  <c r="E566" i="2"/>
  <c r="G527" i="2"/>
  <c r="G526" i="2" s="1"/>
  <c r="S527" i="2"/>
  <c r="S526" i="2" s="1"/>
  <c r="G520" i="2"/>
  <c r="K515" i="2"/>
  <c r="W515" i="2"/>
  <c r="O515" i="2"/>
  <c r="X357" i="2"/>
  <c r="P357" i="2"/>
  <c r="H357" i="2"/>
  <c r="L357" i="2"/>
  <c r="U352" i="2"/>
  <c r="Q229" i="2"/>
  <c r="U220" i="2"/>
  <c r="U219" i="2" s="1"/>
  <c r="E220" i="2"/>
  <c r="E219" i="2" s="1"/>
  <c r="H182" i="2"/>
  <c r="H181" i="2" s="1"/>
  <c r="N10" i="2"/>
  <c r="T696" i="2"/>
  <c r="F760" i="2"/>
  <c r="F759" i="2" s="1"/>
  <c r="R760" i="2"/>
  <c r="R759" i="2" s="1"/>
  <c r="J760" i="2"/>
  <c r="J759" i="2" s="1"/>
  <c r="X730" i="2"/>
  <c r="X729" i="2" s="1"/>
  <c r="E602" i="2"/>
  <c r="V566" i="2"/>
  <c r="F566" i="2"/>
  <c r="J475" i="2"/>
  <c r="J474" i="2" s="1"/>
  <c r="S772" i="2"/>
  <c r="S771" i="2" s="1"/>
  <c r="K772" i="2"/>
  <c r="K771" i="2" s="1"/>
  <c r="V730" i="2"/>
  <c r="V729" i="2" s="1"/>
  <c r="N730" i="2"/>
  <c r="N729" i="2" s="1"/>
  <c r="F730" i="2"/>
  <c r="F729" i="2" s="1"/>
  <c r="R730" i="2"/>
  <c r="R729" i="2" s="1"/>
  <c r="J730" i="2"/>
  <c r="J729" i="2" s="1"/>
  <c r="O602" i="2"/>
  <c r="G602" i="2"/>
  <c r="G587" i="2" s="1"/>
  <c r="V588" i="2"/>
  <c r="N588" i="2"/>
  <c r="N557" i="2"/>
  <c r="K539" i="2"/>
  <c r="W539" i="2"/>
  <c r="O539" i="2"/>
  <c r="G539" i="2"/>
  <c r="X459" i="2"/>
  <c r="P459" i="2"/>
  <c r="K407" i="2"/>
  <c r="N341" i="2"/>
  <c r="F341" i="2"/>
  <c r="V245" i="2"/>
  <c r="Q208" i="2"/>
  <c r="Q207" i="2" s="1"/>
  <c r="G182" i="2"/>
  <c r="L53" i="2"/>
  <c r="N54" i="2"/>
  <c r="N53" i="2" s="1"/>
  <c r="F54" i="2"/>
  <c r="V461" i="2"/>
  <c r="R461" i="2"/>
  <c r="R459" i="2" s="1"/>
  <c r="I407" i="2"/>
  <c r="W357" i="2"/>
  <c r="X352" i="2"/>
  <c r="P352" i="2"/>
  <c r="H352" i="2"/>
  <c r="I245" i="2"/>
  <c r="W198" i="2"/>
  <c r="G198" i="2"/>
  <c r="Q95" i="2"/>
  <c r="T83" i="2"/>
  <c r="T82" i="2" s="1"/>
  <c r="L83" i="2"/>
  <c r="L82" i="2" s="1"/>
  <c r="L40" i="2"/>
  <c r="U459" i="2"/>
  <c r="M459" i="2"/>
  <c r="E459" i="2"/>
  <c r="Q461" i="2"/>
  <c r="I461" i="2"/>
  <c r="I459" i="2" s="1"/>
  <c r="M442" i="2"/>
  <c r="Q368" i="2"/>
  <c r="Q367" i="2" s="1"/>
  <c r="I368" i="2"/>
  <c r="I367" i="2" s="1"/>
  <c r="U368" i="2"/>
  <c r="U367" i="2" s="1"/>
  <c r="M368" i="2"/>
  <c r="M367" i="2" s="1"/>
  <c r="E368" i="2"/>
  <c r="E367" i="2" s="1"/>
  <c r="E281" i="2"/>
  <c r="X245" i="2"/>
  <c r="P245" i="2"/>
  <c r="G239" i="2"/>
  <c r="G238" i="2" s="1"/>
  <c r="I229" i="2"/>
  <c r="S220" i="2"/>
  <c r="S219" i="2" s="1"/>
  <c r="R166" i="2"/>
  <c r="J166" i="2"/>
  <c r="M146" i="2"/>
  <c r="M110" i="2"/>
  <c r="E110" i="2"/>
  <c r="S83" i="2"/>
  <c r="S82" i="2" s="1"/>
  <c r="K83" i="2"/>
  <c r="K82" i="2" s="1"/>
  <c r="S40" i="2"/>
  <c r="K40" i="2"/>
  <c r="Q11" i="2"/>
  <c r="Q10" i="2" s="1"/>
  <c r="I11" i="2"/>
  <c r="I10" i="2" s="1"/>
  <c r="U11" i="2"/>
  <c r="U10" i="2" s="1"/>
  <c r="M11" i="2"/>
  <c r="M10" i="2" s="1"/>
  <c r="E11" i="2"/>
  <c r="E10" i="2" s="1"/>
  <c r="O475" i="2"/>
  <c r="O474" i="2" s="1"/>
  <c r="L442" i="2"/>
  <c r="X442" i="2"/>
  <c r="H442" i="2"/>
  <c r="M375" i="2"/>
  <c r="E375" i="2"/>
  <c r="L368" i="2"/>
  <c r="L367" i="2" s="1"/>
  <c r="V352" i="2"/>
  <c r="N352" i="2"/>
  <c r="F352" i="2"/>
  <c r="V341" i="2"/>
  <c r="V331" i="2"/>
  <c r="F331" i="2"/>
  <c r="R331" i="2"/>
  <c r="X229" i="2"/>
  <c r="P229" i="2"/>
  <c r="H229" i="2"/>
  <c r="I208" i="2"/>
  <c r="I207" i="2" s="1"/>
  <c r="Q166" i="2"/>
  <c r="I166" i="2"/>
  <c r="X146" i="2"/>
  <c r="T146" i="2"/>
  <c r="L146" i="2"/>
  <c r="L145" i="2" s="1"/>
  <c r="X126" i="2"/>
  <c r="X125" i="2" s="1"/>
  <c r="T110" i="2"/>
  <c r="T89" i="2" s="1"/>
  <c r="L110" i="2"/>
  <c r="F83" i="2"/>
  <c r="F82" i="2" s="1"/>
  <c r="R83" i="2"/>
  <c r="R82" i="2" s="1"/>
  <c r="J83" i="2"/>
  <c r="J82" i="2" s="1"/>
  <c r="F40" i="2"/>
  <c r="R40" i="2"/>
  <c r="J40" i="2"/>
  <c r="X11" i="2"/>
  <c r="X10" i="2" s="1"/>
  <c r="K442" i="2"/>
  <c r="W368" i="2"/>
  <c r="W367" i="2" s="1"/>
  <c r="O368" i="2"/>
  <c r="O367" i="2" s="1"/>
  <c r="G368" i="2"/>
  <c r="G367" i="2" s="1"/>
  <c r="S368" i="2"/>
  <c r="S367" i="2" s="1"/>
  <c r="K368" i="2"/>
  <c r="K367" i="2" s="1"/>
  <c r="F267" i="2"/>
  <c r="F266" i="2" s="1"/>
  <c r="S253" i="2"/>
  <c r="S252" i="2" s="1"/>
  <c r="N245" i="2"/>
  <c r="U239" i="2"/>
  <c r="U238" i="2" s="1"/>
  <c r="M239" i="2"/>
  <c r="M238" i="2" s="1"/>
  <c r="E239" i="2"/>
  <c r="E238" i="2" s="1"/>
  <c r="O229" i="2"/>
  <c r="G229" i="2"/>
  <c r="X208" i="2"/>
  <c r="X207" i="2" s="1"/>
  <c r="H208" i="2"/>
  <c r="H207" i="2" s="1"/>
  <c r="W146" i="2"/>
  <c r="S146" i="2"/>
  <c r="K146" i="2"/>
  <c r="K145" i="2" s="1"/>
  <c r="K110" i="2"/>
  <c r="Q83" i="2"/>
  <c r="Q82" i="2" s="1"/>
  <c r="I83" i="2"/>
  <c r="I82" i="2" s="1"/>
  <c r="Q54" i="2"/>
  <c r="Q53" i="2" s="1"/>
  <c r="I54" i="2"/>
  <c r="I53" i="2" s="1"/>
  <c r="U54" i="2"/>
  <c r="U53" i="2" s="1"/>
  <c r="M54" i="2"/>
  <c r="M53" i="2" s="1"/>
  <c r="E54" i="2"/>
  <c r="E53" i="2" s="1"/>
  <c r="E9" i="2" s="1"/>
  <c r="W11" i="2"/>
  <c r="O11" i="2"/>
  <c r="O10" i="2" s="1"/>
  <c r="Q475" i="2"/>
  <c r="Q474" i="2" s="1"/>
  <c r="I475" i="2"/>
  <c r="I474" i="2" s="1"/>
  <c r="U475" i="2"/>
  <c r="U474" i="2" s="1"/>
  <c r="M475" i="2"/>
  <c r="E475" i="2"/>
  <c r="N461" i="2"/>
  <c r="N459" i="2" s="1"/>
  <c r="F461" i="2"/>
  <c r="F459" i="2" s="1"/>
  <c r="M407" i="2"/>
  <c r="R368" i="2"/>
  <c r="R367" i="2" s="1"/>
  <c r="J368" i="2"/>
  <c r="J367" i="2" s="1"/>
  <c r="L341" i="2"/>
  <c r="X341" i="2"/>
  <c r="W208" i="2"/>
  <c r="W207" i="2" s="1"/>
  <c r="O208" i="2"/>
  <c r="O207" i="2" s="1"/>
  <c r="G208" i="2"/>
  <c r="G207" i="2" s="1"/>
  <c r="J182" i="2"/>
  <c r="R146" i="2"/>
  <c r="J146" i="2"/>
  <c r="J110" i="2"/>
  <c r="J89" i="2" s="1"/>
  <c r="I95" i="2"/>
  <c r="Q73" i="2"/>
  <c r="Q72" i="2" s="1"/>
  <c r="I73" i="2"/>
  <c r="I72" i="2" s="1"/>
  <c r="X53" i="2"/>
  <c r="P53" i="2"/>
  <c r="T54" i="2"/>
  <c r="T53" i="2" s="1"/>
  <c r="L54" i="2"/>
  <c r="V11" i="2"/>
  <c r="V10" i="2" s="1"/>
  <c r="V9" i="2" s="1"/>
  <c r="X407" i="2"/>
  <c r="P407" i="2"/>
  <c r="T267" i="2"/>
  <c r="T266" i="2" s="1"/>
  <c r="L267" i="2"/>
  <c r="L266" i="2" s="1"/>
  <c r="Q253" i="2"/>
  <c r="Q252" i="2" s="1"/>
  <c r="I253" i="2"/>
  <c r="I252" i="2" s="1"/>
  <c r="I182" i="2"/>
  <c r="I146" i="2"/>
  <c r="I126" i="2"/>
  <c r="I125" i="2" s="1"/>
  <c r="U110" i="2"/>
  <c r="X73" i="2"/>
  <c r="X72" i="2" s="1"/>
  <c r="P73" i="2"/>
  <c r="P72" i="2" s="1"/>
  <c r="H73" i="2"/>
  <c r="H72" i="2" s="1"/>
  <c r="S54" i="2"/>
  <c r="S53" i="2" s="1"/>
  <c r="K54" i="2"/>
  <c r="K53" i="2" s="1"/>
  <c r="W696" i="2"/>
  <c r="G696" i="2"/>
  <c r="S557" i="2"/>
  <c r="N474" i="2"/>
  <c r="T760" i="2"/>
  <c r="T759" i="2" s="1"/>
  <c r="G461" i="2"/>
  <c r="G459" i="2" s="1"/>
  <c r="S760" i="2"/>
  <c r="S759" i="2" s="1"/>
  <c r="K760" i="2"/>
  <c r="K759" i="2" s="1"/>
  <c r="O588" i="2"/>
  <c r="P722" i="2"/>
  <c r="P721" i="2" s="1"/>
  <c r="H722" i="2"/>
  <c r="H721" i="2" s="1"/>
  <c r="O696" i="2"/>
  <c r="L760" i="2"/>
  <c r="L759" i="2" s="1"/>
  <c r="T566" i="2"/>
  <c r="L566" i="2"/>
  <c r="X566" i="2"/>
  <c r="P566" i="2"/>
  <c r="H566" i="2"/>
  <c r="O461" i="2"/>
  <c r="O459" i="2" s="1"/>
  <c r="N239" i="2"/>
  <c r="N238" i="2" s="1"/>
  <c r="W588" i="2"/>
  <c r="W566" i="2"/>
  <c r="G566" i="2"/>
  <c r="U331" i="2"/>
  <c r="M331" i="2"/>
  <c r="N229" i="2"/>
  <c r="T730" i="2"/>
  <c r="T729" i="2" s="1"/>
  <c r="L730" i="2"/>
  <c r="L729" i="2" s="1"/>
  <c r="P602" i="2"/>
  <c r="H602" i="2"/>
  <c r="T602" i="2"/>
  <c r="L602" i="2"/>
  <c r="S475" i="2"/>
  <c r="S474" i="2" s="1"/>
  <c r="K475" i="2"/>
  <c r="W475" i="2"/>
  <c r="W474" i="2" s="1"/>
  <c r="G475" i="2"/>
  <c r="T375" i="2"/>
  <c r="L375" i="2"/>
  <c r="S730" i="2"/>
  <c r="S729" i="2" s="1"/>
  <c r="K730" i="2"/>
  <c r="K729" i="2" s="1"/>
  <c r="S602" i="2"/>
  <c r="K602" i="2"/>
  <c r="O557" i="2"/>
  <c r="G557" i="2"/>
  <c r="V475" i="2"/>
  <c r="F475" i="2"/>
  <c r="H459" i="2"/>
  <c r="T461" i="2"/>
  <c r="T459" i="2" s="1"/>
  <c r="L461" i="2"/>
  <c r="L459" i="2" s="1"/>
  <c r="N357" i="2"/>
  <c r="F357" i="2"/>
  <c r="R357" i="2"/>
  <c r="J357" i="2"/>
  <c r="O341" i="2"/>
  <c r="G341" i="2"/>
  <c r="S341" i="2"/>
  <c r="K341" i="2"/>
  <c r="X722" i="2"/>
  <c r="X721" i="2" s="1"/>
  <c r="S461" i="2"/>
  <c r="S459" i="2" s="1"/>
  <c r="Q442" i="2"/>
  <c r="I442" i="2"/>
  <c r="W722" i="2"/>
  <c r="W721" i="2" s="1"/>
  <c r="O722" i="2"/>
  <c r="O721" i="2" s="1"/>
  <c r="G722" i="2"/>
  <c r="G721" i="2" s="1"/>
  <c r="K588" i="2"/>
  <c r="V459" i="2"/>
  <c r="S407" i="2"/>
  <c r="W407" i="2"/>
  <c r="O407" i="2"/>
  <c r="G407" i="2"/>
  <c r="E374" i="2"/>
  <c r="X696" i="2"/>
  <c r="P696" i="2"/>
  <c r="H696" i="2"/>
  <c r="P557" i="2"/>
  <c r="H557" i="2"/>
  <c r="T557" i="2"/>
  <c r="L557" i="2"/>
  <c r="T539" i="2"/>
  <c r="L539" i="2"/>
  <c r="X539" i="2"/>
  <c r="P539" i="2"/>
  <c r="H539" i="2"/>
  <c r="J459" i="2"/>
  <c r="R407" i="2"/>
  <c r="R374" i="2" s="1"/>
  <c r="J407" i="2"/>
  <c r="V407" i="2"/>
  <c r="N407" i="2"/>
  <c r="F407" i="2"/>
  <c r="P442" i="2"/>
  <c r="V281" i="2"/>
  <c r="V280" i="2" s="1"/>
  <c r="V279" i="2" s="1"/>
  <c r="N281" i="2"/>
  <c r="F281" i="2"/>
  <c r="W253" i="2"/>
  <c r="W252" i="2" s="1"/>
  <c r="O253" i="2"/>
  <c r="O252" i="2" s="1"/>
  <c r="G253" i="2"/>
  <c r="G252" i="2" s="1"/>
  <c r="S95" i="2"/>
  <c r="K95" i="2"/>
  <c r="W95" i="2"/>
  <c r="O95" i="2"/>
  <c r="G95" i="2"/>
  <c r="Q602" i="2"/>
  <c r="I602" i="2"/>
  <c r="Q459" i="2"/>
  <c r="U375" i="2"/>
  <c r="Q375" i="2"/>
  <c r="I375" i="2"/>
  <c r="H341" i="2"/>
  <c r="R267" i="2"/>
  <c r="R266" i="2" s="1"/>
  <c r="J267" i="2"/>
  <c r="J266" i="2" s="1"/>
  <c r="U126" i="2"/>
  <c r="U125" i="2" s="1"/>
  <c r="E126" i="2"/>
  <c r="E125" i="2" s="1"/>
  <c r="Q126" i="2"/>
  <c r="Q125" i="2" s="1"/>
  <c r="T588" i="2"/>
  <c r="L588" i="2"/>
  <c r="P375" i="2"/>
  <c r="H375" i="2"/>
  <c r="V220" i="2"/>
  <c r="V219" i="2" s="1"/>
  <c r="R220" i="2"/>
  <c r="R219" i="2" s="1"/>
  <c r="J220" i="2"/>
  <c r="J219" i="2" s="1"/>
  <c r="Q198" i="2"/>
  <c r="U198" i="2"/>
  <c r="M198" i="2"/>
  <c r="E198" i="2"/>
  <c r="Q182" i="2"/>
  <c r="U182" i="2"/>
  <c r="M182" i="2"/>
  <c r="E182" i="2"/>
  <c r="T474" i="2"/>
  <c r="E442" i="2"/>
  <c r="X267" i="2"/>
  <c r="X266" i="2" s="1"/>
  <c r="H267" i="2"/>
  <c r="H266" i="2" s="1"/>
  <c r="H252" i="2"/>
  <c r="L253" i="2"/>
  <c r="L252" i="2" s="1"/>
  <c r="X181" i="2"/>
  <c r="J375" i="2"/>
  <c r="V375" i="2"/>
  <c r="N375" i="2"/>
  <c r="F375" i="2"/>
  <c r="T357" i="2"/>
  <c r="U341" i="2"/>
  <c r="M341" i="2"/>
  <c r="E341" i="2"/>
  <c r="R281" i="2"/>
  <c r="J281" i="2"/>
  <c r="R207" i="2"/>
  <c r="U442" i="2"/>
  <c r="P267" i="2"/>
  <c r="P266" i="2" s="1"/>
  <c r="T253" i="2"/>
  <c r="T252" i="2" s="1"/>
  <c r="V239" i="2"/>
  <c r="V238" i="2" s="1"/>
  <c r="F239" i="2"/>
  <c r="F238" i="2" s="1"/>
  <c r="R181" i="2"/>
  <c r="Q588" i="2"/>
  <c r="I588" i="2"/>
  <c r="X475" i="2"/>
  <c r="X474" i="2" s="1"/>
  <c r="P475" i="2"/>
  <c r="P474" i="2" s="1"/>
  <c r="H475" i="2"/>
  <c r="H407" i="2"/>
  <c r="G357" i="2"/>
  <c r="S357" i="2"/>
  <c r="K357" i="2"/>
  <c r="T352" i="2"/>
  <c r="L352" i="2"/>
  <c r="T341" i="2"/>
  <c r="V267" i="2"/>
  <c r="V266" i="2" s="1"/>
  <c r="N267" i="2"/>
  <c r="N266" i="2" s="1"/>
  <c r="S208" i="2"/>
  <c r="S207" i="2" s="1"/>
  <c r="K208" i="2"/>
  <c r="K207" i="2" s="1"/>
  <c r="W442" i="2"/>
  <c r="O442" i="2"/>
  <c r="G442" i="2"/>
  <c r="R341" i="2"/>
  <c r="J341" i="2"/>
  <c r="T331" i="2"/>
  <c r="V253" i="2"/>
  <c r="V252" i="2" s="1"/>
  <c r="F253" i="2"/>
  <c r="F252" i="2" s="1"/>
  <c r="V208" i="2"/>
  <c r="V207" i="2" s="1"/>
  <c r="N208" i="2"/>
  <c r="N207" i="2" s="1"/>
  <c r="F208" i="2"/>
  <c r="F207" i="2" s="1"/>
  <c r="V442" i="2"/>
  <c r="N442" i="2"/>
  <c r="F442" i="2"/>
  <c r="S331" i="2"/>
  <c r="K331" i="2"/>
  <c r="U253" i="2"/>
  <c r="U252" i="2" s="1"/>
  <c r="M253" i="2"/>
  <c r="M252" i="2" s="1"/>
  <c r="M244" i="2" s="1"/>
  <c r="E253" i="2"/>
  <c r="E252" i="2" s="1"/>
  <c r="E244" i="2" s="1"/>
  <c r="L220" i="2"/>
  <c r="L219" i="2" s="1"/>
  <c r="X220" i="2"/>
  <c r="X219" i="2" s="1"/>
  <c r="P220" i="2"/>
  <c r="P219" i="2" s="1"/>
  <c r="H220" i="2"/>
  <c r="H219" i="2" s="1"/>
  <c r="J198" i="2"/>
  <c r="V198" i="2"/>
  <c r="N198" i="2"/>
  <c r="F198" i="2"/>
  <c r="S151" i="2"/>
  <c r="W151" i="2"/>
  <c r="O151" i="2"/>
  <c r="G151" i="2"/>
  <c r="G145" i="2" s="1"/>
  <c r="W375" i="2"/>
  <c r="O375" i="2"/>
  <c r="G375" i="2"/>
  <c r="U357" i="2"/>
  <c r="M357" i="2"/>
  <c r="E357" i="2"/>
  <c r="X331" i="2"/>
  <c r="P331" i="2"/>
  <c r="H331" i="2"/>
  <c r="Q267" i="2"/>
  <c r="Q266" i="2" s="1"/>
  <c r="I267" i="2"/>
  <c r="I266" i="2" s="1"/>
  <c r="R253" i="2"/>
  <c r="R252" i="2" s="1"/>
  <c r="L245" i="2"/>
  <c r="Q331" i="2"/>
  <c r="I331" i="2"/>
  <c r="S281" i="2"/>
  <c r="K281" i="2"/>
  <c r="T245" i="2"/>
  <c r="M229" i="2"/>
  <c r="P198" i="2"/>
  <c r="P181" i="2" s="1"/>
  <c r="T198" i="2"/>
  <c r="L198" i="2"/>
  <c r="R151" i="2"/>
  <c r="R145" i="2" s="1"/>
  <c r="V151" i="2"/>
  <c r="N151" i="2"/>
  <c r="N145" i="2" s="1"/>
  <c r="F151" i="2"/>
  <c r="F145" i="2" s="1"/>
  <c r="T95" i="2"/>
  <c r="X95" i="2"/>
  <c r="X89" i="2" s="1"/>
  <c r="P95" i="2"/>
  <c r="H95" i="2"/>
  <c r="H9" i="2"/>
  <c r="Q281" i="2"/>
  <c r="I281" i="2"/>
  <c r="O245" i="2"/>
  <c r="T182" i="2"/>
  <c r="L182" i="2"/>
  <c r="L181" i="2" s="1"/>
  <c r="O126" i="2"/>
  <c r="O125" i="2" s="1"/>
  <c r="G126" i="2"/>
  <c r="G125" i="2" s="1"/>
  <c r="S126" i="2"/>
  <c r="S125" i="2" s="1"/>
  <c r="K126" i="2"/>
  <c r="K125" i="2" s="1"/>
  <c r="W110" i="2"/>
  <c r="O110" i="2"/>
  <c r="G110" i="2"/>
  <c r="G89" i="2" s="1"/>
  <c r="R95" i="2"/>
  <c r="R89" i="2" s="1"/>
  <c r="J95" i="2"/>
  <c r="V95" i="2"/>
  <c r="N95" i="2"/>
  <c r="F95" i="2"/>
  <c r="S89" i="2"/>
  <c r="R53" i="2"/>
  <c r="X281" i="2"/>
  <c r="P281" i="2"/>
  <c r="H281" i="2"/>
  <c r="S267" i="2"/>
  <c r="S266" i="2" s="1"/>
  <c r="K267" i="2"/>
  <c r="K266" i="2" s="1"/>
  <c r="K244" i="2" s="1"/>
  <c r="V229" i="2"/>
  <c r="F229" i="2"/>
  <c r="O182" i="2"/>
  <c r="O181" i="2" s="1"/>
  <c r="S182" i="2"/>
  <c r="K182" i="2"/>
  <c r="U166" i="2"/>
  <c r="E166" i="2"/>
  <c r="N126" i="2"/>
  <c r="N125" i="2" s="1"/>
  <c r="R126" i="2"/>
  <c r="R125" i="2" s="1"/>
  <c r="J126" i="2"/>
  <c r="J125" i="2" s="1"/>
  <c r="K229" i="2"/>
  <c r="Q220" i="2"/>
  <c r="Q219" i="2" s="1"/>
  <c r="I220" i="2"/>
  <c r="I219" i="2" s="1"/>
  <c r="S198" i="2"/>
  <c r="K198" i="2"/>
  <c r="M166" i="2"/>
  <c r="Q151" i="2"/>
  <c r="Q145" i="2" s="1"/>
  <c r="I151" i="2"/>
  <c r="E151" i="2"/>
  <c r="U229" i="2"/>
  <c r="E229" i="2"/>
  <c r="W220" i="2"/>
  <c r="W219" i="2" s="1"/>
  <c r="O220" i="2"/>
  <c r="O219" i="2" s="1"/>
  <c r="G220" i="2"/>
  <c r="G219" i="2" s="1"/>
  <c r="U208" i="2"/>
  <c r="U207" i="2" s="1"/>
  <c r="M208" i="2"/>
  <c r="M207" i="2" s="1"/>
  <c r="E208" i="2"/>
  <c r="E207" i="2" s="1"/>
  <c r="K166" i="2"/>
  <c r="I110" i="2"/>
  <c r="T229" i="2"/>
  <c r="T208" i="2"/>
  <c r="T207" i="2" s="1"/>
  <c r="L208" i="2"/>
  <c r="L207" i="2" s="1"/>
  <c r="V182" i="2"/>
  <c r="N182" i="2"/>
  <c r="F182" i="2"/>
  <c r="V166" i="2"/>
  <c r="F166" i="2"/>
  <c r="M126" i="2"/>
  <c r="M125" i="2" s="1"/>
  <c r="X110" i="2"/>
  <c r="P110" i="2"/>
  <c r="H110" i="2"/>
  <c r="W53" i="2"/>
  <c r="P11" i="2"/>
  <c r="P10" i="2" s="1"/>
  <c r="T11" i="2"/>
  <c r="T10" i="2" s="1"/>
  <c r="L11" i="2"/>
  <c r="O145" i="2"/>
  <c r="V110" i="2"/>
  <c r="N110" i="2"/>
  <c r="F110" i="2"/>
  <c r="U95" i="2"/>
  <c r="M95" i="2"/>
  <c r="E95" i="2"/>
  <c r="E89" i="2" s="1"/>
  <c r="Q89" i="2"/>
  <c r="F53" i="2"/>
  <c r="S11" i="2"/>
  <c r="K11" i="2"/>
  <c r="K10" i="2" s="1"/>
  <c r="K89" i="2"/>
  <c r="R11" i="2"/>
  <c r="J11" i="2"/>
  <c r="X151" i="2"/>
  <c r="P151" i="2"/>
  <c r="P145" i="2" s="1"/>
  <c r="H151" i="2"/>
  <c r="T126" i="2"/>
  <c r="T125" i="2" s="1"/>
  <c r="L126" i="2"/>
  <c r="L125" i="2" s="1"/>
  <c r="N587" i="2" l="1"/>
  <c r="Q538" i="2"/>
  <c r="F9" i="2"/>
  <c r="M587" i="2"/>
  <c r="H145" i="2"/>
  <c r="I145" i="2"/>
  <c r="K374" i="2"/>
  <c r="K373" i="2" s="1"/>
  <c r="R474" i="2"/>
  <c r="E474" i="2"/>
  <c r="E538" i="2"/>
  <c r="Q280" i="2"/>
  <c r="Q279" i="2" s="1"/>
  <c r="O280" i="2"/>
  <c r="O279" i="2" s="1"/>
  <c r="V89" i="2"/>
  <c r="T374" i="2"/>
  <c r="T373" i="2" s="1"/>
  <c r="P587" i="2"/>
  <c r="T145" i="2"/>
  <c r="V538" i="2"/>
  <c r="L10" i="2"/>
  <c r="L9" i="2" s="1"/>
  <c r="V145" i="2"/>
  <c r="I181" i="2"/>
  <c r="Q9" i="2"/>
  <c r="M181" i="2"/>
  <c r="M9" i="2"/>
  <c r="U587" i="2"/>
  <c r="U89" i="2"/>
  <c r="S145" i="2"/>
  <c r="H474" i="2"/>
  <c r="S374" i="2"/>
  <c r="S373" i="2" s="1"/>
  <c r="M145" i="2"/>
  <c r="K538" i="2"/>
  <c r="G474" i="2"/>
  <c r="L244" i="2"/>
  <c r="S244" i="2"/>
  <c r="O374" i="2"/>
  <c r="N244" i="2"/>
  <c r="F474" i="2"/>
  <c r="I89" i="2"/>
  <c r="W145" i="2"/>
  <c r="L89" i="2"/>
  <c r="L88" i="2" s="1"/>
  <c r="W181" i="2"/>
  <c r="L280" i="2"/>
  <c r="L279" i="2" s="1"/>
  <c r="Q374" i="2"/>
  <c r="P244" i="2"/>
  <c r="W280" i="2"/>
  <c r="W279" i="2" s="1"/>
  <c r="M538" i="2"/>
  <c r="M537" i="2" s="1"/>
  <c r="U538" i="2"/>
  <c r="U537" i="2" s="1"/>
  <c r="F538" i="2"/>
  <c r="F537" i="2" s="1"/>
  <c r="J10" i="2"/>
  <c r="J9" i="2" s="1"/>
  <c r="F181" i="2"/>
  <c r="T538" i="2"/>
  <c r="X587" i="2"/>
  <c r="J181" i="2"/>
  <c r="M374" i="2"/>
  <c r="M373" i="2" s="1"/>
  <c r="U9" i="2"/>
  <c r="X244" i="2"/>
  <c r="N9" i="2"/>
  <c r="J145" i="2"/>
  <c r="G244" i="2"/>
  <c r="W10" i="2"/>
  <c r="W9" i="2" s="1"/>
  <c r="X145" i="2"/>
  <c r="X88" i="2" s="1"/>
  <c r="I9" i="2"/>
  <c r="G181" i="2"/>
  <c r="G88" i="2" s="1"/>
  <c r="E587" i="2"/>
  <c r="E537" i="2" s="1"/>
  <c r="N538" i="2"/>
  <c r="S538" i="2"/>
  <c r="W587" i="2"/>
  <c r="R538" i="2"/>
  <c r="T244" i="2"/>
  <c r="N537" i="2"/>
  <c r="T9" i="2"/>
  <c r="O538" i="2"/>
  <c r="G538" i="2"/>
  <c r="G537" i="2" s="1"/>
  <c r="M89" i="2"/>
  <c r="U244" i="2"/>
  <c r="R373" i="2"/>
  <c r="X374" i="2"/>
  <c r="X373" i="2" s="1"/>
  <c r="K9" i="2"/>
  <c r="N181" i="2"/>
  <c r="F89" i="2"/>
  <c r="F88" i="2" s="1"/>
  <c r="T181" i="2"/>
  <c r="H89" i="2"/>
  <c r="K280" i="2"/>
  <c r="K279" i="2" s="1"/>
  <c r="I244" i="2"/>
  <c r="G374" i="2"/>
  <c r="H374" i="2"/>
  <c r="H373" i="2" s="1"/>
  <c r="T587" i="2"/>
  <c r="T537" i="2" s="1"/>
  <c r="F280" i="2"/>
  <c r="F279" i="2" s="1"/>
  <c r="S587" i="2"/>
  <c r="S537" i="2" s="1"/>
  <c r="K474" i="2"/>
  <c r="R10" i="2"/>
  <c r="R9" i="2" s="1"/>
  <c r="P9" i="2"/>
  <c r="R244" i="2"/>
  <c r="W244" i="2"/>
  <c r="W538" i="2"/>
  <c r="W537" i="2" s="1"/>
  <c r="S10" i="2"/>
  <c r="S9" i="2" s="1"/>
  <c r="V181" i="2"/>
  <c r="P89" i="2"/>
  <c r="P88" i="2" s="1"/>
  <c r="Q244" i="2"/>
  <c r="O373" i="2"/>
  <c r="F244" i="2"/>
  <c r="E280" i="2"/>
  <c r="E279" i="2" s="1"/>
  <c r="P374" i="2"/>
  <c r="P373" i="2" s="1"/>
  <c r="I374" i="2"/>
  <c r="I373" i="2" s="1"/>
  <c r="N280" i="2"/>
  <c r="N279" i="2" s="1"/>
  <c r="G280" i="2"/>
  <c r="G279" i="2" s="1"/>
  <c r="O9" i="2"/>
  <c r="U280" i="2"/>
  <c r="U279" i="2" s="1"/>
  <c r="E181" i="2"/>
  <c r="E88" i="2" s="1"/>
  <c r="U374" i="2"/>
  <c r="U373" i="2" s="1"/>
  <c r="X538" i="2"/>
  <c r="X537" i="2" s="1"/>
  <c r="H587" i="2"/>
  <c r="V474" i="2"/>
  <c r="G9" i="2"/>
  <c r="V244" i="2"/>
  <c r="I587" i="2"/>
  <c r="M280" i="2"/>
  <c r="M279" i="2" s="1"/>
  <c r="Q373" i="2"/>
  <c r="I280" i="2"/>
  <c r="I279" i="2" s="1"/>
  <c r="X9" i="2"/>
  <c r="T280" i="2"/>
  <c r="T279" i="2" s="1"/>
  <c r="H244" i="2"/>
  <c r="L538" i="2"/>
  <c r="L374" i="2"/>
  <c r="L373" i="2" s="1"/>
  <c r="J538" i="2"/>
  <c r="J537" i="2" s="1"/>
  <c r="S280" i="2"/>
  <c r="S279" i="2" s="1"/>
  <c r="W89" i="2"/>
  <c r="R88" i="2"/>
  <c r="K181" i="2"/>
  <c r="K88" i="2" s="1"/>
  <c r="N89" i="2"/>
  <c r="Q587" i="2"/>
  <c r="F374" i="2"/>
  <c r="F373" i="2" s="1"/>
  <c r="U181" i="2"/>
  <c r="U88" i="2" s="1"/>
  <c r="E373" i="2"/>
  <c r="K587" i="2"/>
  <c r="J88" i="2"/>
  <c r="H280" i="2"/>
  <c r="H279" i="2" s="1"/>
  <c r="O244" i="2"/>
  <c r="N374" i="2"/>
  <c r="N373" i="2" s="1"/>
  <c r="Q181" i="2"/>
  <c r="Q88" i="2" s="1"/>
  <c r="P280" i="2"/>
  <c r="P279" i="2" s="1"/>
  <c r="W374" i="2"/>
  <c r="W373" i="2" s="1"/>
  <c r="J280" i="2"/>
  <c r="J279" i="2" s="1"/>
  <c r="V374" i="2"/>
  <c r="Q537" i="2"/>
  <c r="H538" i="2"/>
  <c r="O587" i="2"/>
  <c r="O89" i="2"/>
  <c r="O88" i="2" s="1"/>
  <c r="S181" i="2"/>
  <c r="S88" i="2" s="1"/>
  <c r="I537" i="2"/>
  <c r="R537" i="2"/>
  <c r="X280" i="2"/>
  <c r="X279" i="2" s="1"/>
  <c r="R280" i="2"/>
  <c r="R279" i="2" s="1"/>
  <c r="J374" i="2"/>
  <c r="J373" i="2" s="1"/>
  <c r="L587" i="2"/>
  <c r="P538" i="2"/>
  <c r="V537" i="2"/>
  <c r="N88" i="2" l="1"/>
  <c r="G373" i="2"/>
  <c r="I88" i="2"/>
  <c r="P537" i="2"/>
  <c r="K537" i="2"/>
  <c r="H88" i="2"/>
  <c r="M88" i="2"/>
  <c r="O537" i="2"/>
  <c r="V88" i="2"/>
  <c r="T88" i="2"/>
  <c r="W88" i="2"/>
  <c r="V373" i="2"/>
  <c r="H537" i="2"/>
  <c r="L537" i="2"/>
</calcChain>
</file>

<file path=xl/sharedStrings.xml><?xml version="1.0" encoding="utf-8"?>
<sst xmlns="http://schemas.openxmlformats.org/spreadsheetml/2006/main" count="4283" uniqueCount="2133">
  <si>
    <t>Kodas</t>
  </si>
  <si>
    <t>ŠAKIŲ RAJONO SAVIVALDYBĖS ADMINISTRACIJOS 2024 METŲ VEIKLOS PLANO ATASKAITA</t>
  </si>
  <si>
    <t>Vykdytojas</t>
  </si>
  <si>
    <t>Atsakingas (-i) asmuo (-ys)</t>
  </si>
  <si>
    <t>Lėšos biudžetiniams metams</t>
  </si>
  <si>
    <t>Finansavimo lėšos</t>
  </si>
  <si>
    <t>Panaudotos lėšos biudžetiniams metams</t>
  </si>
  <si>
    <t>Poveikio /Rezultato /Produkto /Veiklos efektyvumo</t>
  </si>
  <si>
    <t>SB</t>
  </si>
  <si>
    <t>SB (PĮ; KTP)</t>
  </si>
  <si>
    <t>SB (AA)</t>
  </si>
  <si>
    <t>SB (VB D)</t>
  </si>
  <si>
    <t>SP</t>
  </si>
  <si>
    <t>ES</t>
  </si>
  <si>
    <t>VB</t>
  </si>
  <si>
    <t>VIP</t>
  </si>
  <si>
    <t>KT</t>
  </si>
  <si>
    <t>SB(IP)</t>
  </si>
  <si>
    <t>SB(AA)</t>
  </si>
  <si>
    <t>SB(D)</t>
  </si>
  <si>
    <t>Rodiklis</t>
  </si>
  <si>
    <t>Mato vnt.</t>
  </si>
  <si>
    <t>2024</t>
  </si>
  <si>
    <t>Pastaba</t>
  </si>
  <si>
    <t>Planas</t>
  </si>
  <si>
    <t>Faktas</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</si>
  <si>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</si>
  <si>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</si>
  <si>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</si>
  <si>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</si>
  <si>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</si>
  <si>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</si>
  <si>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</si>
  <si>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</si>
  <si>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</si>
  <si>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</si>
  <si>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60,00</t>
  </si>
  <si>
    <t>01.01.01</t>
  </si>
  <si>
    <t>Uždavinys. Kompleksiškai modernizuoti, renovuoti švietimo įstaigų mokymo (si) ir ugdymo (si) aplinką ir materialinę bazę (vaikų ir jaunimo ugdymo organizavimas)</t>
  </si>
  <si>
    <t>Modernizuotų švietimo įstaigų skaičius</t>
  </si>
  <si>
    <t>vnt.</t>
  </si>
  <si>
    <t>2,00</t>
  </si>
  <si>
    <t>2024 m.: Kudirkos Naumiesčio Vinco Kudirkos gimnazija, Sintautų pagrindinės mokyklos ikimokyklinio ugdymo skyrius.</t>
  </si>
  <si>
    <t>01.01.01.01.</t>
  </si>
  <si>
    <t>Priemonė. Atnaujinti įrangą brandos egzaminų vykdymui švietimo įstaigose</t>
  </si>
  <si>
    <t>Gintaras  Demenius</t>
  </si>
  <si>
    <t>Gaunamų iš Švietimo ir mokslo ministerijos priemonių skaičius</t>
  </si>
  <si>
    <t>0,00</t>
  </si>
  <si>
    <t>2024 m.: Priemonių iš ministerijos neskirta, nes lėšos brandos egzaminų vykdymo įrangai pervestos mokykloms.</t>
  </si>
  <si>
    <t>01.01.01.01.01</t>
  </si>
  <si>
    <t>Veikla: Įsigyti įrangą brandos egzaminų vykdymui</t>
  </si>
  <si>
    <t>01.01.01.03</t>
  </si>
  <si>
    <t>Priemonė. Mokymo reikmėms skirtų lėšų naudojimo programa valdoma administracijoje</t>
  </si>
  <si>
    <t>Administracines lėšas naudojančių įstaigų skaičius</t>
  </si>
  <si>
    <t>1,00</t>
  </si>
  <si>
    <t>01.01.01.03.01</t>
  </si>
  <si>
    <t>Veikla: Paskirstyti mokinio krepšelio lėšas mokinio reikmėms tenkinti.</t>
  </si>
  <si>
    <t>01.01.01.05.</t>
  </si>
  <si>
    <t>Priemonė. Mokinių pavėžėjimo programa</t>
  </si>
  <si>
    <t>Mokinių, pavežamų maršrutiniu transportu, skaičius</t>
  </si>
  <si>
    <t>325,00</t>
  </si>
  <si>
    <t>382,00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</si>
  <si>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</si>
  <si>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</si>
  <si>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</si>
  <si>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</si>
  <si>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</si>
  <si>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</si>
  <si>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</si>
  <si>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</si>
  <si>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3,00</t>
  </si>
  <si>
    <t>2024 m.: Vienai nominacijai nebuvo pateikta kandidatūros.</t>
  </si>
  <si>
    <t>Skirtų premijų šimtukininkams ir mokiniams už aukštus mokymosi rezultatus skaičius</t>
  </si>
  <si>
    <t>9,00</t>
  </si>
  <si>
    <t>2024 m.: Egzaminus šimtuku išlaikė tik 2 mokiniai.</t>
  </si>
  <si>
    <t>01.01.01.08.01.</t>
  </si>
  <si>
    <t>Veikla:  Įgyvendinti renginių (olimpiadų, konkursų, viktorinų, peržiūrų, švenčių, festivalių, vasaros poilsio) organizavimo, mokinių ir darbuotojų skatinimo programą</t>
  </si>
  <si>
    <t>01.01.01.11.</t>
  </si>
  <si>
    <t>Priemonė: Vaikų vasaros stovyklų programa</t>
  </si>
  <si>
    <t>Gintaras  Demenius; Ingrida Kasparavičienė</t>
  </si>
  <si>
    <t>Mokiniams organizuotų stovyklų skaičius</t>
  </si>
  <si>
    <t>13,00</t>
  </si>
  <si>
    <t>18,00</t>
  </si>
  <si>
    <t>01.01.01.11.01</t>
  </si>
  <si>
    <t>Veikla. Skirti lėšas vaikų vasaros stovykloms organizuoti</t>
  </si>
  <si>
    <t>01.01.01.14</t>
  </si>
  <si>
    <t>Priemonė: Kokybės krepšelio lėšos</t>
  </si>
  <si>
    <t>Kokybės krepšelį naudojančių įstaigų skaičius</t>
  </si>
  <si>
    <t>01.01.01.14.02</t>
  </si>
  <si>
    <t>Veikla. Įsigyti naujų mokymo priemonių</t>
  </si>
  <si>
    <t>01.01.01.18</t>
  </si>
  <si>
    <t>Priemonė. Įsteigti švietimo pagalbos specialistų pareigybes</t>
  </si>
  <si>
    <t>Švietimo įstaigų, kurioms skirti švietimo pagalbos specialistai, etatai</t>
  </si>
  <si>
    <t>2024 m.: Nepanaudotos lėšos, negauta prašymų.</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</si>
  <si>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</si>
  <si>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</si>
  <si>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</si>
  <si>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</si>
  <si>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</si>
  <si>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</si>
  <si>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</si>
  <si>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</si>
  <si>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</si>
  <si>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</si>
  <si>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</si>
  <si>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</si>
  <si>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</si>
  <si>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</si>
  <si>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</si>
  <si>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</si>
  <si>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</si>
  <si>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</si>
  <si>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16,00</t>
  </si>
  <si>
    <t>2024 m.: Pavežamų mokinių skaičius seniūnijos autobusu sumažėjo mokiniams išvykus į kitas mokymosi įstaigas.</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</si>
  <si>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</si>
  <si>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</si>
  <si>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</si>
  <si>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</si>
  <si>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</si>
  <si>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</si>
  <si>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</si>
  <si>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</si>
  <si>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</si>
  <si>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</si>
  <si>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</si>
  <si>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</si>
  <si>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</si>
  <si>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</si>
  <si>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</si>
  <si>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</si>
  <si>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</si>
  <si>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</si>
  <si>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</si>
  <si>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Pakėlusių kvalifikaciją pedagogų skaičius</t>
  </si>
  <si>
    <t>120,00</t>
  </si>
  <si>
    <t>315,00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</si>
  <si>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</si>
  <si>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</si>
  <si>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</si>
  <si>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</si>
  <si>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</si>
  <si>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</si>
  <si>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</si>
  <si>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</si>
  <si>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</si>
  <si>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</si>
  <si>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</si>
  <si>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</si>
  <si>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</si>
  <si>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</si>
  <si>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85,00</t>
  </si>
  <si>
    <t>01.03.02.</t>
  </si>
  <si>
    <t>Uždavinys. Didinti neformaliojo švietimo prieinamumą ir galimybes</t>
  </si>
  <si>
    <t>Programų skaičius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</si>
  <si>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</si>
  <si>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</si>
  <si>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</si>
  <si>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</si>
  <si>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</si>
  <si>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</si>
  <si>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</si>
  <si>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</si>
  <si>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</si>
  <si>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</si>
  <si>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</si>
  <si>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</si>
  <si>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184,00</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</si>
  <si>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</si>
  <si>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</si>
  <si>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</si>
  <si>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</si>
  <si>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</si>
  <si>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</si>
  <si>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</si>
  <si>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</si>
  <si>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Jaunimo iniciatyvų projektuose ir savanorystės programose dalyvaujančio jaunimo dalis</t>
  </si>
  <si>
    <t>10,00</t>
  </si>
  <si>
    <t>15,00</t>
  </si>
  <si>
    <t>2024 m.: didesnis jaunimo aktyvumas</t>
  </si>
  <si>
    <t>01.05.01.</t>
  </si>
  <si>
    <t>Uždavinys. Skatinti ir palaikyti jaunimo iniciatyvas.</t>
  </si>
  <si>
    <t>01.05.01.01</t>
  </si>
  <si>
    <t>Priemonė. Skatinti ir palaikyti jaunimo iniciatyvas</t>
  </si>
  <si>
    <t>Projektų, skirtų jaunimo iniciatyvų skatinimui, jaunimo mokymams ir gerosios patirties sklaidai, skaičius</t>
  </si>
  <si>
    <t>2024 m.: didesnis pareiškėjų skaičius</t>
  </si>
  <si>
    <t>Jaunimui skirtų premijų skaičius</t>
  </si>
  <si>
    <t>8,00</t>
  </si>
  <si>
    <t>2024 m.: Šakių rajono savivaldybės jaunimo reikalų tarybos sprendimu skirtas didesnis premijų skaičius</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</si>
  <si>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</si>
  <si>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</si>
  <si>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</si>
  <si>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</si>
  <si>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</si>
  <si>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2024 m.: Daugiau pateikta studentų prašymų</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</si>
  <si>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</si>
  <si>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</si>
  <si>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</si>
  <si>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</si>
  <si>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</si>
  <si>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</si>
  <si>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</si>
  <si>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Komandų, vykdančių mobilųjį darbą su jaunimu</t>
  </si>
  <si>
    <t>Vietovių, kuriose vykdomas mobilusis darbas su jaunimu</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</si>
  <si>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</si>
  <si>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</si>
  <si>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</si>
  <si>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</si>
  <si>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</si>
  <si>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</si>
  <si>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</si>
  <si>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</si>
  <si>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</si>
  <si>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</si>
  <si>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</si>
  <si>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</si>
  <si>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</si>
  <si>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Šeimų, gavusių koordinuotai teikiamas paslaugas, skaičius</t>
  </si>
  <si>
    <t>20,00</t>
  </si>
  <si>
    <t>2024 m.: Tęsiamos anksčiau paskirtos koordinuotai teikiamos paslaugos ir naujai paskirtos savivaldybės Vaiko gerovės komisijos sprendimu.</t>
  </si>
  <si>
    <t>Vaikų, gavusių paskirtas minimalios ar vidutinės priežiūros priemones, skaičius</t>
  </si>
  <si>
    <t>2024 m.: Tęsiamos anksčiau paskirtos vaiko minimalios priežiūros paslaugos ir 2024 m.  naujai skirtos rajono Vaiko gerovės komisijos sprendimu.</t>
  </si>
  <si>
    <t>Vaikų, gavusių paskirtą privalomą ikimokyklinį ugdymą, skaičius</t>
  </si>
  <si>
    <t>2024 m.: Dėl privalomo ikimokyklinio ugdymo skyrimo sulaukta daugiau nei planuota prašymų.</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</si>
  <si>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</si>
  <si>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</si>
  <si>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</si>
  <si>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</si>
  <si>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</si>
  <si>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</si>
  <si>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</si>
  <si>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</si>
  <si>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</si>
  <si>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</si>
  <si>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</si>
  <si>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</si>
  <si>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</si>
  <si>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</si>
  <si>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</si>
  <si>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</si>
  <si>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</si>
  <si>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</si>
  <si>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</si>
  <si>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</si>
  <si>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</si>
  <si>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</si>
  <si>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</si>
  <si>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</si>
  <si>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60,45</t>
  </si>
  <si>
    <t>01.08.01.</t>
  </si>
  <si>
    <t>Uždavinys. Pagerinti  ugdymosi rezultatus ir sumažinti jų atotrūkį.</t>
  </si>
  <si>
    <t>Vaikų, dalyvaujančių programoje, dalis proc.</t>
  </si>
  <si>
    <t>01.08.01.03.</t>
  </si>
  <si>
    <t>Priemonė. Įgyvendinti informatikos ir technologinės kūrybos mokymo programą</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</si>
  <si>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</si>
  <si>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</si>
  <si>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</si>
  <si>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</si>
  <si>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</si>
  <si>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</si>
  <si>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</si>
  <si>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</si>
  <si>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</si>
  <si>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</si>
  <si>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30,00</t>
  </si>
  <si>
    <t>01.09.01.01.</t>
  </si>
  <si>
    <t>Priemonė. Organizuoti vaikų vasaros stovyklą, įtraukiant diasporos vaikus</t>
  </si>
  <si>
    <t>Lankiusių stovyklą, diasporos vaikams, vaikų skaičius</t>
  </si>
  <si>
    <t>5,00</t>
  </si>
  <si>
    <t>2024 m.: Informacijos apie stovyklas, įtraukiančias diasporos vaikus, sklaida pritraukė daugiau vaikų.</t>
  </si>
  <si>
    <t>01.09.01.01.01</t>
  </si>
  <si>
    <t>Veikla: Suorganizuoti stovyklą lietuvių diasporos vaikams ir jaunimui.</t>
  </si>
  <si>
    <t>01.09.01.02.</t>
  </si>
  <si>
    <t>Priemonė. Plėsti lituanistinį švietimą</t>
  </si>
  <si>
    <t>Diasporos vaikų, papildomai besimokančių lietuvių kalbos, skaičius</t>
  </si>
  <si>
    <t>2024 m.: Kudirkos Naumiesčio Vinco Kudirkos gimnazijoje</t>
  </si>
  <si>
    <t>01.09.01.02.01</t>
  </si>
  <si>
    <t>Veikla. Mokyti papildomai lietuvių kalbos diasporos vaikus</t>
  </si>
  <si>
    <t>04.</t>
  </si>
  <si>
    <t>Regioninės plėtros ir bendruomeninių iniciatyvų programa</t>
  </si>
  <si>
    <t>Ūkio ir investicijų skyrius</t>
  </si>
  <si>
    <t>04.01.</t>
  </si>
  <si>
    <t xml:space="preserve">Tikslas: Darnaus išteklių naudojimo skatinimas.  </t>
  </si>
  <si>
    <t>Martynas Remeikis</t>
  </si>
  <si>
    <t>Renovuotų daugiabučių namų dalis procentais</t>
  </si>
  <si>
    <t>9,76</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</si>
  <si>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</si>
  <si>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</si>
  <si>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</si>
  <si>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</si>
  <si>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</si>
  <si>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</si>
  <si>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Atliktų projekto ekspertizių skaičius</t>
  </si>
  <si>
    <t>Stebėjimo sistemų įrangos skaičius</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</si>
  <si>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</si>
  <si>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</si>
  <si>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</si>
  <si>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</si>
  <si>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</si>
  <si>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</si>
  <si>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</si>
  <si>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</si>
  <si>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0,34</t>
  </si>
  <si>
    <t>04.01.03.03.</t>
  </si>
  <si>
    <t>Priemonė. Įgyvendinti projektą ,,Saulės fotovoltinės jėgainės diegimas Šakių rajono savivaldybės administracijos pastate, esančiame Bažnyčios g. 4, Šakiuose“</t>
  </si>
  <si>
    <t>Aušra Slidziauskienė</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</si>
  <si>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</si>
  <si>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</si>
  <si>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</si>
  <si>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</si>
  <si>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</si>
  <si>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</si>
  <si>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</si>
  <si>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</si>
  <si>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</si>
  <si>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</si>
  <si>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</si>
  <si>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</si>
  <si>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</si>
  <si>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t>
  </si>
  <si>
    <t>Rasa Liubamirskaitė</t>
  </si>
  <si>
    <t>Atlikta rangos darbų, procentais</t>
  </si>
  <si>
    <t>29,00</t>
  </si>
  <si>
    <t>2024 m.: Panaudota lėšų proporcingai įvykdytiems rangos darbams.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</si>
  <si>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</si>
  <si>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</si>
  <si>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</si>
  <si>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</si>
  <si>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</si>
  <si>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</si>
  <si>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</si>
  <si>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</si>
  <si>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</si>
  <si>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</si>
  <si>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</si>
  <si>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</si>
  <si>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</si>
  <si>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</si>
  <si>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</si>
  <si>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</si>
  <si>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Suplanuotų teritorijų skaičius</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</si>
  <si>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</si>
  <si>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</si>
  <si>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</si>
  <si>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</si>
  <si>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</si>
  <si>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</si>
  <si>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</si>
  <si>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</si>
  <si>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</si>
  <si>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</si>
  <si>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</si>
  <si>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miestas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</si>
  <si>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</si>
  <si>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</si>
  <si>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</si>
  <si>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</si>
  <si>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</si>
  <si>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</si>
  <si>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</si>
  <si>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</si>
  <si>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</si>
  <si>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2024 m.: Parengti projektiniai pasiūlymai, techninis projektas dar rengiamas.</t>
  </si>
  <si>
    <t>04.02.02.01.</t>
  </si>
  <si>
    <t>Priemonė: „Šakių pramonės zonos įrengimas“ / infrastruktūros įrengimo darbai (R)</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</si>
  <si>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</si>
  <si>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</si>
  <si>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</si>
  <si>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</si>
  <si>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</si>
  <si>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</si>
  <si>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</si>
  <si>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</si>
  <si>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</si>
  <si>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Modernizuotų ir įrengtų vietinės reikšmės kelių ir gatvių  ilgis kilometrais</t>
  </si>
  <si>
    <t>km</t>
  </si>
  <si>
    <t>4,92</t>
  </si>
  <si>
    <t>04.03.01.01.</t>
  </si>
  <si>
    <t>Priemonė: Įgyvendinti projektą „Šakių miesto susisiekimo infrastruktūros modernizavimas“ (TID-511)</t>
  </si>
  <si>
    <t>2024 m.: Nupirkta projekto A laida, užbaigti darbai. Nepanaudotas ES lėšų likutis projekto sąskaitoje perkeliamas į 2025 m.</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</si>
  <si>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</si>
  <si>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</si>
  <si>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</si>
  <si>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</si>
  <si>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</si>
  <si>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</si>
  <si>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</si>
  <si>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</si>
  <si>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</si>
  <si>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</si>
  <si>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</si>
  <si>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</si>
  <si>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</si>
  <si>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</si>
  <si>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</si>
  <si>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</si>
  <si>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</si>
  <si>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</si>
  <si>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</si>
  <si>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</si>
  <si>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</si>
  <si>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</si>
  <si>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</si>
  <si>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</si>
  <si>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</si>
  <si>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</si>
  <si>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</si>
  <si>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</si>
  <si>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</si>
  <si>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</si>
  <si>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</si>
  <si>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</si>
  <si>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</si>
  <si>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</si>
  <si>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</si>
  <si>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</si>
  <si>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</si>
  <si>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</si>
  <si>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</si>
  <si>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</si>
  <si>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</si>
  <si>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</si>
  <si>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</si>
  <si>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04.04.01.10.</t>
  </si>
  <si>
    <t>Priemonė: Įgyvendinti projektą „Šakių rajono savivaldybės Gerdžiūnų ir Kriūkų kadastro vietovėse esančių melioracijos statinių rekonstravimas“</t>
  </si>
  <si>
    <t>Parengtų projekto paraiškų skaičius</t>
  </si>
  <si>
    <t>2024 m.: Projekto parengimas nukeltas į 2025 metus.</t>
  </si>
  <si>
    <t>Rekonstruojamų griovių ilgis</t>
  </si>
  <si>
    <t>18,03</t>
  </si>
  <si>
    <t>2024 m.: Dėl projektavimo darbų nukėlimo, nusikėlė ir rekonstravimo darbų pradžia į 2025.</t>
  </si>
  <si>
    <t>04.04.01.10.01.</t>
  </si>
  <si>
    <t>Veikla: Parengti projekto  „Šakių rajono savivaldybės Gerdžiūnų ir Kriūkų kadastro vietovėse esančių melioracijos statinių rekonstravimas“ paraišką</t>
  </si>
  <si>
    <t>04.04.01.10.02.</t>
  </si>
  <si>
    <t>Veikla: Parengti projekto „Šakių rajono savivaldybės Gerdžiūnų ir Kriūkų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</si>
  <si>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</si>
  <si>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</si>
  <si>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</si>
  <si>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</si>
  <si>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</si>
  <si>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</si>
  <si>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</si>
  <si>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</si>
  <si>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</si>
  <si>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</si>
  <si>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</si>
  <si>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</si>
  <si>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</si>
  <si>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2024 m.: Nepanaudotos projektinės lėšos perkeltos į 2025 m.</t>
  </si>
  <si>
    <t>04.05.01.02.05.</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</si>
  <si>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</si>
  <si>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</si>
  <si>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</si>
  <si>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</si>
  <si>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</si>
  <si>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</si>
  <si>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</si>
  <si>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</si>
  <si>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</si>
  <si>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</si>
  <si>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</si>
  <si>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</si>
  <si>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</si>
  <si>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</si>
  <si>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</si>
  <si>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</si>
  <si>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</si>
  <si>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</si>
  <si>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</si>
  <si>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</si>
  <si>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</si>
  <si>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</si>
  <si>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</si>
  <si>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</si>
  <si>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</si>
  <si>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</si>
  <si>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</si>
  <si>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</si>
  <si>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</si>
  <si>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Atnaujintų ir naujai įkurtų objektų skaičius</t>
  </si>
  <si>
    <t>2024 m.: Techninio projekto baigimo procedūros perkeltos į 2025 m.</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</si>
  <si>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</si>
  <si>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</si>
  <si>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</si>
  <si>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</si>
  <si>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</si>
  <si>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</si>
  <si>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</si>
  <si>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</si>
  <si>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</si>
  <si>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</si>
  <si>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</si>
  <si>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</si>
  <si>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</si>
  <si>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</si>
  <si>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</si>
  <si>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</si>
  <si>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</si>
  <si>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</si>
  <si>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</si>
  <si>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</si>
  <si>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</si>
  <si>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</si>
  <si>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</si>
  <si>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</si>
  <si>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</si>
  <si>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</si>
  <si>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</si>
  <si>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</si>
  <si>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</si>
  <si>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</si>
  <si>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</si>
  <si>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</si>
  <si>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</si>
  <si>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</si>
  <si>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</si>
  <si>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</si>
  <si>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</si>
  <si>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</si>
  <si>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</si>
  <si>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</si>
  <si>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</si>
  <si>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</si>
  <si>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</si>
  <si>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2024 m.: Techninio projekto rengimas perkeliamas į 2025 m.</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</si>
  <si>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</si>
  <si>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</si>
  <si>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</si>
  <si>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</si>
  <si>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</si>
  <si>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</si>
  <si>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</si>
  <si>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</si>
  <si>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</si>
  <si>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</si>
  <si>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</si>
  <si>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</si>
  <si>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</si>
  <si>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04.21.01.02.01.</t>
  </si>
  <si>
    <t>04.21.01.03.</t>
  </si>
  <si>
    <t>Priemonė. Įgyvendinti projektą  „Senatvė-likimo dovana“ (R)</t>
  </si>
  <si>
    <t>2024 m.: Buvo vykdomos viešųjų pirkimų procedūros.</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</si>
  <si>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</si>
  <si>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</si>
  <si>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</si>
  <si>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</si>
  <si>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</si>
  <si>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</si>
  <si>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</si>
  <si>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</si>
  <si>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</si>
  <si>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2024 m.: Buvo atsiimta projekto paraiška, veiklų tikslinimas ir vykdymas perkeltas į 2025 m.</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</si>
  <si>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</si>
  <si>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</si>
  <si>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</si>
  <si>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</si>
  <si>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</si>
  <si>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</si>
  <si>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</si>
  <si>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04.21.01.07.</t>
  </si>
  <si>
    <t>Įgyvendinti projektą „Socialinio būsto plėtra Šakių rajone ir senyvo amžiaus asmenų socialinės gerovės didinimas  steigiant dienos užimtumo centrą ,,Senjorų biuras“</t>
  </si>
  <si>
    <t>Parengtų projektinių pasiūlymų skaičius</t>
  </si>
  <si>
    <t>04.21.01.07.01.</t>
  </si>
  <si>
    <t>Veikla: Parengti projektinius pasiūlymus</t>
  </si>
  <si>
    <t>04.21.01.07.02.</t>
  </si>
  <si>
    <t>Veikla: Nupirkti rangos darbų sutartį</t>
  </si>
  <si>
    <t>04.21.02.</t>
  </si>
  <si>
    <t>Uždavinys. Didinti kokybiškų ir inovatyvių sveikatos priežiūros paslaugų prieinamumą ir sveikatos atsparumą grėsmėms</t>
  </si>
  <si>
    <t>Išvengiamas mirtingumas proc. (pagal jungtinį EBPO ir Eurostato sąrašą)</t>
  </si>
  <si>
    <t>73,20</t>
  </si>
  <si>
    <t>74,30</t>
  </si>
  <si>
    <t>04.21.02.01.</t>
  </si>
  <si>
    <t>Priemonė. Įgyvendinti projektą „Visuomenės sveikatos paslaugų kokybės gerinimas Šakių rajone (VSB)“ (R)</t>
  </si>
  <si>
    <t>Planuojamas gyventojų, kuriems šio projekto metu bus skirtos viešosios paslaigos, skaičius</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</si>
  <si>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</si>
  <si>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</si>
  <si>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</si>
  <si>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</si>
  <si>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</si>
  <si>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</si>
  <si>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</si>
  <si>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„Šakių rajono savivaldybės sveikatos centro sudėtyje teikiamų sveikatos priežiūros paslaugų infrastruktūros modernizavimas“ (SAM)</t>
  </si>
  <si>
    <t>Įsteigtų sveikatos centrų skaičius</t>
  </si>
  <si>
    <t>2024 m.: 2024 m. gruodžio mėnesį buvo pateiktas mokėjimo prašymas deklaruojant patirtas išlaidas (218 023,51 Eur). Lėšos buvo gautos 2025 m. sausio mėn.</t>
  </si>
  <si>
    <t>04.21.02.03.01.</t>
  </si>
  <si>
    <t>04.21.02.04.</t>
  </si>
  <si>
    <t>Priemonė. Įgyvendinti projektą „Ilgalaikės priežiūros paslaugų plėtra“ (R)</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</si>
  <si>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</si>
  <si>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</si>
  <si>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</si>
  <si>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</si>
  <si>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</si>
  <si>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</si>
  <si>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</si>
  <si>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</si>
  <si>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Švietimo pagalbą gaunančių mokinių dalis nuo visų, kuriems nustatytas pagalbos poreikis, procentais</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</si>
  <si>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</si>
  <si>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</si>
  <si>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</si>
  <si>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</si>
  <si>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</si>
  <si>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</si>
  <si>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</si>
  <si>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</si>
  <si>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</si>
  <si>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</si>
  <si>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</si>
  <si>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</si>
  <si>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</si>
  <si>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</si>
  <si>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</si>
  <si>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</si>
  <si>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</si>
  <si>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</si>
  <si>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</si>
  <si>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</si>
  <si>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</si>
  <si>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</si>
  <si>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</si>
  <si>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</si>
  <si>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Įveiklintų kultūros paveldo objektų dalis, procentais</t>
  </si>
  <si>
    <t>04.23.01.01.</t>
  </si>
  <si>
    <t>Priemonė. Įgyvendinti projektą „Viešosios turizmo infrastruktūros sukūrimas Šakių rajono savivaldybėje, pritaikant Sūduvos istorinius piliakalnius lankymui“ (R)</t>
  </si>
  <si>
    <t>2024 m.: Buvo vykdomos viešųjų pirkimų procedūros, tačiau nebuvo gauta pasiūlymų. Techninis projektas nupirktas 2025 m. pradžioje.</t>
  </si>
  <si>
    <t>04.23.01.01.01.</t>
  </si>
  <si>
    <t>04.23.01.02.</t>
  </si>
  <si>
    <t>Priemonė. Įgyvendinti projektą „Dviračių takas Šakiai – Gelgaudiškis“ (R)</t>
  </si>
  <si>
    <t>2024 m.: Buvo vykdomos pirkimų procedūros, pirkimas skelbtas 3 kartus, nebuvo gauta pasiūlymų.</t>
  </si>
  <si>
    <t>04.23.01.02.01.</t>
  </si>
  <si>
    <t>04.23.01.03.</t>
  </si>
  <si>
    <t>Priemonė. Įgyvendinti projektą „Šakių miesto istorinis žiedas“ (R)</t>
  </si>
  <si>
    <t>2024 m.: Rengiamas techninis projektas.</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</si>
  <si>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</si>
  <si>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</si>
  <si>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</si>
  <si>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</si>
  <si>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</si>
  <si>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</si>
  <si>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</si>
  <si>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</si>
  <si>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</si>
  <si>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Gyventojų, aprūpinamų centralizuotai teikiamomis nuotekų tvarkymo paslaugomis, dalis, palyginti su visais gyventojais, procentais</t>
  </si>
  <si>
    <t>95,00</t>
  </si>
  <si>
    <t>04.24.01.01.</t>
  </si>
  <si>
    <t>Priemonė. Įgyvendinti projektą „Šakių rajono vandentvarkos sistemos plėtra“ (R)</t>
  </si>
  <si>
    <t>2024 m.: Rengiamas techninis projektas, projekto rengimas perkeltas į 2025 m.</t>
  </si>
  <si>
    <t>04.24.01.01.01.</t>
  </si>
  <si>
    <t>04.24.01.01.02.</t>
  </si>
  <si>
    <t>04.24.02.</t>
  </si>
  <si>
    <t>Uždavinys. Stiprinti regionų ekonominį augimą, atsižvelgiant į jų potencialą</t>
  </si>
  <si>
    <t>Gyventojų užimtumo lygis (15–64 metų) procentais</t>
  </si>
  <si>
    <t>35,00</t>
  </si>
  <si>
    <t>04.24.02.01.</t>
  </si>
  <si>
    <t>Priemonė. Įgyvendinti projektą „Viešosios turizmo infrastruktūros sukūrimas Šakių rajono savivaldybėje, pritaikant Nemuno pakrantę lankymui“ (R)</t>
  </si>
  <si>
    <t>04.24.02.01.01.</t>
  </si>
  <si>
    <t>04.25.</t>
  </si>
  <si>
    <t>Tikslas. Pereiti prie mokslo žiniomis, pažangiosiomis technologijomis, inovacijomis grįsto darnaus ekonomikos vystymosi ir didinti šalies tarptautinį konkurencingumą</t>
  </si>
  <si>
    <t>Bendrųjų reikalų skyrius</t>
  </si>
  <si>
    <t>Rita Vaičiūnienė</t>
  </si>
  <si>
    <t>Lietuvos vieta pagal Pasaulinį inovacijų indeksą „Global Innovation Index“</t>
  </si>
  <si>
    <t>04.25.01.</t>
  </si>
  <si>
    <t>Uždavinys. Skatinti pažangiųjų technologijų ir inovacijų kūrimą, diegimą ir sklaidą</t>
  </si>
  <si>
    <t>Inovacinę veiklą vykdančių įmonių dalis nuo visų įmonių</t>
  </si>
  <si>
    <t>45,00</t>
  </si>
  <si>
    <t>04.25.01.01.</t>
  </si>
  <si>
    <t>Priemonė. Įgyvendinti projektą „Prašymų priėmimo ir pasirašymo skaitmeniniu būdu platformos įdiegimas“</t>
  </si>
  <si>
    <t>Pateiktų projektinių paraiškų skaičius</t>
  </si>
  <si>
    <t>04.25.01.01.01.</t>
  </si>
  <si>
    <t>Veikla: Parengti projektinę paraišką</t>
  </si>
  <si>
    <t>04.25.01.02.</t>
  </si>
  <si>
    <t>Įgyvendinti projektą „Šakių rajono unikalios skaitmeninės kapinių duomenų bazės sukūrimas bei duomenų administravimo procesų skaitmeninimas“</t>
  </si>
  <si>
    <t>Įgyvendintų paslaugų skaitmenizavimo ir teikiamų paslaugų brandos lygio kėlimo projektų skaičius</t>
  </si>
  <si>
    <t>04.25.01.02.01.</t>
  </si>
  <si>
    <t>Veikla: parengti paslaugų skaitmenizavimo ir teikiamų paslaugų brandos lygio kėlimo projektą</t>
  </si>
  <si>
    <t>06.</t>
  </si>
  <si>
    <t>Kultūros ir turizmo plėtros programa</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</si>
  <si>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</si>
  <si>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</si>
  <si>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</si>
  <si>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</si>
  <si>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</si>
  <si>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</si>
  <si>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</si>
  <si>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</si>
  <si>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</si>
  <si>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</si>
  <si>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</si>
  <si>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</si>
  <si>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</si>
  <si>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</si>
  <si>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</si>
  <si>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</si>
  <si>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14,00</t>
  </si>
  <si>
    <t>06.01.02.01.</t>
  </si>
  <si>
    <t>Priemonė: Įsigyti tautinių kostiumų ir liaudies instrumentų</t>
  </si>
  <si>
    <t>Įsigytų liaudies instrumentų skaičius</t>
  </si>
  <si>
    <t>2024 m.: Lėšos perkeltos įstaigoms.
Įgyvendinta tautinio kostiumo programa - pasiruošimo Šimtmečio dainų šventei dalis - atnaujintos detalės arba pasiūti nauji sceniniai kostiumai Šakių KC, Lukšių Vinco Grybo gimnazijos, Kudirkos Naumiesčio Vinco Kudirkos gimnazijos, Šakių meno mokyklos, Panemunių mokyklos – daugiafunkcio centro kolektyvams.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</si>
  <si>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</si>
  <si>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</si>
  <si>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</si>
  <si>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</si>
  <si>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</si>
  <si>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</si>
  <si>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</si>
  <si>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</si>
  <si>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</si>
  <si>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Įveiklintų kultūros paveldo objektų dalis proc.</t>
  </si>
  <si>
    <t>06.02.01.05.</t>
  </si>
  <si>
    <t>Priemonė. Zyplių dvaro sodybos svirno stogo ir fasado restauravimas</t>
  </si>
  <si>
    <t>Restauruotų pastatų skaičius</t>
  </si>
  <si>
    <t>2024 m.: 2024 m.: Planuotos valstybės finansavimo lėšos 2024 m negautos. Į KPD finansavimo į programą objektas įtrauktas nuo 2027 m.</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</si>
  <si>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</si>
  <si>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</si>
  <si>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</si>
  <si>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</si>
  <si>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</si>
  <si>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</si>
  <si>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</si>
  <si>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</si>
  <si>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2024 m.: Parengtas „Avarijos grėsmės pašalinimo, apsaugos techninių priemonių įrengimo ir neatidėliotinų saugojimų darbų aprašas“  – tvarkybos darbų projektas.</t>
  </si>
  <si>
    <t>06.02.01.07.04</t>
  </si>
  <si>
    <t>Veikla: Parengti Zyplių parko projektinę/techninę dokumentaciją</t>
  </si>
  <si>
    <t>06.02.01.08.</t>
  </si>
  <si>
    <t>Priemonė: Kultūros paveldo objektų priežiūros ir tvarkybos darbai</t>
  </si>
  <si>
    <t>Sutvarkytų kultūros paveldo objektų skaičius</t>
  </si>
  <si>
    <t>2024 m.: Kofinansuotas Sudargo piliakalnių KPD projekto tyrimų it tyrimų ataskaitos parengimas. Zyplių dvaro karvidžių ir II svirno projektiniai pasiūlymai.</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</si>
  <si>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</si>
  <si>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</si>
  <si>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</si>
  <si>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</si>
  <si>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</si>
  <si>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</si>
  <si>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</si>
  <si>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</si>
  <si>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</si>
  <si>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</si>
  <si>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</si>
  <si>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</si>
  <si>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</si>
  <si>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</si>
  <si>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</si>
  <si>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2024 m.: Šakių TVIC duomenys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</si>
  <si>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</si>
  <si>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</si>
  <si>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</si>
  <si>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</si>
  <si>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</si>
  <si>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</si>
  <si>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</si>
  <si>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</si>
  <si>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</si>
  <si>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</si>
  <si>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</si>
  <si>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</si>
  <si>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</si>
  <si>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</si>
  <si>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</si>
  <si>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</si>
  <si>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</si>
  <si>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</si>
  <si>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2024 m.: Pagal Lietuvos kultūros tarybos ekspertų vertinimą finansuoti 9 projektai.</t>
  </si>
  <si>
    <t>06.03.01.03.01</t>
  </si>
  <si>
    <t>Veikla: Koofinansuoti kultūros įstaigų projektus</t>
  </si>
  <si>
    <t>06.03.02.</t>
  </si>
  <si>
    <t>Uždavinys: Remti krašto autorių kūrybą ir kraštą reprezentuojančius leidinius</t>
  </si>
  <si>
    <t>Paremtų autorių skaičius</t>
  </si>
  <si>
    <t>2024 m.: Pagal gautus autorių prašymus dalinai paremta 7 leidinių leidyba.</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</si>
  <si>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</si>
  <si>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</si>
  <si>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</si>
  <si>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</si>
  <si>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</si>
  <si>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</si>
  <si>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</si>
  <si>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</si>
  <si>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</si>
  <si>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</si>
  <si>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</si>
  <si>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</si>
  <si>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</si>
  <si>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</si>
  <si>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</si>
  <si>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</si>
  <si>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93,00</t>
  </si>
  <si>
    <t>2024 m.: Nebuvo poreikio.</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</si>
  <si>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</si>
  <si>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</si>
  <si>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</si>
  <si>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</si>
  <si>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</si>
  <si>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</si>
  <si>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</si>
  <si>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</si>
  <si>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</si>
  <si>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</si>
  <si>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</si>
  <si>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</si>
  <si>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</si>
  <si>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</si>
  <si>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</si>
  <si>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</si>
  <si>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</si>
  <si>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</si>
  <si>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</si>
  <si>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</si>
  <si>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</si>
  <si>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</si>
  <si>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</si>
  <si>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</si>
  <si>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</si>
  <si>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</si>
  <si>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</si>
  <si>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</si>
  <si>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</si>
  <si>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</si>
  <si>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</si>
  <si>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</si>
  <si>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</si>
  <si>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</si>
  <si>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</si>
  <si>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</si>
  <si>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</si>
  <si>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</si>
  <si>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</si>
  <si>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</si>
  <si>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</si>
  <si>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</si>
  <si>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</si>
  <si>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</si>
  <si>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</si>
  <si>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</si>
  <si>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</si>
  <si>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</si>
  <si>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</si>
  <si>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</si>
  <si>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</si>
  <si>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</si>
  <si>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</si>
  <si>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</si>
  <si>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</si>
  <si>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</si>
  <si>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</si>
  <si>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</si>
  <si>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</si>
  <si>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</si>
  <si>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</si>
  <si>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</si>
  <si>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</si>
  <si>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</si>
  <si>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</si>
  <si>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</si>
  <si>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</si>
  <si>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</si>
  <si>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</si>
  <si>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</si>
  <si>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</si>
  <si>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</si>
  <si>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</si>
  <si>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</si>
  <si>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</si>
  <si>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</si>
  <si>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</si>
  <si>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</si>
  <si>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</si>
  <si>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</si>
  <si>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</si>
  <si>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</si>
  <si>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</si>
  <si>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</si>
  <si>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</si>
  <si>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</si>
  <si>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</si>
  <si>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</si>
  <si>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</si>
  <si>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</si>
  <si>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</si>
  <si>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</si>
  <si>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</si>
  <si>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</si>
  <si>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</si>
  <si>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</si>
  <si>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</si>
  <si>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</si>
  <si>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</si>
  <si>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</si>
  <si>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</si>
  <si>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</si>
  <si>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</si>
  <si>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</si>
  <si>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</si>
  <si>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</si>
  <si>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</si>
  <si>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</si>
  <si>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</si>
  <si>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</si>
  <si>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</si>
  <si>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</si>
  <si>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</si>
  <si>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</si>
  <si>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</si>
  <si>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</si>
  <si>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</si>
  <si>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</si>
  <si>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</si>
  <si>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</si>
  <si>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</si>
  <si>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</si>
  <si>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</si>
  <si>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</si>
  <si>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</si>
  <si>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</si>
  <si>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</si>
  <si>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</si>
  <si>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</si>
  <si>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</si>
  <si>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</si>
  <si>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53,00</t>
  </si>
  <si>
    <t>2024 m.: Padidėjus maršrutų skaičiui išaugo nuostolių dengimas.</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</si>
  <si>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</si>
  <si>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</si>
  <si>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</si>
  <si>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</si>
  <si>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</si>
  <si>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</si>
  <si>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</si>
  <si>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</si>
  <si>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163,00</t>
  </si>
  <si>
    <t>07.01.03.01.</t>
  </si>
  <si>
    <t>Priemonė: Organizuoti reprezentacijas ir dalyvauti švenčių ir renginių organizavime</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</si>
  <si>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</si>
  <si>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</si>
  <si>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</si>
  <si>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</si>
  <si>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</si>
  <si>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</si>
  <si>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</si>
  <si>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</si>
  <si>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</si>
  <si>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</si>
  <si>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</si>
  <si>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</si>
  <si>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</si>
  <si>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</si>
  <si>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</si>
  <si>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</si>
  <si>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</si>
  <si>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</si>
  <si>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</si>
  <si>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2024 m.: Nebuvo gauta prašymų.</t>
  </si>
  <si>
    <t>07.01.04.01.</t>
  </si>
  <si>
    <t>Priemonė: Ekstremalių situacijų padarinių likvidavimas</t>
  </si>
  <si>
    <t>2024 m.: Prašymų ekstremalių situacijų likvidavimui nebuvo gauta.</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</si>
  <si>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</si>
  <si>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</si>
  <si>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</si>
  <si>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</si>
  <si>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</si>
  <si>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</si>
  <si>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</si>
  <si>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</si>
  <si>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</si>
  <si>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</si>
  <si>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2024 m.: Gauta daugiau užsakymų atlikti turto vertinimą.</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</si>
  <si>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</si>
  <si>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</si>
  <si>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</si>
  <si>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</si>
  <si>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</si>
  <si>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</si>
  <si>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</si>
  <si>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2024 m.: Gauta mažiau užsakymų atlikti turto kadastrinius matavimus.</t>
  </si>
  <si>
    <t>07.01.05.02.01.</t>
  </si>
  <si>
    <t>Veikla: Pateikti užsakymus atlikti pastatų ir statinių kadastrinius matavimus</t>
  </si>
  <si>
    <t>07.01.05.03.</t>
  </si>
  <si>
    <t>Priemonė. Organizuoti savivaldybės turto teisinę registraciją</t>
  </si>
  <si>
    <t>57,00</t>
  </si>
  <si>
    <t>2024 m.: Gauta daugiau užsakymų atlikti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</si>
  <si>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</si>
  <si>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</si>
  <si>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</si>
  <si>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</si>
  <si>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</si>
  <si>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</si>
  <si>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43,00</t>
  </si>
  <si>
    <t>2024 m.: Lėšos planuotos pagal faktą, kadangi poreikis buvo mažesnis, nei gauta pajamų, lėšų likutis perkeliamas į kitus metus.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</si>
  <si>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</si>
  <si>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</si>
  <si>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</si>
  <si>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</si>
  <si>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</si>
  <si>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</si>
  <si>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</si>
  <si>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</si>
  <si>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</si>
  <si>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</si>
  <si>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</si>
  <si>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</si>
  <si>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</si>
  <si>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</si>
  <si>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</si>
  <si>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</si>
  <si>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</si>
  <si>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</si>
  <si>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</si>
  <si>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</si>
  <si>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</si>
  <si>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</si>
  <si>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</si>
  <si>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</si>
  <si>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</si>
  <si>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</si>
  <si>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</si>
  <si>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</si>
  <si>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</si>
  <si>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</si>
  <si>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6,00</t>
  </si>
  <si>
    <t>2024 m.: Rodiklis pasiektas ir viršytas dėl IS atnaujinimo procesų.</t>
  </si>
  <si>
    <t>07.01.07.05.01.</t>
  </si>
  <si>
    <t>Veikla: Įdiegti informacines sistemas</t>
  </si>
  <si>
    <t>07.01.07.05.02.</t>
  </si>
  <si>
    <t>Veikla: Tobulinti veikiančias, Bendrųjų reikalų skyriaus prižiūrimas informacines sistemas</t>
  </si>
  <si>
    <t>07.01.07.07</t>
  </si>
  <si>
    <t>Priemonė.Mažinant administracinę naštą, licencijas, leidimus ir pažymas išduoti per trumpesnį laiką, nelaukiant, kol sueis teisės aktuose nustatytas terminas</t>
  </si>
  <si>
    <t>Apskaitos skyrius; Socialinės paramos skyrius; Švietimo, kultūros ir sporto skyrius; Ūkio ir investicijų skyrius; Žemės ūkio ir kaimo reikalų skyrius; Bendrųjų reikalų skyrius; Teisės, personalo ir civilinės metrikacijos skyrius; Architektūros ir urbanistikos skyrius</t>
  </si>
  <si>
    <t>Greičiau, nei nustatyta teisės aktuose, išduotų DVS priemonėmis licencijų, leidimų ir pažymų dalis nuo viso išduotų minėtų dokumentų skaičiaus DVS, proc.</t>
  </si>
  <si>
    <t>70,00</t>
  </si>
  <si>
    <t>94,20</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</si>
  <si>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</si>
  <si>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</si>
  <si>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</si>
  <si>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</si>
  <si>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</si>
  <si>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</si>
  <si>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</si>
  <si>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</si>
  <si>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</si>
  <si>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</si>
  <si>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</si>
  <si>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</si>
  <si>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0,18</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</si>
  <si>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</si>
  <si>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</si>
  <si>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</si>
  <si>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</si>
  <si>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</si>
  <si>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</si>
  <si>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</si>
  <si>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</si>
  <si>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</si>
  <si>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</si>
  <si>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</si>
  <si>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</si>
  <si>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</si>
  <si>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</si>
  <si>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</si>
  <si>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</si>
  <si>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</si>
  <si>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</si>
  <si>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</si>
  <si>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</si>
  <si>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</si>
  <si>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</si>
  <si>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</si>
  <si>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</si>
  <si>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</si>
  <si>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</si>
  <si>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</si>
  <si>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</si>
  <si>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2024 m.: Nebuvo gauta paraiškų iš gyventojų.</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</si>
  <si>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</si>
  <si>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</si>
  <si>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</si>
  <si>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</si>
  <si>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</si>
  <si>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</si>
  <si>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</si>
  <si>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2024 m.: Gauta daugiau projektinių paraiškų.</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</si>
  <si>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</si>
  <si>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</si>
  <si>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</si>
  <si>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</si>
  <si>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</si>
  <si>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</si>
  <si>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269,36</t>
  </si>
  <si>
    <t>2024 m.: Iš viso iš gyventojų surinkta 269,36 t asbesto turinčių atliekų.</t>
  </si>
  <si>
    <t>12.01.01.04.01.</t>
  </si>
  <si>
    <t>Veikla: Pagal seniūnijų poreikį sutvarkyti asbesto turinčias atliekas</t>
  </si>
  <si>
    <t>12.01.01.05.</t>
  </si>
  <si>
    <t>Priemonė. Vandentvarkos objektų projektavimas, statyba ir remontas</t>
  </si>
  <si>
    <t>Sutvarkyta vandentvarkos objektų</t>
  </si>
  <si>
    <t>2024 m.: Priemonės vykdymas perkeltas į 2025 m.</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</si>
  <si>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</si>
  <si>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</si>
  <si>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</si>
  <si>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</si>
  <si>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</si>
  <si>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</si>
  <si>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</si>
  <si>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</si>
  <si>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</si>
  <si>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</si>
  <si>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22,00</t>
  </si>
  <si>
    <t>76,00</t>
  </si>
  <si>
    <t>2024 m.: Iš viso patvirtinta 76 gyventojų paraiškos, kurioms kompensuota INVĮ įsirengimo darbai.</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</si>
  <si>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</si>
  <si>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</si>
  <si>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</si>
  <si>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</si>
  <si>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</si>
  <si>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2024 m.: 14 seniūnijų pateikė poreikį dėl invazinių šliužų naikinimo, iš jų 4 seniūnijos pateikė poreikį dėl sosnovskio barščio naikinimo.</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</si>
  <si>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</si>
  <si>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</si>
  <si>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</si>
  <si>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</si>
  <si>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</si>
  <si>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2024 m.: Nelegalių sąvartynų 2024 m. nenustatyta. 
Surinkta 8,6 t bešeimininkių padangų.</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</si>
  <si>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</si>
  <si>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</si>
  <si>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</si>
  <si>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</si>
  <si>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</si>
  <si>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</si>
  <si>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</si>
  <si>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</si>
  <si>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</si>
  <si>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2024 m.: Suorganizuotų renginių nebuvo, užsakyta aplinkosauginiai leidiniai švietimo įstaigoms, bibliotekoms.</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</si>
  <si>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</si>
  <si>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</si>
  <si>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</si>
  <si>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</si>
  <si>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</si>
  <si>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</si>
  <si>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</si>
  <si>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</si>
  <si>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</si>
  <si>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</si>
  <si>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</si>
  <si>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</si>
  <si>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</si>
  <si>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</si>
  <si>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</si>
  <si>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</si>
  <si>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</si>
  <si>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</si>
  <si>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</si>
  <si>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</si>
  <si>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</si>
  <si>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</si>
  <si>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12.01.01.17.</t>
  </si>
  <si>
    <t>Priemonė. Kartografinės ir kitos medžiagos, reikalingos pagal Medžioklės įstatymo reikalavimus rengiamiems medžioklės plotų sudarymo ar jų ribų pakeitimo projektų parengimo priemonės.</t>
  </si>
  <si>
    <t>Rasita Staugaitienė</t>
  </si>
  <si>
    <t>Parengtų medžioklės plotų sudarymo ar jų ribų pakeitimo projektų skaičius</t>
  </si>
  <si>
    <t>12.01.02.</t>
  </si>
  <si>
    <t>Uždavinys. Kompleksiškai plėtoti ir puoselėti  rekreacines teritorijas, želdynus, tvenkinius bei kitas viešąsias erdves, pritaikant jas gyventojų bei verslo poreikiams</t>
  </si>
  <si>
    <t>2024 m.: Parengtas sporto paskirties (krepšinio aikštelė) ir kitos paskirties (vaikų žaidimų aikštelė) inžinerinių statinių Gimnazijos g., Šakiai, supaprastintas statybos projektas</t>
  </si>
  <si>
    <t>12.01.02.02.</t>
  </si>
  <si>
    <t>Priemonė: Bešeimininkių gyvūnų gaudymo, karantinavimo, globos ir eutanazijos paslaugos</t>
  </si>
  <si>
    <t>Bešeimininkių šunų ir kačių, kuriais pasirūpinta, skaičius</t>
  </si>
  <si>
    <t>2024 m.: Iš  viso sugauti  43 bešeimininkiai gyvūnai.</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</si>
  <si>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</si>
  <si>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</si>
  <si>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</si>
  <si>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</si>
  <si>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</si>
  <si>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</si>
  <si>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</si>
  <si>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</si>
  <si>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</si>
  <si>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</si>
  <si>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</si>
  <si>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</si>
  <si>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</si>
  <si>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</si>
  <si>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</si>
  <si>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</si>
  <si>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</si>
  <si>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</si>
  <si>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</si>
  <si>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</si>
  <si>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</si>
  <si>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</si>
  <si>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</si>
  <si>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</si>
  <si>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</si>
  <si>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</si>
  <si>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</si>
  <si>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</si>
  <si>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</si>
  <si>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</si>
  <si>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</si>
  <si>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</si>
  <si>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</si>
  <si>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</si>
  <si>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</si>
  <si>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</si>
  <si>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</si>
  <si>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</si>
  <si>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</si>
  <si>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</si>
  <si>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</si>
  <si>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</si>
  <si>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</si>
  <si>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</si>
  <si>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</si>
  <si>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</si>
  <si>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</si>
  <si>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</si>
  <si>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</si>
  <si>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</si>
  <si>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</si>
  <si>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</si>
  <si>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</si>
  <si>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</si>
  <si>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</si>
  <si>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14,40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</si>
  <si>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</si>
  <si>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</si>
  <si>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</si>
  <si>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</si>
  <si>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</si>
  <si>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</si>
  <si>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</si>
  <si>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</si>
  <si>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</si>
  <si>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</si>
  <si>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</si>
  <si>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</si>
  <si>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</si>
  <si>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</si>
  <si>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</si>
  <si>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</si>
  <si>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</si>
  <si>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</si>
  <si>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</si>
  <si>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</si>
  <si>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</si>
  <si>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</si>
  <si>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</si>
  <si>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</si>
  <si>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</si>
  <si>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</si>
  <si>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</si>
  <si>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</si>
  <si>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</si>
  <si>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</si>
  <si>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</si>
  <si>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</si>
  <si>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</si>
  <si>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</si>
  <si>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</si>
  <si>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</si>
  <si>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</si>
  <si>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</si>
  <si>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</si>
  <si>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</si>
  <si>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</si>
  <si>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</si>
  <si>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</si>
  <si>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</si>
  <si>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</si>
  <si>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</si>
  <si>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</si>
  <si>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</si>
  <si>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</si>
  <si>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</si>
  <si>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Renovuotų visuomeninių pastatų skaičius</t>
  </si>
  <si>
    <t>2024 m.: Pirkimai perkelti į 2025 m.</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</si>
  <si>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</si>
  <si>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</si>
  <si>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</si>
  <si>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</si>
  <si>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</si>
  <si>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</si>
  <si>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</si>
  <si>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Administruojamų namų skaičius</t>
  </si>
  <si>
    <t>105,00</t>
  </si>
  <si>
    <t>109,00</t>
  </si>
  <si>
    <t>Daugiabučių namų skaičius</t>
  </si>
  <si>
    <t>338,00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</si>
  <si>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</si>
  <si>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</si>
  <si>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</si>
  <si>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</si>
  <si>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</si>
  <si>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</si>
  <si>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</si>
  <si>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</si>
  <si>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</si>
  <si>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</si>
  <si>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77,00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</si>
  <si>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</si>
  <si>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</si>
  <si>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</si>
  <si>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</si>
  <si>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</si>
  <si>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</si>
  <si>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2024 m.: Darbų vykdymas perkeltas į 2025 m.</t>
  </si>
  <si>
    <t>12.02.01.01.01.</t>
  </si>
  <si>
    <t>Veikla: Įrengti naujus artezinius gręžinius su vandens gerinimo įranga</t>
  </si>
  <si>
    <t>12.02.01.02.</t>
  </si>
  <si>
    <t>Priemonė: Vandens gerinimo įrenginių statyba</t>
  </si>
  <si>
    <t>Pastatytų vandens  gerinimo įrenginių skaičius</t>
  </si>
  <si>
    <t>12.02.01.02.01.</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</si>
  <si>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</si>
  <si>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</si>
  <si>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</si>
  <si>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</si>
  <si>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</si>
  <si>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</si>
  <si>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</si>
  <si>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</si>
  <si>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 kilometrais</t>
  </si>
  <si>
    <t>2024 m.: Mokestis už lietaus nuotekas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</si>
  <si>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</si>
  <si>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</si>
  <si>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</si>
  <si>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</si>
  <si>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</si>
  <si>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</si>
  <si>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</si>
  <si>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</si>
  <si>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</si>
  <si>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</si>
  <si>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</si>
  <si>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10,80</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</si>
  <si>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</si>
  <si>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</si>
  <si>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</si>
  <si>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</si>
  <si>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</si>
  <si>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</si>
  <si>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</si>
  <si>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</si>
  <si>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12.03.01.01.</t>
  </si>
  <si>
    <t>Priemonė: Kelių, gatvių, automobilių stovėjimo aikštelių, pėsčiųjų takų ir kitų infrastruktūros elementų remonto ir statybos darbai</t>
  </si>
  <si>
    <t>Rekonstruotų, naujai įrengtų gatvių ir kelių ilgis</t>
  </si>
  <si>
    <t>3,30</t>
  </si>
  <si>
    <t>Atnaujintų automobilių stovėjimo aikštelių skaičius</t>
  </si>
  <si>
    <t>2024 m.: Vykdomi darbai perkelti į 2025 m.</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</si>
  <si>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</si>
  <si>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</si>
  <si>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</si>
  <si>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</si>
  <si>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</si>
  <si>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</si>
  <si>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</si>
  <si>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</si>
  <si>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</si>
  <si>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</si>
  <si>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</si>
  <si>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</si>
  <si>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</si>
  <si>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</si>
  <si>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</si>
  <si>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</si>
  <si>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</si>
  <si>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</si>
  <si>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</si>
  <si>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</si>
  <si>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</si>
  <si>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</si>
  <si>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</si>
  <si>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</si>
  <si>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</si>
  <si>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</si>
  <si>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</si>
  <si>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</si>
  <si>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</si>
  <si>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</si>
  <si>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</si>
  <si>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</si>
  <si>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</si>
  <si>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</si>
  <si>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</si>
  <si>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</si>
  <si>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</si>
  <si>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</si>
  <si>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</si>
  <si>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</si>
  <si>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</si>
  <si>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</si>
  <si>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</si>
  <si>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</si>
  <si>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</si>
  <si>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</si>
  <si>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</si>
  <si>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</si>
  <si>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</si>
  <si>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</si>
  <si>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</si>
  <si>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</si>
  <si>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</si>
  <si>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</si>
  <si>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</si>
  <si>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</si>
  <si>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</si>
  <si>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</si>
  <si>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</si>
  <si>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</si>
  <si>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</si>
  <si>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</si>
  <si>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</si>
  <si>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</si>
  <si>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</si>
  <si>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</si>
  <si>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</si>
  <si>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Modernizuotų ir įrengtų takų ilgis kilometrais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</si>
  <si>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</si>
  <si>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</si>
  <si>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</si>
  <si>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</si>
  <si>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</si>
  <si>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</si>
  <si>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</si>
  <si>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</si>
  <si>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</si>
  <si>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</si>
  <si>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</si>
  <si>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</si>
  <si>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</si>
  <si>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</si>
  <si>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</si>
  <si>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</si>
  <si>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</si>
  <si>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</si>
  <si>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</si>
  <si>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</si>
  <si>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</si>
  <si>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</si>
  <si>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</si>
  <si>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</si>
  <si>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</si>
  <si>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</si>
  <si>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</si>
  <si>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</si>
  <si>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</si>
  <si>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2024 m.: 66 vnt. kelio ženklų, 46 m horizontalios linijos.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</si>
  <si>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</si>
  <si>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</si>
  <si>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</si>
  <si>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</si>
  <si>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</si>
  <si>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</si>
  <si>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</si>
  <si>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</si>
  <si>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12.03.06.</t>
  </si>
  <si>
    <t>Uždavinys. Sukurti ir plėtoti elektromobilių pakrovimo stotelių tinklą</t>
  </si>
  <si>
    <t>12.05.</t>
  </si>
  <si>
    <t>12.05.01.</t>
  </si>
  <si>
    <t>Uždavinys. Atlikti melioracijos statinių remonto rekonstrukcijos ir priežiūros darbus</t>
  </si>
  <si>
    <t>Irena  Žemaitienė</t>
  </si>
  <si>
    <t>Pagerintos žemės plotas hektarais</t>
  </si>
  <si>
    <t>2 400,00</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</si>
  <si>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</si>
  <si>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</si>
  <si>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</si>
  <si>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</si>
  <si>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</si>
  <si>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</si>
  <si>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</si>
  <si>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</si>
  <si>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</si>
  <si>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</si>
  <si>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</si>
  <si>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</si>
  <si>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</si>
  <si>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</si>
  <si>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</si>
  <si>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</si>
  <si>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</si>
  <si>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</si>
  <si>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Suteiktų paslaugų  skaičius</t>
  </si>
  <si>
    <t>4 900,00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</si>
  <si>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</si>
  <si>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</si>
  <si>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</si>
  <si>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</si>
  <si>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</si>
  <si>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</si>
  <si>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</si>
  <si>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</si>
  <si>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</si>
  <si>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13.01.</t>
  </si>
  <si>
    <t>Tikslas: Socialinių paslaugų prieinamumo  ir pasirinkimo užtikrinimas.</t>
  </si>
  <si>
    <t>Daiva  Pilypaitytė</t>
  </si>
  <si>
    <t>Patenkintų prašymų dalis, procentais</t>
  </si>
  <si>
    <t>13.01.01.</t>
  </si>
  <si>
    <t>Uždavinys.Teikti socialinės globos paslaugas</t>
  </si>
  <si>
    <t>Asmenų, gavusių socialinės globos  paslaugas skaičius</t>
  </si>
  <si>
    <t>468,00</t>
  </si>
  <si>
    <t>498,00</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</si>
  <si>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</si>
  <si>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</si>
  <si>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</si>
  <si>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</si>
  <si>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</si>
  <si>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</si>
  <si>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</si>
  <si>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</si>
  <si>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</si>
  <si>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</si>
  <si>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</si>
  <si>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</si>
  <si>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</si>
  <si>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</si>
  <si>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</si>
  <si>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63,00</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</si>
  <si>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</si>
  <si>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</si>
  <si>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</si>
  <si>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</si>
  <si>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</si>
  <si>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</si>
  <si>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</si>
  <si>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</si>
  <si>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</si>
  <si>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</si>
  <si>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</si>
  <si>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</si>
  <si>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</si>
  <si>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</si>
  <si>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</si>
  <si>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</si>
  <si>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</si>
  <si>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</si>
  <si>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</si>
  <si>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</si>
  <si>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</si>
  <si>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117,00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</si>
  <si>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</si>
  <si>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</si>
  <si>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</si>
  <si>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</si>
  <si>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</si>
  <si>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128,00</t>
  </si>
  <si>
    <t>13.01.01.10.01.</t>
  </si>
  <si>
    <t>Veikla:  Socialinės globos paslaugų finansavimas  globos įstaigose valstybės biudžeto lėšomis</t>
  </si>
  <si>
    <t>13.01.02.</t>
  </si>
  <si>
    <t>Uždavinys.Teikti socialinės priežiūros paslaugas</t>
  </si>
  <si>
    <t>Asmenų, gavusių socialinės priežiūros  paslaugas skaičius</t>
  </si>
  <si>
    <t>1 067,00</t>
  </si>
  <si>
    <t>1 082,00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</si>
  <si>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</si>
  <si>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</si>
  <si>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</si>
  <si>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</si>
  <si>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</si>
  <si>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</si>
  <si>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</si>
  <si>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</si>
  <si>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</si>
  <si>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</si>
  <si>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</si>
  <si>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</si>
  <si>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</si>
  <si>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</si>
  <si>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</si>
  <si>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</si>
  <si>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311,00</t>
  </si>
  <si>
    <t>2024 m.: Suteikta paslaugų daugiau asmenų, kadangi vyko asmenų kaita.</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</si>
  <si>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</si>
  <si>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</si>
  <si>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</si>
  <si>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</si>
  <si>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</si>
  <si>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</si>
  <si>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</si>
  <si>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</si>
  <si>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</si>
  <si>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</si>
  <si>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</si>
  <si>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</si>
  <si>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</si>
  <si>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918,00</t>
  </si>
  <si>
    <t>2024 m.: Nebuvo poreikio, nurodytas unikalių gavėjų skaičius.</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</si>
  <si>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</si>
  <si>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</si>
  <si>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</si>
  <si>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</si>
  <si>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</si>
  <si>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</si>
  <si>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</si>
  <si>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</si>
  <si>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</si>
  <si>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</si>
  <si>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</si>
  <si>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</si>
  <si>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</si>
  <si>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</si>
  <si>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</si>
  <si>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</si>
  <si>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</si>
  <si>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</si>
  <si>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</si>
  <si>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</si>
  <si>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</si>
  <si>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</si>
  <si>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</si>
  <si>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94,00</t>
  </si>
  <si>
    <t>2024 m.: Dėl didesnio asmeninės pagalbos poreikio bei vykstant asmeninės pagalbos gavėjų kaitai.</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</si>
  <si>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</si>
  <si>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</si>
  <si>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</si>
  <si>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</si>
  <si>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</si>
  <si>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</si>
  <si>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</si>
  <si>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</si>
  <si>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</si>
  <si>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</si>
  <si>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</si>
  <si>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</si>
  <si>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</si>
  <si>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</si>
  <si>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</si>
  <si>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</si>
  <si>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</si>
  <si>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</si>
  <si>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</si>
  <si>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71,00</t>
  </si>
  <si>
    <t>68,00</t>
  </si>
  <si>
    <t>2024 m.: Buvo mažesnis poreikis</t>
  </si>
  <si>
    <t>13.01.04.02.</t>
  </si>
  <si>
    <t>Priemonė: Žmogaus palaikų patologinės anatomijos tyrimams ar teismo ekspertizei vežimo, saugojimo ir laidojimo paslaugos teikimas</t>
  </si>
  <si>
    <t>Jolita Žemaitienė</t>
  </si>
  <si>
    <t>Gavusių paslaugas asmenų skaičius</t>
  </si>
  <si>
    <t>46,00</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</si>
  <si>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</si>
  <si>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</si>
  <si>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</si>
  <si>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</si>
  <si>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</si>
  <si>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</si>
  <si>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</si>
  <si>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</si>
  <si>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</si>
  <si>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</si>
  <si>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</si>
  <si>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</si>
  <si>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</si>
  <si>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</si>
  <si>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</si>
  <si>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</si>
  <si>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</si>
  <si>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</si>
  <si>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13.02.02.03.04</t>
  </si>
  <si>
    <t>Veikla: Įveiklinti grupinio gyvenimo namus</t>
  </si>
  <si>
    <t>13.02.02.04.</t>
  </si>
  <si>
    <t>Priemonė. Užtikrinti asmenims, pradėjusiems gauti ilgalaikę socialinę globą iki 2007 m. sausio 1 d. iš apskričių viršininkų perduotose įstaigose, bendrųjų ir specialiųjų socialinių paslaugų finansavimą iš valstybės biudžeto lėšų</t>
  </si>
  <si>
    <t>Asmenų gavusių paslaugą skaičius</t>
  </si>
  <si>
    <t>13.02.02.04.01.</t>
  </si>
  <si>
    <t>Veikla: Teikti ilgalaikę socialinę globą kuri pradėta teikti iki 2007 m.</t>
  </si>
  <si>
    <t>13.02.04.</t>
  </si>
  <si>
    <t>Uždavinys. Socialinių paslaugų poreikio nustatymo ir teikimo metodikos tobulinimas ir kokybės gerinimo priemonių diegimas.</t>
  </si>
  <si>
    <t>Socialinių paslaugų įstaigų, įdiegusių kokybės gerinimo priemones, skaičius</t>
  </si>
  <si>
    <t>2024 m.: Nebuvo skirtas finansavimas.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</si>
  <si>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</si>
  <si>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</si>
  <si>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</si>
  <si>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</si>
  <si>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</si>
  <si>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</si>
  <si>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</si>
  <si>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</si>
  <si>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</si>
  <si>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</si>
  <si>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</si>
  <si>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</si>
  <si>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</si>
  <si>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</si>
  <si>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</si>
  <si>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</si>
  <si>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</si>
  <si>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Asta Vizgirdienė; Jolita Žemaitienė; Ugnė Mikštienė</t>
  </si>
  <si>
    <t>Rajono gyventojų, gavusių socialinę pašalpą, skaičius</t>
  </si>
  <si>
    <t>1 814,00</t>
  </si>
  <si>
    <t>1 510,00</t>
  </si>
  <si>
    <t>13.02.06.01.01</t>
  </si>
  <si>
    <t>Veikla: Mokėti socialines pašalpas rajono gyventojams.</t>
  </si>
  <si>
    <t>13.02.06.02.</t>
  </si>
  <si>
    <t>Priemonė: Mokėti vienkartines pašalpas rajono gyventojams (susidarius sunkiai mat. padėčiai, ligos atveju, nukentėjus nuo gaisro ir kt.)</t>
  </si>
  <si>
    <t>Asta Vizgirdienė</t>
  </si>
  <si>
    <t>Rajono gyventojų, gavusių vienkartines tikslines išmokas, skaičius</t>
  </si>
  <si>
    <t>263,00</t>
  </si>
  <si>
    <t>243,00</t>
  </si>
  <si>
    <t>2024 m.: Išmokėta mažiau išmokų, kadangi buvo mažesnis poreikis.</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</si>
  <si>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</si>
  <si>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</si>
  <si>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</si>
  <si>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</si>
  <si>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</si>
  <si>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</si>
  <si>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</si>
  <si>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</si>
  <si>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</si>
  <si>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</si>
  <si>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</si>
  <si>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2024 m.: Išmokėta mažiau išmokų, kadangi buvo mažesnis poreikis</t>
  </si>
  <si>
    <t>13.02.06.03.01.</t>
  </si>
  <si>
    <t>Veikla: Mokėti vienkartines pašalpas rajono gyventojams, kurie grįžo iš įkalinimo įstaigos</t>
  </si>
  <si>
    <t>13.02.06.04.</t>
  </si>
  <si>
    <t>Priemonė: Teikti transporto išlaidų 50 proc. kompensacijas.</t>
  </si>
  <si>
    <t>Kompensacijų skaičius (50 proc.)</t>
  </si>
  <si>
    <t>25 506,00</t>
  </si>
  <si>
    <t>27 596,00</t>
  </si>
  <si>
    <t>2024 m.: Suteikta daugiau kompensacijų, kadangi padidėjo poreikis.</t>
  </si>
  <si>
    <t>13.02.06.04.01</t>
  </si>
  <si>
    <t>Veikla: Teikti transporto išlaidų dalies kompensavimą 50 proc. neįgaliems asmenims</t>
  </si>
  <si>
    <t>13.02.06.04</t>
  </si>
  <si>
    <t>Priemonė: Teikti transporto išlaidų 80 proc. kompensacijas.</t>
  </si>
  <si>
    <t>Kompensacijų skaičius (80 proc.)</t>
  </si>
  <si>
    <t>10 097,00</t>
  </si>
  <si>
    <t>10 429,00</t>
  </si>
  <si>
    <t>13.02.06.04.01.</t>
  </si>
  <si>
    <t>Veikla: Teikti transporto išlaidų dalies kompensavimą 80 proc. neįgaliems asmenims</t>
  </si>
  <si>
    <t>13.02.06.05.</t>
  </si>
  <si>
    <t>Priemonė: Socialinės paramos programa mokiniams (Administracija).</t>
  </si>
  <si>
    <t>Rima Valaitienė</t>
  </si>
  <si>
    <t>Nemokamą maitinimą gavusių mokinių skaičius (Administracija)</t>
  </si>
  <si>
    <t>1 155,00</t>
  </si>
  <si>
    <t>1 098,00</t>
  </si>
  <si>
    <t>2024 m.: Nemokamą maitinimą gavo mažiau mokinių, kadangi buvo mažesnis poreikis.</t>
  </si>
  <si>
    <t>Nemokamų mokymo reikmenų gavusių mokinių skaičius (Administracija)</t>
  </si>
  <si>
    <t>770,00</t>
  </si>
  <si>
    <t>727,00</t>
  </si>
  <si>
    <t>2024 m.: Nemokamų mokymo reikmenų gavo mažiau mokinių, kadangi buvo mažesnis poreikis.</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</si>
  <si>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</si>
  <si>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</si>
  <si>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</si>
  <si>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</si>
  <si>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</si>
  <si>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</si>
  <si>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2024 m.: Nemokamų mokymo reikmenų gavo daugiau mokinių, kadangi buvo didesnis poreikis.</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</si>
  <si>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</si>
  <si>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</si>
  <si>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</si>
  <si>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</si>
  <si>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</si>
  <si>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</si>
  <si>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434,00</t>
  </si>
  <si>
    <t>2024 m.: Išmokėta daugiau išmokų, kadangi padidėjo poreikis.</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</si>
  <si>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</si>
  <si>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</si>
  <si>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</si>
  <si>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</si>
  <si>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</si>
  <si>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</si>
  <si>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1 013,00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</si>
  <si>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</si>
  <si>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</si>
  <si>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</si>
  <si>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</si>
  <si>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</si>
  <si>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</si>
  <si>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1 062,00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</si>
  <si>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</si>
  <si>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</si>
  <si>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</si>
  <si>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</si>
  <si>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</si>
  <si>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</si>
  <si>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396,00</t>
  </si>
  <si>
    <t>2024 m.: Išmokėta mažiau kompensacijų, kadangi sumažėjo poreikis</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</si>
  <si>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</si>
  <si>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</si>
  <si>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</si>
  <si>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</si>
  <si>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</si>
  <si>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</si>
  <si>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</si>
  <si>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248,00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</si>
  <si>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</si>
  <si>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</si>
  <si>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</si>
  <si>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</si>
  <si>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</si>
  <si>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</si>
  <si>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2 788,00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</si>
  <si>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</si>
  <si>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</si>
  <si>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</si>
  <si>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</si>
  <si>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</si>
  <si>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</si>
  <si>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</si>
  <si>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</si>
  <si>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</si>
  <si>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</si>
  <si>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4 553,00</t>
  </si>
  <si>
    <t>4 631,00</t>
  </si>
  <si>
    <t>2024 m.: Išmokėta daugiau išmokų, kadangi buvo didesnis poreikis.</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</si>
  <si>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</si>
  <si>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</si>
  <si>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</si>
  <si>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</si>
  <si>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</si>
  <si>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</si>
  <si>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</si>
  <si>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</si>
  <si>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</si>
  <si>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</si>
  <si>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</si>
  <si>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</si>
  <si>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</si>
  <si>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</si>
  <si>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</si>
  <si>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</si>
  <si>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</si>
  <si>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</si>
  <si>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</si>
  <si>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</si>
  <si>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</si>
  <si>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</si>
  <si>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42,00</t>
  </si>
  <si>
    <t>13.02.06.19.01.</t>
  </si>
  <si>
    <t>Veikla: Išmokėti rajono gyventojoms skirtas vienkartines išmokas nėščiai moteriai</t>
  </si>
  <si>
    <t>13.02.06.20.</t>
  </si>
  <si>
    <t>Priemonė: Mokėti globos (rūpybos) išmokas</t>
  </si>
  <si>
    <t>Rajono gyventojų, gavusių globos (rūpybos) išmokas, skaičius</t>
  </si>
  <si>
    <t>99,00</t>
  </si>
  <si>
    <t>111,00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</si>
  <si>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</si>
  <si>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</si>
  <si>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</si>
  <si>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</si>
  <si>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</si>
  <si>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</si>
  <si>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83,00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</si>
  <si>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</si>
  <si>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</si>
  <si>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</si>
  <si>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</si>
  <si>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</si>
  <si>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</si>
  <si>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</si>
  <si>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</si>
  <si>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</si>
  <si>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</si>
  <si>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</si>
  <si>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</si>
  <si>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</si>
  <si>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</si>
  <si>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Aistė Būdvytienė; Jolita Žemaitienė; Justė Grumulaitienė; Ugnė Mikštienė</t>
  </si>
  <si>
    <t>Rajono gyventojų, gavusių išmokas įvaikinus vaiką, skaičius</t>
  </si>
  <si>
    <t>2024 m.: Neišmokėta išmoka, kadangi nebuvo poreikio.</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</si>
  <si>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</si>
  <si>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</si>
  <si>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</si>
  <si>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</si>
  <si>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</si>
  <si>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</si>
  <si>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575,00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</si>
  <si>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</si>
  <si>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</si>
  <si>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</si>
  <si>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</si>
  <si>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</si>
  <si>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</si>
  <si>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917,00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</si>
  <si>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</si>
  <si>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</si>
  <si>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</si>
  <si>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</si>
  <si>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</si>
  <si>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</si>
  <si>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</si>
  <si>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13.02.06.27</t>
  </si>
  <si>
    <t>Priemonė: Skirti ir mokėti individualios pagalbos teikimo išlaidų kompensaciją</t>
  </si>
  <si>
    <t>Rajono gyventojų, gavusių individualios pagalbos teikimo išlaidų kompensaciją, skaičius</t>
  </si>
  <si>
    <t>379,00</t>
  </si>
  <si>
    <t>13.02.06.27.01</t>
  </si>
  <si>
    <t>Veikla: Išmokėti rajono gyventojams individualios pagalbos teikimo išlaidų kompensacijjas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</si>
  <si>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</si>
  <si>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</si>
  <si>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</si>
  <si>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</si>
  <si>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</si>
  <si>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</si>
  <si>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</si>
  <si>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2024 m.: Nebuvo poreikio. Lėšos panaudotos kitoms seniūnijos priemonėms.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</si>
  <si>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</si>
  <si>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</si>
  <si>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</si>
  <si>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</si>
  <si>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</si>
  <si>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</si>
  <si>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</si>
  <si>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</si>
  <si>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</si>
  <si>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</si>
  <si>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</si>
  <si>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</si>
  <si>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</si>
  <si>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2024 m.: Dėl išaugusio besikreipiančių asmenų skaičiaus, išmokėtos mažesnės sumos, tačiau didesniam asmenų skaičiui</t>
  </si>
  <si>
    <t>13.02.06.35.01.</t>
  </si>
  <si>
    <t>13.02.06.36.</t>
  </si>
  <si>
    <t>Priemonė: Užtikrinti finansinės pagalbos teikimą  Kudirkos Naumiesčio seniūnijos gyventojams (išmokos mokėjimams ir kt.)</t>
  </si>
  <si>
    <t>2024 m.: Gauta mažiau prašymų. Lėšos panaudotos kitoms seniūnijos priemonėms.</t>
  </si>
  <si>
    <t>13.02.06.36.01.</t>
  </si>
  <si>
    <t>13.02.06.37.</t>
  </si>
  <si>
    <t>Priemonė: Užtikrinti finansinės pagalbos teikimą Lekėčių seniūnijos gyventojams (išmokos mokėjimams ir kt.)</t>
  </si>
  <si>
    <t>2024 m.: Paskirtos mažesnės pašalpos pagal poreikį.</t>
  </si>
  <si>
    <t>13.02.06.37.01.</t>
  </si>
  <si>
    <t>13.02.06.38.</t>
  </si>
  <si>
    <t>Priemonė: Užtikrinti finansinės pagalbos teikimą Lukšių seniūnijos gyventojams (išmokos mokėjimams ir kt.)</t>
  </si>
  <si>
    <t>2024 m.: Gauta mažiau prašymų.</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</si>
  <si>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</si>
  <si>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</si>
  <si>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</si>
  <si>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</si>
  <si>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</si>
  <si>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</si>
  <si>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2024 m.: Nebuvo gauta prašymų pašalpų skyrimui. Lėšos panaudotos kitoms seniūnijos priemonėms.</t>
  </si>
  <si>
    <t>13.02.06.40.01.</t>
  </si>
  <si>
    <t>13.02.06.41.</t>
  </si>
  <si>
    <t>Priemonė: Užtikrinti finansinės pagalbos teikimą Slavikų seniūnijos gyventojams (išmokos mokėjimams ir kt.)</t>
  </si>
  <si>
    <t>2024 m.: Lėšos iškeltos į kitą programą.</t>
  </si>
  <si>
    <t>13.02.06.41.01.</t>
  </si>
  <si>
    <t>13.02.06.42.</t>
  </si>
  <si>
    <t>Priemonė:  Užtikrinti finansinės pagalbos teikimą Sudargo seniūnijos gyventojams (išmokos mokėjimams ir kt.)</t>
  </si>
  <si>
    <t>2024 m.: Nebuvo poreikio. Lėšos panaudotos  kitoms seniūnijos priemonėms.</t>
  </si>
  <si>
    <t>13.02.06.42.01.</t>
  </si>
  <si>
    <t>13.02.06.43.</t>
  </si>
  <si>
    <t>Priemonė: Užtikrinti finansinės pagalbos teikimą Šakių seniūnijos gyventojams (išmokos mokėjimams ir kt.)</t>
  </si>
  <si>
    <t>37,00</t>
  </si>
  <si>
    <t>2024 m.: Mažiau gyventojų kreipėsi finansinės pagalbos.</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</si>
  <si>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</si>
  <si>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</si>
  <si>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</si>
  <si>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</si>
  <si>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</si>
  <si>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</si>
  <si>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</si>
  <si>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</si>
  <si>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</si>
  <si>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</si>
  <si>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</si>
  <si>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</si>
  <si>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</si>
  <si>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</si>
  <si>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</si>
  <si>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2024 m.: Rinkoje nerandama nuomojamų būstų.</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</si>
  <si>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</si>
  <si>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</si>
  <si>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</si>
  <si>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</si>
  <si>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</si>
  <si>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</si>
  <si>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</si>
  <si>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</si>
  <si>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</si>
  <si>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</si>
  <si>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</si>
  <si>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</si>
  <si>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</si>
  <si>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</si>
  <si>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</si>
  <si>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</si>
  <si>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2024 m.: Nupirktos ir pakeistos lauko durys.</t>
  </si>
  <si>
    <t>13.02.09.05.01.</t>
  </si>
  <si>
    <t>13.02.09.06.</t>
  </si>
  <si>
    <t>Priemonė: Socialinio būsto remontas Kidulių seniūnijoje</t>
  </si>
  <si>
    <t>13.02.09.06.01.</t>
  </si>
  <si>
    <t>13.02.09.07.</t>
  </si>
  <si>
    <t>Priemonė: Socialinio būsto remontas Kriūkų seniūnijoje</t>
  </si>
  <si>
    <t>2024 m.: Remontus atliko seniūnijos darbuotojai, todėl buvo galimybė suremontuoti daugiau būstų.</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</si>
  <si>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</si>
  <si>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</si>
  <si>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</si>
  <si>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</si>
  <si>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</si>
  <si>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</si>
  <si>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</si>
  <si>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</si>
  <si>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</si>
  <si>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2024 m.: Remontuoti du savivaldybės būstai, pakeista grindų danga (linoleumas) dviejuose kambariuose bute Kalvės g. 9-4, Lepšių k., Lukšių sen. ir  bute A. Tatarės g. 33-2, Lukšių mstl. pakeistas vieno kambario langas.</t>
  </si>
  <si>
    <t>13.02.09.10.01.</t>
  </si>
  <si>
    <t>13.02.09.11.</t>
  </si>
  <si>
    <t>Priemonė: Socialinio būsto remontas Plokščių seniūnijoje</t>
  </si>
  <si>
    <t>13.02.09.11.01.</t>
  </si>
  <si>
    <t>13.02.09.12.</t>
  </si>
  <si>
    <t>Priemonė: Socialinio būsto remontas Sintautų seniūnijoje</t>
  </si>
  <si>
    <t>2024 m.: Padidėjęs poreikis sav. būsto remontui.</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</si>
  <si>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</si>
  <si>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</si>
  <si>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</si>
  <si>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</si>
  <si>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</si>
  <si>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</si>
  <si>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</si>
  <si>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</si>
  <si>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</si>
  <si>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</si>
  <si>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</si>
  <si>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</si>
  <si>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</si>
  <si>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Įgyvendinti prevencinių programų skaičius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</si>
  <si>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</si>
  <si>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</si>
  <si>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</si>
  <si>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</si>
  <si>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</si>
  <si>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</si>
  <si>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</si>
  <si>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</si>
  <si>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</si>
  <si>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</si>
  <si>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</si>
  <si>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</si>
  <si>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</si>
  <si>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2024 m.: Nesant poreikiui nebuvo skirtas finansavimas.</t>
  </si>
  <si>
    <t>13.03.04.06.01</t>
  </si>
  <si>
    <t>Veikla: Įsigyti aprangos kompektus policijos rėmėjams</t>
  </si>
  <si>
    <t>13.06.</t>
  </si>
  <si>
    <t>Tikslas: Gyventojų užimtumo didinimas.</t>
  </si>
  <si>
    <t>Užimtumo programoje įdarbintų asmenų skaičius</t>
  </si>
  <si>
    <t>2024 m.: Rodiklis viršytas, nes asmenys įdarbinti trumpesniam laikotarpiui nei planuota.</t>
  </si>
  <si>
    <t>13.06.01.</t>
  </si>
  <si>
    <t>Uždavinys. Organizuoti užimtumo didinimo programą</t>
  </si>
  <si>
    <t>Įdarbintų asmenų skaičius</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</si>
  <si>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</si>
  <si>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</si>
  <si>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</si>
  <si>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</si>
  <si>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</si>
  <si>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</si>
  <si>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</si>
  <si>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</si>
  <si>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</si>
  <si>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</si>
  <si>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</si>
  <si>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</si>
  <si>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</si>
  <si>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</si>
  <si>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</si>
  <si>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</si>
  <si>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</si>
  <si>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</si>
  <si>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</si>
  <si>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</si>
  <si>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</si>
  <si>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</si>
  <si>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</si>
  <si>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</si>
  <si>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</si>
  <si>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</si>
  <si>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</si>
  <si>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</si>
  <si>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</si>
  <si>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</si>
  <si>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</si>
  <si>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</si>
  <si>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</si>
  <si>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</si>
  <si>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</si>
  <si>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</si>
  <si>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</si>
  <si>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</si>
  <si>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</si>
  <si>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2024 m.: Rodiklis nepasiektas, nes asmenys įdarbinti ilgesniam terminui nei planuota.</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</si>
  <si>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</si>
  <si>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</si>
  <si>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</si>
  <si>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</si>
  <si>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</si>
  <si>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</si>
  <si>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</si>
  <si>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2024 m.: Statistikos departamento duomenimis.</t>
  </si>
  <si>
    <t>13.07.02.</t>
  </si>
  <si>
    <t>Socialines paslaugas gaunančių tikslinės grupės asmenų dalis nuo bendro su skurdo rizika ar socialine atskirtimi susiduriančių gyventojų skaičiaus, procentais</t>
  </si>
  <si>
    <t>16,40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</si>
  <si>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</si>
  <si>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</si>
  <si>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</si>
  <si>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</si>
  <si>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</si>
  <si>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</si>
  <si>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</si>
  <si>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</si>
  <si>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</si>
  <si>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</si>
  <si>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</si>
  <si>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</si>
  <si>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13.07.02.04.</t>
  </si>
  <si>
    <t>Priemonė. Laikino atokvėpio paslauga</t>
  </si>
  <si>
    <t>Asmenų, gavusių laikino atokvėpio paslaugą, skaičius</t>
  </si>
  <si>
    <t>2024 m.: Paslauga pradėta teikti nuo liepos mėn.</t>
  </si>
  <si>
    <t>13.07.02.04.01.</t>
  </si>
  <si>
    <t>Veikla: Teikti laikino atokvėpio paslaugas.</t>
  </si>
  <si>
    <t>13.07.02.05.</t>
  </si>
  <si>
    <t>Priemonė. Administruoti laikino atokvėpio paslaugą</t>
  </si>
  <si>
    <t>Laikino atokvėpio paslaugą administruojančių asmenų skaičius</t>
  </si>
  <si>
    <t>13.07.02.05.01.</t>
  </si>
  <si>
    <t>Veikla: Administruoti laikino atokvėpio paslaugas.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</si>
  <si>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</si>
  <si>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</si>
  <si>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</si>
  <si>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</si>
  <si>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</si>
  <si>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</si>
  <si>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</si>
  <si>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</si>
  <si>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</si>
  <si>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</si>
  <si>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</si>
  <si>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</si>
  <si>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386,00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</si>
  <si>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</si>
  <si>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</si>
  <si>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</si>
  <si>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</si>
  <si>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</si>
  <si>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</si>
  <si>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</si>
  <si>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</si>
  <si>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</si>
  <si>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</si>
  <si>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</si>
  <si>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</si>
  <si>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</si>
  <si>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</si>
  <si>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</si>
  <si>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</si>
  <si>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</si>
  <si>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</si>
  <si>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</si>
  <si>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</si>
  <si>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</si>
  <si>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</si>
  <si>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</si>
  <si>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</si>
  <si>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PATVIRTINTA
Šakių rajono savivaldybės
administracijos direktoriaus
2025 m. gegužės      d. įsakymu Nr. AT-</t>
  </si>
  <si>
    <t>Martynas Remeikis; Iveta Ignatjevaitė</t>
  </si>
  <si>
    <t>Daiva  Pilypaitytė; Aistė Būdvytienė</t>
  </si>
  <si>
    <t>Eglė Plančiūnienė; Asta  Kėvelaitytė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</si>
</sst>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8">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F2F5AD"/>
        <bgColor rgb="FFF2F5AD"/>
      </patternFill>
    </fill>
    <fill>
      <patternFill patternType="solid">
        <fgColor rgb="FFD7EC8A"/>
        <bgColor rgb="FFD7EC8A"/>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85">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7" borderId="5" xfId="0" applyFont="1" applyFill="1" applyBorder="1" applyAlignment="1" applyProtection="1">
      <alignment vertical="center" wrapText="1" readingOrder="1"/>
      <protection locked="0"/>
    </xf>
    <xf numFmtId="0" fontId="1" fillId="7" borderId="6" xfId="0" applyFont="1" applyFill="1" applyBorder="1" applyAlignment="1" applyProtection="1">
      <alignment vertical="center" wrapText="1" readingOrder="1"/>
      <protection locked="0"/>
    </xf>
    <xf numFmtId="0" fontId="1" fillId="7" borderId="6" xfId="0" applyFont="1" applyFill="1" applyBorder="1" applyAlignment="1" applyProtection="1">
      <alignment horizontal="left" vertical="center" wrapText="1" readingOrder="1"/>
      <protection locked="0"/>
    </xf>
    <xf numFmtId="164" fontId="1" fillId="7" borderId="6" xfId="0" applyNumberFormat="1" applyFont="1" applyFill="1" applyBorder="1" applyAlignment="1">
      <alignment horizontal="right" vertical="center" wrapText="1" readingOrder="1"/>
    </xf>
    <xf numFmtId="0" fontId="1" fillId="7" borderId="6" xfId="0" applyFont="1" applyFill="1" applyBorder="1" applyAlignment="1" applyProtection="1">
      <alignment horizontal="center" vertical="center" wrapText="1" readingOrder="1"/>
      <protection locked="0"/>
    </xf>
    <xf numFmtId="0" fontId="1" fillId="7" borderId="6" xfId="0" applyFont="1" applyFill="1" applyBorder="1" applyAlignment="1" applyProtection="1">
      <alignment horizontal="right" vertical="center" wrapText="1" readingOrder="1"/>
      <protection locked="0"/>
    </xf>
    <xf numFmtId="0" fontId="1" fillId="7" borderId="7" xfId="0" applyFont="1" applyFill="1" applyBorder="1" applyAlignment="1" applyProtection="1">
      <alignment horizontal="left" vertical="center" wrapText="1" readingOrder="1"/>
      <protection locked="0"/>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6" xfId="0" applyFont="1" applyFill="1" applyBorder="1" applyAlignment="1" applyProtection="1">
      <alignment horizontal="right" vertical="center" wrapText="1" readingOrder="1"/>
      <protection locked="0"/>
    </xf>
    <xf numFmtId="0" fontId="1" fillId="6" borderId="7" xfId="0" applyFont="1" applyFill="1" applyBorder="1" applyAlignment="1" applyProtection="1">
      <alignment horizontal="lef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6" xfId="0" applyFont="1" applyFill="1" applyBorder="1" applyAlignment="1" applyProtection="1">
      <alignment horizontal="right" vertical="center" wrapText="1" readingOrder="1"/>
      <protection locked="0"/>
    </xf>
    <xf numFmtId="0" fontId="1" fillId="5" borderId="7" xfId="0" applyFont="1" applyFill="1" applyBorder="1" applyAlignment="1" applyProtection="1">
      <alignment horizontal="left" vertical="center" wrapText="1" readingOrder="1"/>
      <protection locked="0"/>
    </xf>
    <xf numFmtId="0" fontId="2" fillId="4" borderId="5" xfId="0" applyFont="1" applyFill="1" applyBorder="1" applyAlignment="1" applyProtection="1">
      <alignment vertical="center" wrapText="1" readingOrder="1"/>
      <protection locked="0"/>
    </xf>
    <xf numFmtId="0" fontId="2" fillId="4" borderId="6" xfId="0" applyFont="1" applyFill="1" applyBorder="1" applyAlignment="1" applyProtection="1">
      <alignment vertical="center" wrapText="1" readingOrder="1"/>
      <protection locked="0"/>
    </xf>
    <xf numFmtId="0" fontId="2" fillId="4" borderId="6" xfId="0" applyFont="1" applyFill="1" applyBorder="1" applyAlignment="1" applyProtection="1">
      <alignment horizontal="left" vertical="center" wrapText="1" readingOrder="1"/>
      <protection locked="0"/>
    </xf>
    <xf numFmtId="164" fontId="2" fillId="4" borderId="6" xfId="0" applyNumberFormat="1" applyFont="1" applyFill="1" applyBorder="1" applyAlignment="1">
      <alignment horizontal="right" vertical="center" wrapText="1" readingOrder="1"/>
    </xf>
    <xf numFmtId="0" fontId="2" fillId="4" borderId="6" xfId="0" applyFont="1" applyFill="1" applyBorder="1" applyAlignment="1" applyProtection="1">
      <alignment horizontal="center" vertical="center" wrapText="1" readingOrder="1"/>
      <protection locked="0"/>
    </xf>
    <xf numFmtId="0" fontId="2" fillId="4" borderId="6" xfId="0" applyFont="1" applyFill="1" applyBorder="1" applyAlignment="1" applyProtection="1">
      <alignment horizontal="right" vertical="center" wrapText="1" readingOrder="1"/>
      <protection locked="0"/>
    </xf>
    <xf numFmtId="0" fontId="2" fillId="4" borderId="7" xfId="0" applyFont="1" applyFill="1" applyBorder="1" applyAlignment="1" applyProtection="1">
      <alignment horizontal="lef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6" xfId="0" applyFont="1" applyBorder="1" applyAlignment="1" applyProtection="1">
      <alignment horizontal="center" vertical="center" wrapText="1" readingOrder="1"/>
      <protection locked="0"/>
    </xf>
    <xf numFmtId="0" fontId="2" fillId="0" borderId="6" xfId="0" applyFont="1" applyBorder="1" applyAlignment="1" applyProtection="1">
      <alignment horizontal="right" vertical="center" wrapText="1" readingOrder="1"/>
      <protection locked="0"/>
    </xf>
    <xf numFmtId="0" fontId="2" fillId="0" borderId="7" xfId="0" applyFont="1" applyBorder="1" applyAlignment="1" applyProtection="1">
      <alignment horizontal="lef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1" xfId="0" applyFont="1" applyBorder="1" applyAlignment="1" applyProtection="1">
      <alignment horizontal="right" vertical="center" wrapText="1" readingOrder="1"/>
      <protection locked="0"/>
    </xf>
    <xf numFmtId="0" fontId="2" fillId="0" borderId="9" xfId="0" applyFont="1" applyBorder="1" applyAlignment="1" applyProtection="1">
      <alignment horizontal="left" vertical="center" wrapText="1" readingOrder="1"/>
      <protection locked="0"/>
    </xf>
    <xf numFmtId="164" fontId="2" fillId="4" borderId="6" xfId="0" applyNumberFormat="1" applyFont="1" applyFill="1" applyBorder="1" applyAlignment="1" applyProtection="1">
      <alignment horizontal="right" vertical="center" wrapText="1" readingOrder="1"/>
      <protection locked="0"/>
    </xf>
    <xf numFmtId="164" fontId="1" fillId="5" borderId="6" xfId="0" applyNumberFormat="1" applyFont="1" applyFill="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3" xfId="0" applyFont="1" applyBorder="1" applyAlignment="1" applyProtection="1">
      <alignment horizontal="right" vertical="center" wrapText="1" readingOrder="1"/>
      <protection locked="0"/>
    </xf>
    <xf numFmtId="0" fontId="2" fillId="0" borderId="4" xfId="0" applyFont="1" applyBorder="1" applyAlignment="1" applyProtection="1">
      <alignment horizontal="lef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xf numFmtId="0" fontId="1" fillId="2" borderId="0" xfId="0" applyFont="1" applyFill="1" applyAlignment="1">
      <alignment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 xfId="0" applyFont="1" applyBorder="1" applyAlignment="1">
      <alignment horizontal="center"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0" xfId="0" applyFont="1" applyAlignment="1">
      <alignment horizontal="center" vertical="center" wrapText="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797"/>
  <sheetViews>
    <sheetView tabSelected="1" zoomScale="50" zoomScaleNormal="50" workbookViewId="0">
      <selection activeCell="A2" sqref="A2"/>
    </sheetView>
  </sheetViews>
  <sheetFormatPr defaultRowHeight="23.25" x14ac:dyDescent="0.25"/>
  <cols>
    <col min="1" max="1" width="23.5703125" style="3" customWidth="1"/>
    <col min="2" max="2" width="59.85546875" style="3" customWidth="1"/>
    <col min="3" max="3" width="50.7109375" style="3" customWidth="1"/>
    <col min="4" max="4" width="38.42578125" style="3" customWidth="1"/>
    <col min="5" max="5" width="23.42578125" style="3" customWidth="1"/>
    <col min="6" max="14" width="25.5703125" style="3" customWidth="1"/>
    <col min="15" max="15" width="26.85546875" style="3" customWidth="1"/>
    <col min="16" max="16" width="19.42578125" style="3" customWidth="1"/>
    <col min="17" max="19" width="17.7109375" style="3" customWidth="1"/>
    <col min="20" max="20" width="22.28515625" style="3" customWidth="1"/>
    <col min="21" max="21" width="17.7109375" style="3" customWidth="1"/>
    <col min="22" max="22" width="21.7109375" style="3" customWidth="1"/>
    <col min="23" max="24" width="17.7109375" style="3" customWidth="1"/>
    <col min="25" max="25" width="50.7109375" style="3" customWidth="1"/>
    <col min="26" max="26" width="12.28515625" style="3" customWidth="1"/>
    <col min="27" max="27" width="15.7109375" style="3" customWidth="1"/>
    <col min="28" max="28" width="17.42578125" style="3" customWidth="1"/>
    <col min="29" max="29" width="50.7109375" style="3" customWidth="1"/>
    <col min="30" max="16384" width="9.140625" style="3"/>
  </cols>
  <sheetData>
    <row r="1" spans="1:29" s="1" customFormat="1" ht="22.5" x14ac:dyDescent="0.25">
      <c r="A1" s="70"/>
      <c r="B1" s="70"/>
      <c r="C1" s="70"/>
      <c r="D1" s="70"/>
      <c r="E1" s="70"/>
      <c r="F1" s="70"/>
      <c r="G1" s="70"/>
      <c r="H1" s="70"/>
      <c r="I1" s="70"/>
      <c r="J1" s="70"/>
      <c r="K1" s="70"/>
      <c r="L1" s="70"/>
      <c r="M1" s="70"/>
      <c r="N1" s="70"/>
      <c r="O1" s="70"/>
      <c r="P1" s="70"/>
      <c r="Q1" s="70"/>
      <c r="R1" s="70"/>
      <c r="S1" s="70"/>
      <c r="T1" s="70"/>
      <c r="U1" s="70"/>
      <c r="V1" s="70"/>
      <c r="W1" s="70"/>
      <c r="X1" s="70"/>
      <c r="Y1" s="70"/>
      <c r="Z1" s="78" t="s">
        <v>2129</v>
      </c>
      <c r="AA1" s="78"/>
      <c r="AB1" s="78"/>
      <c r="AC1" s="78"/>
    </row>
    <row r="2" spans="1:29" s="2" customFormat="1" x14ac:dyDescent="0.25">
      <c r="A2" s="62"/>
      <c r="B2" s="62"/>
      <c r="C2" s="62"/>
      <c r="D2" s="62"/>
      <c r="E2" s="62"/>
      <c r="F2" s="62"/>
      <c r="G2" s="62"/>
      <c r="H2" s="62"/>
      <c r="I2" s="62"/>
      <c r="J2" s="62"/>
      <c r="K2" s="62"/>
      <c r="L2" s="62"/>
      <c r="M2" s="62"/>
      <c r="N2" s="62"/>
      <c r="O2" s="62"/>
      <c r="P2" s="62"/>
      <c r="Q2" s="62"/>
      <c r="R2" s="62"/>
      <c r="S2" s="62"/>
      <c r="T2" s="62"/>
      <c r="U2" s="62"/>
      <c r="V2" s="62"/>
      <c r="W2" s="62"/>
      <c r="X2" s="62"/>
      <c r="Y2" s="62"/>
      <c r="Z2" s="78"/>
      <c r="AA2" s="78"/>
      <c r="AB2" s="78"/>
      <c r="AC2" s="78"/>
    </row>
    <row r="3" spans="1:29" x14ac:dyDescent="0.25">
      <c r="K3" s="80" t="s">
        <v>1</v>
      </c>
      <c r="L3" s="80"/>
      <c r="M3" s="80"/>
      <c r="N3" s="80"/>
      <c r="O3" s="80"/>
      <c r="P3" s="80"/>
      <c r="Q3" s="80"/>
      <c r="R3" s="80"/>
      <c r="S3" s="80"/>
      <c r="Z3" s="78"/>
      <c r="AA3" s="78"/>
      <c r="AB3" s="78"/>
      <c r="AC3" s="78"/>
    </row>
    <row r="4" spans="1:29" x14ac:dyDescent="0.25">
      <c r="Z4" s="78"/>
      <c r="AA4" s="78"/>
      <c r="AB4" s="78"/>
      <c r="AC4" s="78"/>
    </row>
    <row r="5" spans="1:29" ht="24" thickBot="1" x14ac:dyDescent="0.3">
      <c r="Z5" s="79"/>
      <c r="AA5" s="79"/>
      <c r="AB5" s="79"/>
      <c r="AC5" s="79"/>
    </row>
    <row r="6" spans="1:29" x14ac:dyDescent="0.25">
      <c r="A6" s="74" t="s">
        <v>0</v>
      </c>
      <c r="B6" s="73" t="s">
        <v>1</v>
      </c>
      <c r="C6" s="73" t="s">
        <v>2</v>
      </c>
      <c r="D6" s="73" t="s">
        <v>3</v>
      </c>
      <c r="E6" s="73" t="s">
        <v>4</v>
      </c>
      <c r="F6" s="73" t="s">
        <v>5</v>
      </c>
      <c r="G6" s="83"/>
      <c r="H6" s="83"/>
      <c r="I6" s="83"/>
      <c r="J6" s="83"/>
      <c r="K6" s="83"/>
      <c r="L6" s="83"/>
      <c r="M6" s="83"/>
      <c r="N6" s="83"/>
      <c r="O6" s="73" t="s">
        <v>6</v>
      </c>
      <c r="P6" s="73" t="s">
        <v>5</v>
      </c>
      <c r="Q6" s="83"/>
      <c r="R6" s="83"/>
      <c r="S6" s="83"/>
      <c r="T6" s="83"/>
      <c r="U6" s="83"/>
      <c r="V6" s="83"/>
      <c r="W6" s="83"/>
      <c r="X6" s="83"/>
      <c r="Y6" s="73" t="s">
        <v>7</v>
      </c>
      <c r="Z6" s="83"/>
      <c r="AA6" s="83"/>
      <c r="AB6" s="83"/>
      <c r="AC6" s="84"/>
    </row>
    <row r="7" spans="1:29" x14ac:dyDescent="0.25">
      <c r="A7" s="75"/>
      <c r="B7" s="71"/>
      <c r="C7" s="71"/>
      <c r="D7" s="71"/>
      <c r="E7" s="71"/>
      <c r="F7" s="71" t="s">
        <v>8</v>
      </c>
      <c r="G7" s="71" t="s">
        <v>9</v>
      </c>
      <c r="H7" s="71" t="s">
        <v>10</v>
      </c>
      <c r="I7" s="71" t="s">
        <v>11</v>
      </c>
      <c r="J7" s="71" t="s">
        <v>12</v>
      </c>
      <c r="K7" s="71" t="s">
        <v>13</v>
      </c>
      <c r="L7" s="71" t="s">
        <v>14</v>
      </c>
      <c r="M7" s="71" t="s">
        <v>15</v>
      </c>
      <c r="N7" s="71" t="s">
        <v>16</v>
      </c>
      <c r="O7" s="71"/>
      <c r="P7" s="71" t="s">
        <v>8</v>
      </c>
      <c r="Q7" s="71" t="s">
        <v>17</v>
      </c>
      <c r="R7" s="71" t="s">
        <v>18</v>
      </c>
      <c r="S7" s="71" t="s">
        <v>19</v>
      </c>
      <c r="T7" s="71" t="s">
        <v>12</v>
      </c>
      <c r="U7" s="71" t="s">
        <v>13</v>
      </c>
      <c r="V7" s="71" t="s">
        <v>14</v>
      </c>
      <c r="W7" s="71" t="s">
        <v>15</v>
      </c>
      <c r="X7" s="71" t="s">
        <v>16</v>
      </c>
      <c r="Y7" s="71" t="s">
        <v>20</v>
      </c>
      <c r="Z7" s="71" t="s">
        <v>21</v>
      </c>
      <c r="AA7" s="71" t="s">
        <v>22</v>
      </c>
      <c r="AB7" s="77"/>
      <c r="AC7" s="81" t="s">
        <v>23</v>
      </c>
    </row>
    <row r="8" spans="1:29" x14ac:dyDescent="0.25">
      <c r="A8" s="76"/>
      <c r="B8" s="72"/>
      <c r="C8" s="72"/>
      <c r="D8" s="72"/>
      <c r="E8" s="72"/>
      <c r="F8" s="72"/>
      <c r="G8" s="72"/>
      <c r="H8" s="72"/>
      <c r="I8" s="72"/>
      <c r="J8" s="72"/>
      <c r="K8" s="72"/>
      <c r="L8" s="72"/>
      <c r="M8" s="72"/>
      <c r="N8" s="72"/>
      <c r="O8" s="72"/>
      <c r="P8" s="72"/>
      <c r="Q8" s="72"/>
      <c r="R8" s="72"/>
      <c r="S8" s="72"/>
      <c r="T8" s="72"/>
      <c r="U8" s="72"/>
      <c r="V8" s="72"/>
      <c r="W8" s="72"/>
      <c r="X8" s="72"/>
      <c r="Y8" s="72"/>
      <c r="Z8" s="72"/>
      <c r="AA8" s="5" t="s">
        <v>24</v>
      </c>
      <c r="AB8" s="5" t="s">
        <v>25</v>
      </c>
      <c r="AC8" s="82"/>
    </row>
    <row r="9" spans="1:29" ht="45" x14ac:dyDescent="0.25">
      <c r="A9" s="6" t="s">
        <v>26</v>
      </c>
      <c r="B9" s="7" t="s">
        <v>27</v>
      </c>
      <c r="C9" s="8" t="s">
        <v>28</v>
      </c>
      <c r="D9" s="8" t="s">
        <v>29</v>
      </c>
      <c r="E9" s="9">
        <f t="shared" ref="E9:X9" si="0">E10+E45+E49+E53+E66+E72+E78+E82</f>
        <v>1279758.0299999998</v>
      </c>
      <c r="F9" s="9">
        <f t="shared" si="0"/>
        <v>748520.92999999993</v>
      </c>
      <c r="G9" s="9">
        <f t="shared" si="0"/>
        <v>0</v>
      </c>
      <c r="H9" s="9">
        <f t="shared" si="0"/>
        <v>0</v>
      </c>
      <c r="I9" s="9">
        <f t="shared" si="0"/>
        <v>464740.44</v>
      </c>
      <c r="J9" s="9">
        <f t="shared" si="0"/>
        <v>0</v>
      </c>
      <c r="K9" s="9">
        <f t="shared" si="0"/>
        <v>48.66</v>
      </c>
      <c r="L9" s="9">
        <f t="shared" si="0"/>
        <v>46660</v>
      </c>
      <c r="M9" s="9">
        <f t="shared" si="0"/>
        <v>0</v>
      </c>
      <c r="N9" s="9">
        <f t="shared" si="0"/>
        <v>0</v>
      </c>
      <c r="O9" s="9">
        <f t="shared" si="0"/>
        <v>1259862.28</v>
      </c>
      <c r="P9" s="9">
        <f t="shared" si="0"/>
        <v>673329.82</v>
      </c>
      <c r="Q9" s="9">
        <f t="shared" si="0"/>
        <v>0</v>
      </c>
      <c r="R9" s="9">
        <f t="shared" si="0"/>
        <v>0</v>
      </c>
      <c r="S9" s="9">
        <f t="shared" si="0"/>
        <v>0</v>
      </c>
      <c r="T9" s="9">
        <f t="shared" si="0"/>
        <v>0</v>
      </c>
      <c r="U9" s="9">
        <f t="shared" si="0"/>
        <v>0</v>
      </c>
      <c r="V9" s="9">
        <f t="shared" si="0"/>
        <v>443997.44</v>
      </c>
      <c r="W9" s="9">
        <f t="shared" si="0"/>
        <v>0</v>
      </c>
      <c r="X9" s="9">
        <f t="shared" si="0"/>
        <v>0</v>
      </c>
      <c r="Y9" s="8"/>
      <c r="Z9" s="10"/>
      <c r="AA9" s="11"/>
      <c r="AB9" s="11"/>
      <c r="AC9" s="12"/>
    </row>
    <row r="10" spans="1:29" ht="67.5" x14ac:dyDescent="0.25">
      <c r="A10" s="13" t="s">
        <v>30</v>
      </c>
      <c r="B10" s="14" t="s">
        <v>31</v>
      </c>
      <c r="C10" s="15" t="s">
        <v>28</v>
      </c>
      <c r="D10" s="15" t="s">
        <v>32</v>
      </c>
      <c r="E10" s="16">
        <f t="shared" ref="E10:X10" si="1">E11+E40</f>
        <v>1015746.34</v>
      </c>
      <c r="F10" s="16">
        <f t="shared" si="1"/>
        <v>531169.24</v>
      </c>
      <c r="G10" s="16">
        <f t="shared" si="1"/>
        <v>0</v>
      </c>
      <c r="H10" s="16">
        <f t="shared" si="1"/>
        <v>0</v>
      </c>
      <c r="I10" s="16">
        <f t="shared" si="1"/>
        <v>464740.44</v>
      </c>
      <c r="J10" s="16">
        <f t="shared" si="1"/>
        <v>0</v>
      </c>
      <c r="K10" s="16">
        <f t="shared" si="1"/>
        <v>48.66</v>
      </c>
      <c r="L10" s="16">
        <f t="shared" si="1"/>
        <v>0</v>
      </c>
      <c r="M10" s="16">
        <f t="shared" si="1"/>
        <v>0</v>
      </c>
      <c r="N10" s="16">
        <f t="shared" si="1"/>
        <v>0</v>
      </c>
      <c r="O10" s="16">
        <f t="shared" si="1"/>
        <v>1001608.09</v>
      </c>
      <c r="P10" s="16">
        <f t="shared" si="1"/>
        <v>457030.99</v>
      </c>
      <c r="Q10" s="16">
        <f t="shared" si="1"/>
        <v>0</v>
      </c>
      <c r="R10" s="16">
        <f t="shared" si="1"/>
        <v>0</v>
      </c>
      <c r="S10" s="16">
        <f t="shared" si="1"/>
        <v>0</v>
      </c>
      <c r="T10" s="16">
        <f t="shared" si="1"/>
        <v>0</v>
      </c>
      <c r="U10" s="16">
        <f t="shared" si="1"/>
        <v>0</v>
      </c>
      <c r="V10" s="16">
        <f t="shared" si="1"/>
        <v>443997.44</v>
      </c>
      <c r="W10" s="16">
        <f t="shared" si="1"/>
        <v>0</v>
      </c>
      <c r="X10" s="16">
        <f t="shared" si="1"/>
        <v>0</v>
      </c>
      <c r="Y10" s="15" t="s">
        <v>33</v>
      </c>
      <c r="Z10" s="17" t="s">
        <v>34</v>
      </c>
      <c r="AA10" s="18" t="s">
        <v>35</v>
      </c>
      <c r="AB10" s="18" t="s">
        <v>36</v>
      </c>
      <c r="AC10" s="19"/>
    </row>
    <row r="11" spans="1:29" ht="112.5" x14ac:dyDescent="0.25">
      <c r="A11" s="20" t="s">
        <v>37</v>
      </c>
      <c r="B11" s="21" t="s">
        <v>38</v>
      </c>
      <c r="C11" s="22" t="s">
        <v>28</v>
      </c>
      <c r="D11" s="22" t="s">
        <v>32</v>
      </c>
      <c r="E11" s="23">
        <f t="shared" ref="E11:X11" si="2">E12+E14+E16+E18+E22+E24+E26+E28+E30+E32+E34+E36+E38</f>
        <v>1009323.62</v>
      </c>
      <c r="F11" s="23">
        <f t="shared" si="2"/>
        <v>524746.52</v>
      </c>
      <c r="G11" s="23">
        <f t="shared" si="2"/>
        <v>0</v>
      </c>
      <c r="H11" s="23">
        <f t="shared" si="2"/>
        <v>0</v>
      </c>
      <c r="I11" s="23">
        <f t="shared" si="2"/>
        <v>464740.44</v>
      </c>
      <c r="J11" s="23">
        <f t="shared" si="2"/>
        <v>0</v>
      </c>
      <c r="K11" s="23">
        <f t="shared" si="2"/>
        <v>48.66</v>
      </c>
      <c r="L11" s="23">
        <f t="shared" si="2"/>
        <v>0</v>
      </c>
      <c r="M11" s="23">
        <f t="shared" si="2"/>
        <v>0</v>
      </c>
      <c r="N11" s="23">
        <f t="shared" si="2"/>
        <v>0</v>
      </c>
      <c r="O11" s="23">
        <f t="shared" si="2"/>
        <v>995185.37</v>
      </c>
      <c r="P11" s="23">
        <f t="shared" si="2"/>
        <v>450608.27</v>
      </c>
      <c r="Q11" s="23">
        <f t="shared" si="2"/>
        <v>0</v>
      </c>
      <c r="R11" s="23">
        <f t="shared" si="2"/>
        <v>0</v>
      </c>
      <c r="S11" s="23">
        <f t="shared" si="2"/>
        <v>0</v>
      </c>
      <c r="T11" s="23">
        <f t="shared" si="2"/>
        <v>0</v>
      </c>
      <c r="U11" s="23">
        <f t="shared" si="2"/>
        <v>0</v>
      </c>
      <c r="V11" s="23">
        <f t="shared" si="2"/>
        <v>443997.44</v>
      </c>
      <c r="W11" s="23">
        <f t="shared" si="2"/>
        <v>0</v>
      </c>
      <c r="X11" s="23">
        <f t="shared" si="2"/>
        <v>0</v>
      </c>
      <c r="Y11" s="22" t="s">
        <v>39</v>
      </c>
      <c r="Z11" s="24" t="s">
        <v>40</v>
      </c>
      <c r="AA11" s="25" t="s">
        <v>41</v>
      </c>
      <c r="AB11" s="25" t="s">
        <v>41</v>
      </c>
      <c r="AC11" s="26" t="s">
        <v>42</v>
      </c>
    </row>
    <row r="12" spans="1:29" ht="93" x14ac:dyDescent="0.25">
      <c r="A12" s="27" t="s">
        <v>43</v>
      </c>
      <c r="B12" s="28" t="s">
        <v>44</v>
      </c>
      <c r="C12" s="29" t="s">
        <v>28</v>
      </c>
      <c r="D12" s="29" t="s">
        <v>45</v>
      </c>
      <c r="E12" s="30">
        <f>SUM(E13:E13)+5000</f>
        <v>5000</v>
      </c>
      <c r="F12" s="30">
        <f>SUM(F13:F13)+5000</f>
        <v>5000</v>
      </c>
      <c r="G12" s="30">
        <f t="shared" ref="G12:N12" si="3">SUM(G13:G13)</f>
        <v>0</v>
      </c>
      <c r="H12" s="30">
        <f t="shared" si="3"/>
        <v>0</v>
      </c>
      <c r="I12" s="30">
        <f t="shared" si="3"/>
        <v>0</v>
      </c>
      <c r="J12" s="30">
        <f t="shared" si="3"/>
        <v>0</v>
      </c>
      <c r="K12" s="30">
        <f t="shared" si="3"/>
        <v>0</v>
      </c>
      <c r="L12" s="30">
        <f t="shared" si="3"/>
        <v>0</v>
      </c>
      <c r="M12" s="30">
        <f t="shared" si="3"/>
        <v>0</v>
      </c>
      <c r="N12" s="30">
        <f t="shared" si="3"/>
        <v>0</v>
      </c>
      <c r="O12" s="30">
        <f>SUM(O13:O13)+5000</f>
        <v>5000</v>
      </c>
      <c r="P12" s="30">
        <f>SUM(P13:P13)+5000</f>
        <v>5000</v>
      </c>
      <c r="Q12" s="30">
        <f t="shared" ref="Q12:X12" si="4">SUM(Q13:Q13)</f>
        <v>0</v>
      </c>
      <c r="R12" s="30">
        <f t="shared" si="4"/>
        <v>0</v>
      </c>
      <c r="S12" s="30">
        <f t="shared" si="4"/>
        <v>0</v>
      </c>
      <c r="T12" s="30">
        <f t="shared" si="4"/>
        <v>0</v>
      </c>
      <c r="U12" s="30">
        <f t="shared" si="4"/>
        <v>0</v>
      </c>
      <c r="V12" s="30">
        <f t="shared" si="4"/>
        <v>0</v>
      </c>
      <c r="W12" s="30">
        <f t="shared" si="4"/>
        <v>0</v>
      </c>
      <c r="X12" s="30">
        <f t="shared" si="4"/>
        <v>0</v>
      </c>
      <c r="Y12" s="29" t="s">
        <v>46</v>
      </c>
      <c r="Z12" s="31" t="s">
        <v>40</v>
      </c>
      <c r="AA12" s="32" t="s">
        <v>35</v>
      </c>
      <c r="AB12" s="32" t="s">
        <v>47</v>
      </c>
      <c r="AC12" s="33" t="s">
        <v>48</v>
      </c>
    </row>
    <row r="13" spans="1:29" ht="46.5" x14ac:dyDescent="0.25">
      <c r="A13" s="34" t="s">
        <v>49</v>
      </c>
      <c r="B13" s="35" t="s">
        <v>50</v>
      </c>
      <c r="C13" s="36"/>
      <c r="D13" s="36"/>
      <c r="E13" s="37">
        <v>0</v>
      </c>
      <c r="F13" s="37">
        <v>0</v>
      </c>
      <c r="G13" s="37">
        <v>0</v>
      </c>
      <c r="H13" s="37">
        <v>0</v>
      </c>
      <c r="I13" s="37">
        <v>0</v>
      </c>
      <c r="J13" s="37">
        <v>0</v>
      </c>
      <c r="K13" s="37">
        <v>0</v>
      </c>
      <c r="L13" s="37">
        <v>0</v>
      </c>
      <c r="M13" s="37">
        <v>0</v>
      </c>
      <c r="N13" s="37">
        <v>0</v>
      </c>
      <c r="O13" s="37">
        <v>0</v>
      </c>
      <c r="P13" s="37">
        <v>0</v>
      </c>
      <c r="Q13" s="37">
        <v>0</v>
      </c>
      <c r="R13" s="37">
        <v>0</v>
      </c>
      <c r="S13" s="37">
        <v>0</v>
      </c>
      <c r="T13" s="37">
        <v>0</v>
      </c>
      <c r="U13" s="37">
        <v>0</v>
      </c>
      <c r="V13" s="37">
        <v>0</v>
      </c>
      <c r="W13" s="37">
        <v>0</v>
      </c>
      <c r="X13" s="37">
        <v>0</v>
      </c>
      <c r="Y13" s="36"/>
      <c r="Z13" s="38"/>
      <c r="AA13" s="39"/>
      <c r="AB13" s="39"/>
      <c r="AC13" s="40"/>
    </row>
    <row r="14" spans="1:29" ht="69.75" x14ac:dyDescent="0.25">
      <c r="A14" s="27" t="s">
        <v>51</v>
      </c>
      <c r="B14" s="28" t="s">
        <v>52</v>
      </c>
      <c r="C14" s="29" t="s">
        <v>28</v>
      </c>
      <c r="D14" s="29" t="s">
        <v>32</v>
      </c>
      <c r="E14" s="30">
        <f>SUM(E15:E15)+484528.44</f>
        <v>484528.44</v>
      </c>
      <c r="F14" s="30">
        <f>SUM(F15:F15)</f>
        <v>0</v>
      </c>
      <c r="G14" s="30">
        <f>SUM(G15:G15)</f>
        <v>0</v>
      </c>
      <c r="H14" s="30">
        <f>SUM(H15:H15)</f>
        <v>0</v>
      </c>
      <c r="I14" s="30">
        <f>SUM(I15:I15)+464740.44</f>
        <v>464740.44</v>
      </c>
      <c r="J14" s="30">
        <f>SUM(J15:J15)</f>
        <v>0</v>
      </c>
      <c r="K14" s="30">
        <f>SUM(K15:K15)</f>
        <v>0</v>
      </c>
      <c r="L14" s="30">
        <f>SUM(L15:L15)</f>
        <v>0</v>
      </c>
      <c r="M14" s="30">
        <f>SUM(M15:M15)</f>
        <v>0</v>
      </c>
      <c r="N14" s="30">
        <f>SUM(N15:N15)</f>
        <v>0</v>
      </c>
      <c r="O14" s="30">
        <f>SUM(O15:O15)+484528.44</f>
        <v>484528.44</v>
      </c>
      <c r="P14" s="30">
        <f t="shared" ref="P14:U14" si="5">SUM(P15:P15)</f>
        <v>0</v>
      </c>
      <c r="Q14" s="30">
        <f t="shared" si="5"/>
        <v>0</v>
      </c>
      <c r="R14" s="30">
        <f t="shared" si="5"/>
        <v>0</v>
      </c>
      <c r="S14" s="30">
        <f t="shared" si="5"/>
        <v>0</v>
      </c>
      <c r="T14" s="30">
        <f t="shared" si="5"/>
        <v>0</v>
      </c>
      <c r="U14" s="30">
        <f t="shared" si="5"/>
        <v>0</v>
      </c>
      <c r="V14" s="30">
        <f>SUM(V15:V15)+443997.44</f>
        <v>443997.44</v>
      </c>
      <c r="W14" s="30">
        <f>SUM(W15:W15)</f>
        <v>0</v>
      </c>
      <c r="X14" s="30">
        <f>SUM(X15:X15)</f>
        <v>0</v>
      </c>
      <c r="Y14" s="29" t="s">
        <v>53</v>
      </c>
      <c r="Z14" s="31" t="s">
        <v>40</v>
      </c>
      <c r="AA14" s="32" t="s">
        <v>54</v>
      </c>
      <c r="AB14" s="32" t="s">
        <v>54</v>
      </c>
      <c r="AC14" s="33"/>
    </row>
    <row r="15" spans="1:29" ht="46.5" x14ac:dyDescent="0.25">
      <c r="A15" s="34" t="s">
        <v>55</v>
      </c>
      <c r="B15" s="35" t="s">
        <v>56</v>
      </c>
      <c r="C15" s="36" t="s">
        <v>28</v>
      </c>
      <c r="D15" s="36" t="s">
        <v>32</v>
      </c>
      <c r="E15" s="37">
        <v>0</v>
      </c>
      <c r="F15" s="37">
        <v>0</v>
      </c>
      <c r="G15" s="37">
        <v>0</v>
      </c>
      <c r="H15" s="37">
        <v>0</v>
      </c>
      <c r="I15" s="37">
        <v>0</v>
      </c>
      <c r="J15" s="37">
        <v>0</v>
      </c>
      <c r="K15" s="37">
        <v>0</v>
      </c>
      <c r="L15" s="37">
        <v>0</v>
      </c>
      <c r="M15" s="37">
        <v>0</v>
      </c>
      <c r="N15" s="37">
        <v>0</v>
      </c>
      <c r="O15" s="37">
        <v>0</v>
      </c>
      <c r="P15" s="37">
        <v>0</v>
      </c>
      <c r="Q15" s="37">
        <v>0</v>
      </c>
      <c r="R15" s="37">
        <v>0</v>
      </c>
      <c r="S15" s="37">
        <v>0</v>
      </c>
      <c r="T15" s="37">
        <v>0</v>
      </c>
      <c r="U15" s="37">
        <v>0</v>
      </c>
      <c r="V15" s="37">
        <v>0</v>
      </c>
      <c r="W15" s="37">
        <v>0</v>
      </c>
      <c r="X15" s="37">
        <v>0</v>
      </c>
      <c r="Y15" s="36"/>
      <c r="Z15" s="38"/>
      <c r="AA15" s="39"/>
      <c r="AB15" s="39"/>
      <c r="AC15" s="40"/>
    </row>
    <row r="16" spans="1:29" ht="46.5" x14ac:dyDescent="0.25">
      <c r="A16" s="27" t="s">
        <v>57</v>
      </c>
      <c r="B16" s="28" t="s">
        <v>58</v>
      </c>
      <c r="C16" s="29" t="s">
        <v>28</v>
      </c>
      <c r="D16" s="29" t="s">
        <v>45</v>
      </c>
      <c r="E16" s="30">
        <f>SUM(E17:E17)+367000</f>
        <v>367000</v>
      </c>
      <c r="F16" s="30">
        <f>SUM(F17:F17)+367000</f>
        <v>367000</v>
      </c>
      <c r="G16" s="30">
        <f t="shared" ref="G16:N16" si="6">SUM(G17:G17)</f>
        <v>0</v>
      </c>
      <c r="H16" s="30">
        <f t="shared" si="6"/>
        <v>0</v>
      </c>
      <c r="I16" s="30">
        <f t="shared" si="6"/>
        <v>0</v>
      </c>
      <c r="J16" s="30">
        <f t="shared" si="6"/>
        <v>0</v>
      </c>
      <c r="K16" s="30">
        <f t="shared" si="6"/>
        <v>0</v>
      </c>
      <c r="L16" s="30">
        <f t="shared" si="6"/>
        <v>0</v>
      </c>
      <c r="M16" s="30">
        <f t="shared" si="6"/>
        <v>0</v>
      </c>
      <c r="N16" s="30">
        <f t="shared" si="6"/>
        <v>0</v>
      </c>
      <c r="O16" s="30">
        <f>SUM(O17:O17)+360372.82</f>
        <v>360372.82</v>
      </c>
      <c r="P16" s="30">
        <f>SUM(P17:P17)+300372.82</f>
        <v>300372.82</v>
      </c>
      <c r="Q16" s="30">
        <f t="shared" ref="Q16:X16" si="7">SUM(Q17:Q17)</f>
        <v>0</v>
      </c>
      <c r="R16" s="30">
        <f t="shared" si="7"/>
        <v>0</v>
      </c>
      <c r="S16" s="30">
        <f t="shared" si="7"/>
        <v>0</v>
      </c>
      <c r="T16" s="30">
        <f t="shared" si="7"/>
        <v>0</v>
      </c>
      <c r="U16" s="30">
        <f t="shared" si="7"/>
        <v>0</v>
      </c>
      <c r="V16" s="30">
        <f t="shared" si="7"/>
        <v>0</v>
      </c>
      <c r="W16" s="30">
        <f t="shared" si="7"/>
        <v>0</v>
      </c>
      <c r="X16" s="30">
        <f t="shared" si="7"/>
        <v>0</v>
      </c>
      <c r="Y16" s="29" t="s">
        <v>59</v>
      </c>
      <c r="Z16" s="31" t="s">
        <v>40</v>
      </c>
      <c r="AA16" s="32" t="s">
        <v>60</v>
      </c>
      <c r="AB16" s="32" t="s">
        <v>61</v>
      </c>
      <c r="AC16" s="33"/>
    </row>
    <row r="17" spans="1:29" ht="46.5" x14ac:dyDescent="0.25">
      <c r="A17" s="34" t="s">
        <v>62</v>
      </c>
      <c r="B17" s="35" t="s">
        <v>63</v>
      </c>
      <c r="C17" s="36"/>
      <c r="D17" s="36"/>
      <c r="E17" s="37">
        <v>0</v>
      </c>
      <c r="F17" s="37">
        <v>0</v>
      </c>
      <c r="G17" s="37">
        <v>0</v>
      </c>
      <c r="H17" s="37">
        <v>0</v>
      </c>
      <c r="I17" s="37">
        <v>0</v>
      </c>
      <c r="J17" s="37">
        <v>0</v>
      </c>
      <c r="K17" s="37">
        <v>0</v>
      </c>
      <c r="L17" s="37">
        <v>0</v>
      </c>
      <c r="M17" s="37">
        <v>0</v>
      </c>
      <c r="N17" s="37">
        <v>0</v>
      </c>
      <c r="O17" s="37">
        <v>0</v>
      </c>
      <c r="P17" s="37">
        <v>0</v>
      </c>
      <c r="Q17" s="37">
        <v>0</v>
      </c>
      <c r="R17" s="37">
        <v>0</v>
      </c>
      <c r="S17" s="37">
        <v>0</v>
      </c>
      <c r="T17" s="37">
        <v>0</v>
      </c>
      <c r="U17" s="37">
        <v>0</v>
      </c>
      <c r="V17" s="37">
        <v>0</v>
      </c>
      <c r="W17" s="37">
        <v>0</v>
      </c>
      <c r="X17" s="37">
        <v>0</v>
      </c>
      <c r="Y17" s="36"/>
      <c r="Z17" s="38"/>
      <c r="AA17" s="39"/>
      <c r="AB17" s="39"/>
      <c r="AC17" s="40"/>
    </row>
    <row r="18" spans="1:29" ht="116.25" x14ac:dyDescent="0.25">
      <c r="A18" s="27" t="s">
        <v>64</v>
      </c>
      <c r="B18" s="28" t="s">
        <v>65</v>
      </c>
      <c r="C18" s="29" t="s">
        <v>28</v>
      </c>
      <c r="D18" s="29" t="s">
        <v>32</v>
      </c>
      <c r="E18" s="30">
        <f>SUM(E19:E21)+21300</f>
        <v>21300</v>
      </c>
      <c r="F18" s="30">
        <f>SUM(F19:F21)+21300</f>
        <v>21300</v>
      </c>
      <c r="G18" s="30">
        <f t="shared" ref="G18:N18" si="8">SUM(G19:G21)</f>
        <v>0</v>
      </c>
      <c r="H18" s="30">
        <f t="shared" si="8"/>
        <v>0</v>
      </c>
      <c r="I18" s="30">
        <f t="shared" si="8"/>
        <v>0</v>
      </c>
      <c r="J18" s="30">
        <f t="shared" si="8"/>
        <v>0</v>
      </c>
      <c r="K18" s="30">
        <f t="shared" si="8"/>
        <v>0</v>
      </c>
      <c r="L18" s="30">
        <f t="shared" si="8"/>
        <v>0</v>
      </c>
      <c r="M18" s="30">
        <f t="shared" si="8"/>
        <v>0</v>
      </c>
      <c r="N18" s="30">
        <f t="shared" si="8"/>
        <v>0</v>
      </c>
      <c r="O18" s="30">
        <f>SUM(O19:O21)+21229.76</f>
        <v>21229.759999999998</v>
      </c>
      <c r="P18" s="30">
        <f>SUM(P19:P21)+21229.76</f>
        <v>21229.759999999998</v>
      </c>
      <c r="Q18" s="30">
        <f t="shared" ref="Q18:X18" si="9">SUM(Q19:Q21)</f>
        <v>0</v>
      </c>
      <c r="R18" s="30">
        <f t="shared" si="9"/>
        <v>0</v>
      </c>
      <c r="S18" s="30">
        <f t="shared" si="9"/>
        <v>0</v>
      </c>
      <c r="T18" s="30">
        <f t="shared" si="9"/>
        <v>0</v>
      </c>
      <c r="U18" s="30">
        <f t="shared" si="9"/>
        <v>0</v>
      </c>
      <c r="V18" s="30">
        <f t="shared" si="9"/>
        <v>0</v>
      </c>
      <c r="W18" s="30">
        <f t="shared" si="9"/>
        <v>0</v>
      </c>
      <c r="X18" s="30">
        <f t="shared" si="9"/>
        <v>0</v>
      </c>
      <c r="Y18" s="29" t="s">
        <v>66</v>
      </c>
      <c r="Z18" s="31" t="s">
        <v>40</v>
      </c>
      <c r="AA18" s="32" t="s">
        <v>67</v>
      </c>
      <c r="AB18" s="32" t="s">
        <v>67</v>
      </c>
      <c r="AC18" s="33"/>
    </row>
    <row r="19" spans="1:29" ht="46.5" x14ac:dyDescent="0.25">
      <c r="A19" s="41"/>
      <c r="B19" s="42"/>
      <c r="C19" s="43"/>
      <c r="D19" s="43"/>
      <c r="E19" s="44">
        <v>0</v>
      </c>
      <c r="F19" s="44">
        <v>0</v>
      </c>
      <c r="G19" s="44">
        <v>0</v>
      </c>
      <c r="H19" s="44">
        <v>0</v>
      </c>
      <c r="I19" s="44">
        <v>0</v>
      </c>
      <c r="J19" s="44">
        <v>0</v>
      </c>
      <c r="K19" s="44">
        <v>0</v>
      </c>
      <c r="L19" s="44">
        <v>0</v>
      </c>
      <c r="M19" s="44">
        <v>0</v>
      </c>
      <c r="N19" s="44">
        <v>0</v>
      </c>
      <c r="O19" s="44">
        <v>0</v>
      </c>
      <c r="P19" s="44">
        <v>0</v>
      </c>
      <c r="Q19" s="44">
        <v>0</v>
      </c>
      <c r="R19" s="44">
        <v>0</v>
      </c>
      <c r="S19" s="44">
        <v>0</v>
      </c>
      <c r="T19" s="44">
        <v>0</v>
      </c>
      <c r="U19" s="44">
        <v>0</v>
      </c>
      <c r="V19" s="44">
        <v>0</v>
      </c>
      <c r="W19" s="44">
        <v>0</v>
      </c>
      <c r="X19" s="44">
        <v>0</v>
      </c>
      <c r="Y19" s="43" t="s">
        <v>68</v>
      </c>
      <c r="Z19" s="45" t="s">
        <v>40</v>
      </c>
      <c r="AA19" s="46" t="s">
        <v>69</v>
      </c>
      <c r="AB19" s="46" t="s">
        <v>70</v>
      </c>
      <c r="AC19" s="47" t="s">
        <v>71</v>
      </c>
    </row>
    <row r="20" spans="1:29" ht="69.75" x14ac:dyDescent="0.25">
      <c r="A20" s="41"/>
      <c r="B20" s="42"/>
      <c r="C20" s="43"/>
      <c r="D20" s="43"/>
      <c r="E20" s="44">
        <v>0</v>
      </c>
      <c r="F20" s="44">
        <v>0</v>
      </c>
      <c r="G20" s="44">
        <v>0</v>
      </c>
      <c r="H20" s="44">
        <v>0</v>
      </c>
      <c r="I20" s="44">
        <v>0</v>
      </c>
      <c r="J20" s="44">
        <v>0</v>
      </c>
      <c r="K20" s="44">
        <v>0</v>
      </c>
      <c r="L20" s="44">
        <v>0</v>
      </c>
      <c r="M20" s="44">
        <v>0</v>
      </c>
      <c r="N20" s="44">
        <v>0</v>
      </c>
      <c r="O20" s="44">
        <v>0</v>
      </c>
      <c r="P20" s="44">
        <v>0</v>
      </c>
      <c r="Q20" s="44">
        <v>0</v>
      </c>
      <c r="R20" s="44">
        <v>0</v>
      </c>
      <c r="S20" s="44">
        <v>0</v>
      </c>
      <c r="T20" s="44">
        <v>0</v>
      </c>
      <c r="U20" s="44">
        <v>0</v>
      </c>
      <c r="V20" s="44">
        <v>0</v>
      </c>
      <c r="W20" s="44">
        <v>0</v>
      </c>
      <c r="X20" s="44">
        <v>0</v>
      </c>
      <c r="Y20" s="43" t="s">
        <v>72</v>
      </c>
      <c r="Z20" s="45" t="s">
        <v>40</v>
      </c>
      <c r="AA20" s="46" t="s">
        <v>73</v>
      </c>
      <c r="AB20" s="46" t="s">
        <v>41</v>
      </c>
      <c r="AC20" s="47" t="s">
        <v>74</v>
      </c>
    </row>
    <row r="21" spans="1:29" ht="116.25" x14ac:dyDescent="0.25">
      <c r="A21" s="34" t="s">
        <v>75</v>
      </c>
      <c r="B21" s="35" t="s">
        <v>76</v>
      </c>
      <c r="C21" s="36"/>
      <c r="D21" s="36"/>
      <c r="E21" s="37">
        <v>0</v>
      </c>
      <c r="F21" s="37">
        <v>0</v>
      </c>
      <c r="G21" s="37">
        <v>0</v>
      </c>
      <c r="H21" s="37">
        <v>0</v>
      </c>
      <c r="I21" s="37">
        <v>0</v>
      </c>
      <c r="J21" s="37">
        <v>0</v>
      </c>
      <c r="K21" s="37">
        <v>0</v>
      </c>
      <c r="L21" s="37">
        <v>0</v>
      </c>
      <c r="M21" s="37">
        <v>0</v>
      </c>
      <c r="N21" s="37">
        <v>0</v>
      </c>
      <c r="O21" s="37">
        <v>0</v>
      </c>
      <c r="P21" s="37">
        <v>0</v>
      </c>
      <c r="Q21" s="37">
        <v>0</v>
      </c>
      <c r="R21" s="37">
        <v>0</v>
      </c>
      <c r="S21" s="37">
        <v>0</v>
      </c>
      <c r="T21" s="37">
        <v>0</v>
      </c>
      <c r="U21" s="37">
        <v>0</v>
      </c>
      <c r="V21" s="37">
        <v>0</v>
      </c>
      <c r="W21" s="37">
        <v>0</v>
      </c>
      <c r="X21" s="37">
        <v>0</v>
      </c>
      <c r="Y21" s="36"/>
      <c r="Z21" s="38"/>
      <c r="AA21" s="39"/>
      <c r="AB21" s="39"/>
      <c r="AC21" s="40"/>
    </row>
    <row r="22" spans="1:29" ht="46.5" x14ac:dyDescent="0.25">
      <c r="A22" s="27" t="s">
        <v>77</v>
      </c>
      <c r="B22" s="28" t="s">
        <v>78</v>
      </c>
      <c r="C22" s="29" t="s">
        <v>28</v>
      </c>
      <c r="D22" s="29" t="s">
        <v>79</v>
      </c>
      <c r="E22" s="30">
        <f>SUM(E23:E23)+34000</f>
        <v>34000</v>
      </c>
      <c r="F22" s="30">
        <f>SUM(F23:F23)+34000</f>
        <v>34000</v>
      </c>
      <c r="G22" s="30">
        <f t="shared" ref="G22:N22" si="10">SUM(G23:G23)</f>
        <v>0</v>
      </c>
      <c r="H22" s="30">
        <f t="shared" si="10"/>
        <v>0</v>
      </c>
      <c r="I22" s="30">
        <f t="shared" si="10"/>
        <v>0</v>
      </c>
      <c r="J22" s="30">
        <f t="shared" si="10"/>
        <v>0</v>
      </c>
      <c r="K22" s="30">
        <f t="shared" si="10"/>
        <v>0</v>
      </c>
      <c r="L22" s="30">
        <f t="shared" si="10"/>
        <v>0</v>
      </c>
      <c r="M22" s="30">
        <f t="shared" si="10"/>
        <v>0</v>
      </c>
      <c r="N22" s="30">
        <f t="shared" si="10"/>
        <v>0</v>
      </c>
      <c r="O22" s="30">
        <f>SUM(O23:O23)+34000</f>
        <v>34000</v>
      </c>
      <c r="P22" s="30">
        <f>SUM(P23:P23)+34000</f>
        <v>34000</v>
      </c>
      <c r="Q22" s="30">
        <f t="shared" ref="Q22:X22" si="11">SUM(Q23:Q23)</f>
        <v>0</v>
      </c>
      <c r="R22" s="30">
        <f t="shared" si="11"/>
        <v>0</v>
      </c>
      <c r="S22" s="30">
        <f t="shared" si="11"/>
        <v>0</v>
      </c>
      <c r="T22" s="30">
        <f t="shared" si="11"/>
        <v>0</v>
      </c>
      <c r="U22" s="30">
        <f t="shared" si="11"/>
        <v>0</v>
      </c>
      <c r="V22" s="30">
        <f t="shared" si="11"/>
        <v>0</v>
      </c>
      <c r="W22" s="30">
        <f t="shared" si="11"/>
        <v>0</v>
      </c>
      <c r="X22" s="30">
        <f t="shared" si="11"/>
        <v>0</v>
      </c>
      <c r="Y22" s="29" t="s">
        <v>80</v>
      </c>
      <c r="Z22" s="31" t="s">
        <v>40</v>
      </c>
      <c r="AA22" s="32" t="s">
        <v>81</v>
      </c>
      <c r="AB22" s="32" t="s">
        <v>82</v>
      </c>
      <c r="AC22" s="33"/>
    </row>
    <row r="23" spans="1:29" ht="46.5" x14ac:dyDescent="0.25">
      <c r="A23" s="34" t="s">
        <v>83</v>
      </c>
      <c r="B23" s="35" t="s">
        <v>84</v>
      </c>
      <c r="C23" s="36"/>
      <c r="D23" s="36"/>
      <c r="E23" s="37">
        <v>0</v>
      </c>
      <c r="F23" s="37">
        <v>0</v>
      </c>
      <c r="G23" s="37">
        <v>0</v>
      </c>
      <c r="H23" s="37">
        <v>0</v>
      </c>
      <c r="I23" s="37">
        <v>0</v>
      </c>
      <c r="J23" s="37">
        <v>0</v>
      </c>
      <c r="K23" s="37">
        <v>0</v>
      </c>
      <c r="L23" s="37">
        <v>0</v>
      </c>
      <c r="M23" s="37">
        <v>0</v>
      </c>
      <c r="N23" s="37">
        <v>0</v>
      </c>
      <c r="O23" s="37">
        <v>0</v>
      </c>
      <c r="P23" s="37">
        <v>0</v>
      </c>
      <c r="Q23" s="37">
        <v>0</v>
      </c>
      <c r="R23" s="37">
        <v>0</v>
      </c>
      <c r="S23" s="37">
        <v>0</v>
      </c>
      <c r="T23" s="37">
        <v>0</v>
      </c>
      <c r="U23" s="37">
        <v>0</v>
      </c>
      <c r="V23" s="37">
        <v>0</v>
      </c>
      <c r="W23" s="37">
        <v>0</v>
      </c>
      <c r="X23" s="37">
        <v>0</v>
      </c>
      <c r="Y23" s="36"/>
      <c r="Z23" s="38"/>
      <c r="AA23" s="39"/>
      <c r="AB23" s="39"/>
      <c r="AC23" s="40"/>
    </row>
    <row r="24" spans="1:29" ht="46.5" x14ac:dyDescent="0.25">
      <c r="A24" s="27" t="s">
        <v>85</v>
      </c>
      <c r="B24" s="28" t="s">
        <v>86</v>
      </c>
      <c r="C24" s="29" t="s">
        <v>28</v>
      </c>
      <c r="D24" s="29" t="s">
        <v>45</v>
      </c>
      <c r="E24" s="30">
        <f>SUM(E25:E25)+48.66</f>
        <v>48.66</v>
      </c>
      <c r="F24" s="30">
        <f>SUM(F25:F25)</f>
        <v>0</v>
      </c>
      <c r="G24" s="30">
        <f>SUM(G25:G25)</f>
        <v>0</v>
      </c>
      <c r="H24" s="30">
        <f>SUM(H25:H25)</f>
        <v>0</v>
      </c>
      <c r="I24" s="30">
        <f>SUM(I25:I25)</f>
        <v>0</v>
      </c>
      <c r="J24" s="30">
        <f>SUM(J25:J25)</f>
        <v>0</v>
      </c>
      <c r="K24" s="30">
        <f>SUM(K25:K25)+48.66</f>
        <v>48.66</v>
      </c>
      <c r="L24" s="30">
        <f>SUM(L25:L25)</f>
        <v>0</v>
      </c>
      <c r="M24" s="30">
        <f>SUM(M25:M25)</f>
        <v>0</v>
      </c>
      <c r="N24" s="30">
        <f>SUM(N25:N25)</f>
        <v>0</v>
      </c>
      <c r="O24" s="30">
        <f>SUM(O25:O25)+48.66</f>
        <v>48.66</v>
      </c>
      <c r="P24" s="30">
        <f t="shared" ref="P24:X24" si="12">SUM(P25:P25)</f>
        <v>0</v>
      </c>
      <c r="Q24" s="30">
        <f t="shared" si="12"/>
        <v>0</v>
      </c>
      <c r="R24" s="30">
        <f t="shared" si="12"/>
        <v>0</v>
      </c>
      <c r="S24" s="30">
        <f t="shared" si="12"/>
        <v>0</v>
      </c>
      <c r="T24" s="30">
        <f t="shared" si="12"/>
        <v>0</v>
      </c>
      <c r="U24" s="30">
        <f t="shared" si="12"/>
        <v>0</v>
      </c>
      <c r="V24" s="30">
        <f t="shared" si="12"/>
        <v>0</v>
      </c>
      <c r="W24" s="30">
        <f t="shared" si="12"/>
        <v>0</v>
      </c>
      <c r="X24" s="30">
        <f t="shared" si="12"/>
        <v>0</v>
      </c>
      <c r="Y24" s="29" t="s">
        <v>87</v>
      </c>
      <c r="Z24" s="31" t="s">
        <v>40</v>
      </c>
      <c r="AA24" s="32" t="s">
        <v>54</v>
      </c>
      <c r="AB24" s="32" t="s">
        <v>54</v>
      </c>
      <c r="AC24" s="33"/>
    </row>
    <row r="25" spans="1:29" x14ac:dyDescent="0.25">
      <c r="A25" s="34" t="s">
        <v>88</v>
      </c>
      <c r="B25" s="35" t="s">
        <v>89</v>
      </c>
      <c r="C25" s="36"/>
      <c r="D25" s="36"/>
      <c r="E25" s="37">
        <v>0</v>
      </c>
      <c r="F25" s="37">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6"/>
      <c r="Z25" s="38"/>
      <c r="AA25" s="39"/>
      <c r="AB25" s="39"/>
      <c r="AC25" s="40"/>
    </row>
    <row r="26" spans="1:29" ht="69.75" x14ac:dyDescent="0.25">
      <c r="A26" s="27" t="s">
        <v>90</v>
      </c>
      <c r="B26" s="28" t="s">
        <v>91</v>
      </c>
      <c r="C26" s="29" t="s">
        <v>28</v>
      </c>
      <c r="D26" s="29" t="s">
        <v>32</v>
      </c>
      <c r="E26" s="30">
        <f>SUM(E27:E27)+5541.52</f>
        <v>5541.52</v>
      </c>
      <c r="F26" s="30">
        <f>SUM(F27:F27)+5541.52</f>
        <v>5541.52</v>
      </c>
      <c r="G26" s="30">
        <f t="shared" ref="G26:X26" si="13">SUM(G27:G27)</f>
        <v>0</v>
      </c>
      <c r="H26" s="30">
        <f t="shared" si="13"/>
        <v>0</v>
      </c>
      <c r="I26" s="30">
        <f t="shared" si="13"/>
        <v>0</v>
      </c>
      <c r="J26" s="30">
        <f t="shared" si="13"/>
        <v>0</v>
      </c>
      <c r="K26" s="30">
        <f t="shared" si="13"/>
        <v>0</v>
      </c>
      <c r="L26" s="30">
        <f t="shared" si="13"/>
        <v>0</v>
      </c>
      <c r="M26" s="30">
        <f t="shared" si="13"/>
        <v>0</v>
      </c>
      <c r="N26" s="30">
        <f t="shared" si="13"/>
        <v>0</v>
      </c>
      <c r="O26" s="30">
        <f t="shared" si="13"/>
        <v>0</v>
      </c>
      <c r="P26" s="30">
        <f t="shared" si="13"/>
        <v>0</v>
      </c>
      <c r="Q26" s="30">
        <f t="shared" si="13"/>
        <v>0</v>
      </c>
      <c r="R26" s="30">
        <f t="shared" si="13"/>
        <v>0</v>
      </c>
      <c r="S26" s="30">
        <f t="shared" si="13"/>
        <v>0</v>
      </c>
      <c r="T26" s="30">
        <f t="shared" si="13"/>
        <v>0</v>
      </c>
      <c r="U26" s="30">
        <f t="shared" si="13"/>
        <v>0</v>
      </c>
      <c r="V26" s="30">
        <f t="shared" si="13"/>
        <v>0</v>
      </c>
      <c r="W26" s="30">
        <f t="shared" si="13"/>
        <v>0</v>
      </c>
      <c r="X26" s="30">
        <f t="shared" si="13"/>
        <v>0</v>
      </c>
      <c r="Y26" s="29" t="s">
        <v>92</v>
      </c>
      <c r="Z26" s="31" t="s">
        <v>40</v>
      </c>
      <c r="AA26" s="32" t="s">
        <v>54</v>
      </c>
      <c r="AB26" s="32" t="s">
        <v>47</v>
      </c>
      <c r="AC26" s="33" t="s">
        <v>93</v>
      </c>
    </row>
    <row r="27" spans="1:29" ht="46.5" x14ac:dyDescent="0.25">
      <c r="A27" s="34" t="s">
        <v>94</v>
      </c>
      <c r="B27" s="35" t="s">
        <v>95</v>
      </c>
      <c r="C27" s="36"/>
      <c r="D27" s="36"/>
      <c r="E27" s="37">
        <v>0</v>
      </c>
      <c r="F27" s="37">
        <v>0</v>
      </c>
      <c r="G27" s="37">
        <v>0</v>
      </c>
      <c r="H27" s="37">
        <v>0</v>
      </c>
      <c r="I27" s="37">
        <v>0</v>
      </c>
      <c r="J27" s="37">
        <v>0</v>
      </c>
      <c r="K27" s="37">
        <v>0</v>
      </c>
      <c r="L27" s="37">
        <v>0</v>
      </c>
      <c r="M27" s="37">
        <v>0</v>
      </c>
      <c r="N27" s="37">
        <v>0</v>
      </c>
      <c r="O27" s="37">
        <v>0</v>
      </c>
      <c r="P27" s="37">
        <v>0</v>
      </c>
      <c r="Q27" s="37">
        <v>0</v>
      </c>
      <c r="R27" s="37">
        <v>0</v>
      </c>
      <c r="S27" s="37">
        <v>0</v>
      </c>
      <c r="T27" s="37">
        <v>0</v>
      </c>
      <c r="U27" s="37">
        <v>0</v>
      </c>
      <c r="V27" s="37">
        <v>0</v>
      </c>
      <c r="W27" s="37">
        <v>0</v>
      </c>
      <c r="X27" s="37">
        <v>0</v>
      </c>
      <c r="Y27" s="36"/>
      <c r="Z27" s="38"/>
      <c r="AA27" s="39"/>
      <c r="AB27" s="39"/>
      <c r="AC27" s="40"/>
    </row>
    <row r="28" spans="1:29" ht="69.75" x14ac:dyDescent="0.25">
      <c r="A28" s="27" t="s">
        <v>96</v>
      </c>
      <c r="B28" s="28" t="s">
        <v>97</v>
      </c>
      <c r="C28" s="29" t="s">
        <v>98</v>
      </c>
      <c r="D28" s="29" t="s">
        <v>32</v>
      </c>
      <c r="E28" s="30">
        <f>SUM(E29:E29)+5517</f>
        <v>5517</v>
      </c>
      <c r="F28" s="30">
        <f>SUM(F29:F29)+5517</f>
        <v>5517</v>
      </c>
      <c r="G28" s="30">
        <f t="shared" ref="G28:N28" si="14">SUM(G29:G29)</f>
        <v>0</v>
      </c>
      <c r="H28" s="30">
        <f t="shared" si="14"/>
        <v>0</v>
      </c>
      <c r="I28" s="30">
        <f t="shared" si="14"/>
        <v>0</v>
      </c>
      <c r="J28" s="30">
        <f t="shared" si="14"/>
        <v>0</v>
      </c>
      <c r="K28" s="30">
        <f t="shared" si="14"/>
        <v>0</v>
      </c>
      <c r="L28" s="30">
        <f t="shared" si="14"/>
        <v>0</v>
      </c>
      <c r="M28" s="30">
        <f t="shared" si="14"/>
        <v>0</v>
      </c>
      <c r="N28" s="30">
        <f t="shared" si="14"/>
        <v>0</v>
      </c>
      <c r="O28" s="30">
        <f>SUM(O29:O29)+5516.41</f>
        <v>5516.41</v>
      </c>
      <c r="P28" s="30">
        <f>SUM(P29:P29)+5516.41</f>
        <v>5516.41</v>
      </c>
      <c r="Q28" s="30">
        <f t="shared" ref="Q28:X28" si="15">SUM(Q29:Q29)</f>
        <v>0</v>
      </c>
      <c r="R28" s="30">
        <f t="shared" si="15"/>
        <v>0</v>
      </c>
      <c r="S28" s="30">
        <f t="shared" si="15"/>
        <v>0</v>
      </c>
      <c r="T28" s="30">
        <f t="shared" si="15"/>
        <v>0</v>
      </c>
      <c r="U28" s="30">
        <f t="shared" si="15"/>
        <v>0</v>
      </c>
      <c r="V28" s="30">
        <f t="shared" si="15"/>
        <v>0</v>
      </c>
      <c r="W28" s="30">
        <f t="shared" si="15"/>
        <v>0</v>
      </c>
      <c r="X28" s="30">
        <f t="shared" si="15"/>
        <v>0</v>
      </c>
      <c r="Y28" s="29" t="s">
        <v>99</v>
      </c>
      <c r="Z28" s="31" t="s">
        <v>40</v>
      </c>
      <c r="AA28" s="32" t="s">
        <v>100</v>
      </c>
      <c r="AB28" s="32" t="s">
        <v>100</v>
      </c>
      <c r="AC28" s="33"/>
    </row>
    <row r="29" spans="1:29" ht="46.5" x14ac:dyDescent="0.25">
      <c r="A29" s="34" t="s">
        <v>101</v>
      </c>
      <c r="B29" s="35" t="s">
        <v>102</v>
      </c>
      <c r="C29" s="36"/>
      <c r="D29" s="36"/>
      <c r="E29" s="37">
        <v>0</v>
      </c>
      <c r="F29" s="37">
        <v>0</v>
      </c>
      <c r="G29" s="37">
        <v>0</v>
      </c>
      <c r="H29" s="37">
        <v>0</v>
      </c>
      <c r="I29" s="37">
        <v>0</v>
      </c>
      <c r="J29" s="37">
        <v>0</v>
      </c>
      <c r="K29" s="37">
        <v>0</v>
      </c>
      <c r="L29" s="37">
        <v>0</v>
      </c>
      <c r="M29" s="37">
        <v>0</v>
      </c>
      <c r="N29" s="37">
        <v>0</v>
      </c>
      <c r="O29" s="37">
        <v>0</v>
      </c>
      <c r="P29" s="37">
        <v>0</v>
      </c>
      <c r="Q29" s="37">
        <v>0</v>
      </c>
      <c r="R29" s="37">
        <v>0</v>
      </c>
      <c r="S29" s="37">
        <v>0</v>
      </c>
      <c r="T29" s="37">
        <v>0</v>
      </c>
      <c r="U29" s="37">
        <v>0</v>
      </c>
      <c r="V29" s="37">
        <v>0</v>
      </c>
      <c r="W29" s="37">
        <v>0</v>
      </c>
      <c r="X29" s="37">
        <v>0</v>
      </c>
      <c r="Y29" s="36"/>
      <c r="Z29" s="38"/>
      <c r="AA29" s="39"/>
      <c r="AB29" s="39"/>
      <c r="AC29" s="40"/>
    </row>
    <row r="30" spans="1:29" ht="46.5" x14ac:dyDescent="0.25">
      <c r="A30" s="27" t="s">
        <v>103</v>
      </c>
      <c r="B30" s="28" t="s">
        <v>104</v>
      </c>
      <c r="C30" s="29" t="s">
        <v>105</v>
      </c>
      <c r="D30" s="29" t="s">
        <v>32</v>
      </c>
      <c r="E30" s="30">
        <f>SUM(E31:E31)+1300</f>
        <v>1300</v>
      </c>
      <c r="F30" s="30">
        <f>SUM(F31:F31)+1300</f>
        <v>1300</v>
      </c>
      <c r="G30" s="30">
        <f t="shared" ref="G30:N30" si="16">SUM(G31:G31)</f>
        <v>0</v>
      </c>
      <c r="H30" s="30">
        <f t="shared" si="16"/>
        <v>0</v>
      </c>
      <c r="I30" s="30">
        <f t="shared" si="16"/>
        <v>0</v>
      </c>
      <c r="J30" s="30">
        <f t="shared" si="16"/>
        <v>0</v>
      </c>
      <c r="K30" s="30">
        <f t="shared" si="16"/>
        <v>0</v>
      </c>
      <c r="L30" s="30">
        <f t="shared" si="16"/>
        <v>0</v>
      </c>
      <c r="M30" s="30">
        <f t="shared" si="16"/>
        <v>0</v>
      </c>
      <c r="N30" s="30">
        <f t="shared" si="16"/>
        <v>0</v>
      </c>
      <c r="O30" s="30">
        <f>SUM(O31:O31)+1300</f>
        <v>1300</v>
      </c>
      <c r="P30" s="30">
        <f>SUM(P31:P31)+1300</f>
        <v>1300</v>
      </c>
      <c r="Q30" s="30">
        <f t="shared" ref="Q30:X30" si="17">SUM(Q31:Q31)</f>
        <v>0</v>
      </c>
      <c r="R30" s="30">
        <f t="shared" si="17"/>
        <v>0</v>
      </c>
      <c r="S30" s="30">
        <f t="shared" si="17"/>
        <v>0</v>
      </c>
      <c r="T30" s="30">
        <f t="shared" si="17"/>
        <v>0</v>
      </c>
      <c r="U30" s="30">
        <f t="shared" si="17"/>
        <v>0</v>
      </c>
      <c r="V30" s="30">
        <f t="shared" si="17"/>
        <v>0</v>
      </c>
      <c r="W30" s="30">
        <f t="shared" si="17"/>
        <v>0</v>
      </c>
      <c r="X30" s="30">
        <f t="shared" si="17"/>
        <v>0</v>
      </c>
      <c r="Y30" s="29" t="s">
        <v>99</v>
      </c>
      <c r="Z30" s="31" t="s">
        <v>40</v>
      </c>
      <c r="AA30" s="32" t="s">
        <v>106</v>
      </c>
      <c r="AB30" s="32" t="s">
        <v>106</v>
      </c>
      <c r="AC30" s="33"/>
    </row>
    <row r="31" spans="1:29" ht="46.5" x14ac:dyDescent="0.25">
      <c r="A31" s="34" t="s">
        <v>107</v>
      </c>
      <c r="B31" s="35" t="s">
        <v>102</v>
      </c>
      <c r="C31" s="36"/>
      <c r="D31" s="36"/>
      <c r="E31" s="37">
        <v>0</v>
      </c>
      <c r="F31" s="37">
        <v>0</v>
      </c>
      <c r="G31" s="37">
        <v>0</v>
      </c>
      <c r="H31" s="37">
        <v>0</v>
      </c>
      <c r="I31" s="37">
        <v>0</v>
      </c>
      <c r="J31" s="37">
        <v>0</v>
      </c>
      <c r="K31" s="37">
        <v>0</v>
      </c>
      <c r="L31" s="37">
        <v>0</v>
      </c>
      <c r="M31" s="37">
        <v>0</v>
      </c>
      <c r="N31" s="37">
        <v>0</v>
      </c>
      <c r="O31" s="37">
        <v>0</v>
      </c>
      <c r="P31" s="37">
        <v>0</v>
      </c>
      <c r="Q31" s="37">
        <v>0</v>
      </c>
      <c r="R31" s="37">
        <v>0</v>
      </c>
      <c r="S31" s="37">
        <v>0</v>
      </c>
      <c r="T31" s="37">
        <v>0</v>
      </c>
      <c r="U31" s="37">
        <v>0</v>
      </c>
      <c r="V31" s="37">
        <v>0</v>
      </c>
      <c r="W31" s="37">
        <v>0</v>
      </c>
      <c r="X31" s="37">
        <v>0</v>
      </c>
      <c r="Y31" s="36"/>
      <c r="Z31" s="38"/>
      <c r="AA31" s="39"/>
      <c r="AB31" s="39"/>
      <c r="AC31" s="40"/>
    </row>
    <row r="32" spans="1:29" ht="93" x14ac:dyDescent="0.25">
      <c r="A32" s="27" t="s">
        <v>108</v>
      </c>
      <c r="B32" s="28" t="s">
        <v>109</v>
      </c>
      <c r="C32" s="29" t="s">
        <v>110</v>
      </c>
      <c r="D32" s="29" t="s">
        <v>32</v>
      </c>
      <c r="E32" s="30">
        <f>SUM(E33:E33)+14288</f>
        <v>14288</v>
      </c>
      <c r="F32" s="30">
        <f>SUM(F33:F33)+14288</f>
        <v>14288</v>
      </c>
      <c r="G32" s="30">
        <f t="shared" ref="G32:N32" si="18">SUM(G33:G33)</f>
        <v>0</v>
      </c>
      <c r="H32" s="30">
        <f t="shared" si="18"/>
        <v>0</v>
      </c>
      <c r="I32" s="30">
        <f t="shared" si="18"/>
        <v>0</v>
      </c>
      <c r="J32" s="30">
        <f t="shared" si="18"/>
        <v>0</v>
      </c>
      <c r="K32" s="30">
        <f t="shared" si="18"/>
        <v>0</v>
      </c>
      <c r="L32" s="30">
        <f t="shared" si="18"/>
        <v>0</v>
      </c>
      <c r="M32" s="30">
        <f t="shared" si="18"/>
        <v>0</v>
      </c>
      <c r="N32" s="30">
        <f t="shared" si="18"/>
        <v>0</v>
      </c>
      <c r="O32" s="30">
        <f>SUM(O33:O33)+14288</f>
        <v>14288</v>
      </c>
      <c r="P32" s="30">
        <f>SUM(P33:P33)+14288</f>
        <v>14288</v>
      </c>
      <c r="Q32" s="30">
        <f t="shared" ref="Q32:X32" si="19">SUM(Q33:Q33)</f>
        <v>0</v>
      </c>
      <c r="R32" s="30">
        <f t="shared" si="19"/>
        <v>0</v>
      </c>
      <c r="S32" s="30">
        <f t="shared" si="19"/>
        <v>0</v>
      </c>
      <c r="T32" s="30">
        <f t="shared" si="19"/>
        <v>0</v>
      </c>
      <c r="U32" s="30">
        <f t="shared" si="19"/>
        <v>0</v>
      </c>
      <c r="V32" s="30">
        <f t="shared" si="19"/>
        <v>0</v>
      </c>
      <c r="W32" s="30">
        <f t="shared" si="19"/>
        <v>0</v>
      </c>
      <c r="X32" s="30">
        <f t="shared" si="19"/>
        <v>0</v>
      </c>
      <c r="Y32" s="29" t="s">
        <v>99</v>
      </c>
      <c r="Z32" s="31" t="s">
        <v>40</v>
      </c>
      <c r="AA32" s="32" t="s">
        <v>111</v>
      </c>
      <c r="AB32" s="32" t="s">
        <v>112</v>
      </c>
      <c r="AC32" s="33" t="s">
        <v>113</v>
      </c>
    </row>
    <row r="33" spans="1:29" ht="46.5" x14ac:dyDescent="0.25">
      <c r="A33" s="34" t="s">
        <v>114</v>
      </c>
      <c r="B33" s="35" t="s">
        <v>102</v>
      </c>
      <c r="C33" s="36"/>
      <c r="D33" s="36"/>
      <c r="E33" s="37">
        <v>0</v>
      </c>
      <c r="F33" s="37">
        <v>0</v>
      </c>
      <c r="G33" s="37">
        <v>0</v>
      </c>
      <c r="H33" s="37">
        <v>0</v>
      </c>
      <c r="I33" s="37">
        <v>0</v>
      </c>
      <c r="J33" s="37">
        <v>0</v>
      </c>
      <c r="K33" s="37">
        <v>0</v>
      </c>
      <c r="L33" s="37">
        <v>0</v>
      </c>
      <c r="M33" s="37">
        <v>0</v>
      </c>
      <c r="N33" s="37">
        <v>0</v>
      </c>
      <c r="O33" s="37">
        <v>0</v>
      </c>
      <c r="P33" s="37">
        <v>0</v>
      </c>
      <c r="Q33" s="37">
        <v>0</v>
      </c>
      <c r="R33" s="37">
        <v>0</v>
      </c>
      <c r="S33" s="37">
        <v>0</v>
      </c>
      <c r="T33" s="37">
        <v>0</v>
      </c>
      <c r="U33" s="37">
        <v>0</v>
      </c>
      <c r="V33" s="37">
        <v>0</v>
      </c>
      <c r="W33" s="37">
        <v>0</v>
      </c>
      <c r="X33" s="37">
        <v>0</v>
      </c>
      <c r="Y33" s="36"/>
      <c r="Z33" s="38"/>
      <c r="AA33" s="39"/>
      <c r="AB33" s="39"/>
      <c r="AC33" s="40"/>
    </row>
    <row r="34" spans="1:29" ht="46.5" x14ac:dyDescent="0.25">
      <c r="A34" s="27" t="s">
        <v>115</v>
      </c>
      <c r="B34" s="28" t="s">
        <v>116</v>
      </c>
      <c r="C34" s="29" t="s">
        <v>117</v>
      </c>
      <c r="D34" s="29" t="s">
        <v>32</v>
      </c>
      <c r="E34" s="30">
        <f>SUM(E35:E35)+5300</f>
        <v>5300</v>
      </c>
      <c r="F34" s="30">
        <f>SUM(F35:F35)+5300</f>
        <v>5300</v>
      </c>
      <c r="G34" s="30">
        <f t="shared" ref="G34:N34" si="20">SUM(G35:G35)</f>
        <v>0</v>
      </c>
      <c r="H34" s="30">
        <f t="shared" si="20"/>
        <v>0</v>
      </c>
      <c r="I34" s="30">
        <f t="shared" si="20"/>
        <v>0</v>
      </c>
      <c r="J34" s="30">
        <f t="shared" si="20"/>
        <v>0</v>
      </c>
      <c r="K34" s="30">
        <f t="shared" si="20"/>
        <v>0</v>
      </c>
      <c r="L34" s="30">
        <f t="shared" si="20"/>
        <v>0</v>
      </c>
      <c r="M34" s="30">
        <f t="shared" si="20"/>
        <v>0</v>
      </c>
      <c r="N34" s="30">
        <f t="shared" si="20"/>
        <v>0</v>
      </c>
      <c r="O34" s="30">
        <f>SUM(O35:O35)+5299.69</f>
        <v>5299.69</v>
      </c>
      <c r="P34" s="30">
        <f>SUM(P35:P35)+5299.69</f>
        <v>5299.69</v>
      </c>
      <c r="Q34" s="30">
        <f t="shared" ref="Q34:X34" si="21">SUM(Q35:Q35)</f>
        <v>0</v>
      </c>
      <c r="R34" s="30">
        <f t="shared" si="21"/>
        <v>0</v>
      </c>
      <c r="S34" s="30">
        <f t="shared" si="21"/>
        <v>0</v>
      </c>
      <c r="T34" s="30">
        <f t="shared" si="21"/>
        <v>0</v>
      </c>
      <c r="U34" s="30">
        <f t="shared" si="21"/>
        <v>0</v>
      </c>
      <c r="V34" s="30">
        <f t="shared" si="21"/>
        <v>0</v>
      </c>
      <c r="W34" s="30">
        <f t="shared" si="21"/>
        <v>0</v>
      </c>
      <c r="X34" s="30">
        <f t="shared" si="21"/>
        <v>0</v>
      </c>
      <c r="Y34" s="29" t="s">
        <v>99</v>
      </c>
      <c r="Z34" s="31" t="s">
        <v>40</v>
      </c>
      <c r="AA34" s="32" t="s">
        <v>118</v>
      </c>
      <c r="AB34" s="32" t="s">
        <v>100</v>
      </c>
      <c r="AC34" s="33"/>
    </row>
    <row r="35" spans="1:29" ht="46.5" x14ac:dyDescent="0.25">
      <c r="A35" s="34" t="s">
        <v>119</v>
      </c>
      <c r="B35" s="35" t="s">
        <v>102</v>
      </c>
      <c r="C35" s="36"/>
      <c r="D35" s="36"/>
      <c r="E35" s="37">
        <v>0</v>
      </c>
      <c r="F35" s="37">
        <v>0</v>
      </c>
      <c r="G35" s="37">
        <v>0</v>
      </c>
      <c r="H35" s="37">
        <v>0</v>
      </c>
      <c r="I35" s="37">
        <v>0</v>
      </c>
      <c r="J35" s="37">
        <v>0</v>
      </c>
      <c r="K35" s="37">
        <v>0</v>
      </c>
      <c r="L35" s="37">
        <v>0</v>
      </c>
      <c r="M35" s="37">
        <v>0</v>
      </c>
      <c r="N35" s="37">
        <v>0</v>
      </c>
      <c r="O35" s="37">
        <v>0</v>
      </c>
      <c r="P35" s="37">
        <v>0</v>
      </c>
      <c r="Q35" s="37">
        <v>0</v>
      </c>
      <c r="R35" s="37">
        <v>0</v>
      </c>
      <c r="S35" s="37">
        <v>0</v>
      </c>
      <c r="T35" s="37">
        <v>0</v>
      </c>
      <c r="U35" s="37">
        <v>0</v>
      </c>
      <c r="V35" s="37">
        <v>0</v>
      </c>
      <c r="W35" s="37">
        <v>0</v>
      </c>
      <c r="X35" s="37">
        <v>0</v>
      </c>
      <c r="Y35" s="36"/>
      <c r="Z35" s="38"/>
      <c r="AA35" s="39"/>
      <c r="AB35" s="39"/>
      <c r="AC35" s="40"/>
    </row>
    <row r="36" spans="1:29" ht="46.5" x14ac:dyDescent="0.25">
      <c r="A36" s="27" t="s">
        <v>120</v>
      </c>
      <c r="B36" s="28" t="s">
        <v>121</v>
      </c>
      <c r="C36" s="29" t="s">
        <v>28</v>
      </c>
      <c r="D36" s="29" t="s">
        <v>45</v>
      </c>
      <c r="E36" s="30">
        <f>SUM(E37:E37)+59500</f>
        <v>59500</v>
      </c>
      <c r="F36" s="30">
        <f>SUM(F37:F37)+59500</f>
        <v>59500</v>
      </c>
      <c r="G36" s="30">
        <f t="shared" ref="G36:N36" si="22">SUM(G37:G37)</f>
        <v>0</v>
      </c>
      <c r="H36" s="30">
        <f t="shared" si="22"/>
        <v>0</v>
      </c>
      <c r="I36" s="30">
        <f t="shared" si="22"/>
        <v>0</v>
      </c>
      <c r="J36" s="30">
        <f t="shared" si="22"/>
        <v>0</v>
      </c>
      <c r="K36" s="30">
        <f t="shared" si="22"/>
        <v>0</v>
      </c>
      <c r="L36" s="30">
        <f t="shared" si="22"/>
        <v>0</v>
      </c>
      <c r="M36" s="30">
        <f t="shared" si="22"/>
        <v>0</v>
      </c>
      <c r="N36" s="30">
        <f t="shared" si="22"/>
        <v>0</v>
      </c>
      <c r="O36" s="30">
        <f>SUM(O37:O37)+57601.59</f>
        <v>57601.59</v>
      </c>
      <c r="P36" s="30">
        <f>SUM(P37:P37)+57601.59</f>
        <v>57601.59</v>
      </c>
      <c r="Q36" s="30">
        <f t="shared" ref="Q36:X36" si="23">SUM(Q37:Q37)</f>
        <v>0</v>
      </c>
      <c r="R36" s="30">
        <f t="shared" si="23"/>
        <v>0</v>
      </c>
      <c r="S36" s="30">
        <f t="shared" si="23"/>
        <v>0</v>
      </c>
      <c r="T36" s="30">
        <f t="shared" si="23"/>
        <v>0</v>
      </c>
      <c r="U36" s="30">
        <f t="shared" si="23"/>
        <v>0</v>
      </c>
      <c r="V36" s="30">
        <f t="shared" si="23"/>
        <v>0</v>
      </c>
      <c r="W36" s="30">
        <f t="shared" si="23"/>
        <v>0</v>
      </c>
      <c r="X36" s="30">
        <f t="shared" si="23"/>
        <v>0</v>
      </c>
      <c r="Y36" s="29" t="s">
        <v>122</v>
      </c>
      <c r="Z36" s="31" t="s">
        <v>40</v>
      </c>
      <c r="AA36" s="32" t="s">
        <v>73</v>
      </c>
      <c r="AB36" s="32" t="s">
        <v>73</v>
      </c>
      <c r="AC36" s="33"/>
    </row>
    <row r="37" spans="1:29" ht="46.5" x14ac:dyDescent="0.25">
      <c r="A37" s="34" t="s">
        <v>123</v>
      </c>
      <c r="B37" s="35" t="s">
        <v>124</v>
      </c>
      <c r="C37" s="36"/>
      <c r="D37" s="36"/>
      <c r="E37" s="37">
        <v>0</v>
      </c>
      <c r="F37" s="37">
        <v>0</v>
      </c>
      <c r="G37" s="37">
        <v>0</v>
      </c>
      <c r="H37" s="37">
        <v>0</v>
      </c>
      <c r="I37" s="37">
        <v>0</v>
      </c>
      <c r="J37" s="37">
        <v>0</v>
      </c>
      <c r="K37" s="37">
        <v>0</v>
      </c>
      <c r="L37" s="37">
        <v>0</v>
      </c>
      <c r="M37" s="37">
        <v>0</v>
      </c>
      <c r="N37" s="37">
        <v>0</v>
      </c>
      <c r="O37" s="37">
        <v>0</v>
      </c>
      <c r="P37" s="37">
        <v>0</v>
      </c>
      <c r="Q37" s="37">
        <v>0</v>
      </c>
      <c r="R37" s="37">
        <v>0</v>
      </c>
      <c r="S37" s="37">
        <v>0</v>
      </c>
      <c r="T37" s="37">
        <v>0</v>
      </c>
      <c r="U37" s="37">
        <v>0</v>
      </c>
      <c r="V37" s="37">
        <v>0</v>
      </c>
      <c r="W37" s="37">
        <v>0</v>
      </c>
      <c r="X37" s="37">
        <v>0</v>
      </c>
      <c r="Y37" s="36"/>
      <c r="Z37" s="38"/>
      <c r="AA37" s="39"/>
      <c r="AB37" s="39"/>
      <c r="AC37" s="40"/>
    </row>
    <row r="38" spans="1:29" ht="46.5" x14ac:dyDescent="0.25">
      <c r="A38" s="27" t="s">
        <v>125</v>
      </c>
      <c r="B38" s="28" t="s">
        <v>126</v>
      </c>
      <c r="C38" s="29" t="s">
        <v>28</v>
      </c>
      <c r="D38" s="29" t="s">
        <v>32</v>
      </c>
      <c r="E38" s="30">
        <f>SUM(E39:E39)+6000</f>
        <v>6000</v>
      </c>
      <c r="F38" s="30">
        <f>SUM(F39:F39)+6000</f>
        <v>6000</v>
      </c>
      <c r="G38" s="30">
        <f t="shared" ref="G38:N38" si="24">SUM(G39:G39)</f>
        <v>0</v>
      </c>
      <c r="H38" s="30">
        <f t="shared" si="24"/>
        <v>0</v>
      </c>
      <c r="I38" s="30">
        <f t="shared" si="24"/>
        <v>0</v>
      </c>
      <c r="J38" s="30">
        <f t="shared" si="24"/>
        <v>0</v>
      </c>
      <c r="K38" s="30">
        <f t="shared" si="24"/>
        <v>0</v>
      </c>
      <c r="L38" s="30">
        <f t="shared" si="24"/>
        <v>0</v>
      </c>
      <c r="M38" s="30">
        <f t="shared" si="24"/>
        <v>0</v>
      </c>
      <c r="N38" s="30">
        <f t="shared" si="24"/>
        <v>0</v>
      </c>
      <c r="O38" s="30">
        <f>SUM(O39:O39)+6000</f>
        <v>6000</v>
      </c>
      <c r="P38" s="30">
        <f>SUM(P39:P39)+6000</f>
        <v>6000</v>
      </c>
      <c r="Q38" s="30">
        <f t="shared" ref="Q38:X38" si="25">SUM(Q39:Q39)</f>
        <v>0</v>
      </c>
      <c r="R38" s="30">
        <f t="shared" si="25"/>
        <v>0</v>
      </c>
      <c r="S38" s="30">
        <f t="shared" si="25"/>
        <v>0</v>
      </c>
      <c r="T38" s="30">
        <f t="shared" si="25"/>
        <v>0</v>
      </c>
      <c r="U38" s="30">
        <f t="shared" si="25"/>
        <v>0</v>
      </c>
      <c r="V38" s="30">
        <f t="shared" si="25"/>
        <v>0</v>
      </c>
      <c r="W38" s="30">
        <f t="shared" si="25"/>
        <v>0</v>
      </c>
      <c r="X38" s="30">
        <f t="shared" si="25"/>
        <v>0</v>
      </c>
      <c r="Y38" s="29" t="s">
        <v>127</v>
      </c>
      <c r="Z38" s="31" t="s">
        <v>40</v>
      </c>
      <c r="AA38" s="32" t="s">
        <v>128</v>
      </c>
      <c r="AB38" s="32" t="s">
        <v>128</v>
      </c>
      <c r="AC38" s="33"/>
    </row>
    <row r="39" spans="1:29" ht="46.5" x14ac:dyDescent="0.25">
      <c r="A39" s="34" t="s">
        <v>129</v>
      </c>
      <c r="B39" s="35" t="s">
        <v>130</v>
      </c>
      <c r="C39" s="36"/>
      <c r="D39" s="36"/>
      <c r="E39" s="37">
        <v>0</v>
      </c>
      <c r="F39" s="37">
        <v>0</v>
      </c>
      <c r="G39" s="37">
        <v>0</v>
      </c>
      <c r="H39" s="37">
        <v>0</v>
      </c>
      <c r="I39" s="37">
        <v>0</v>
      </c>
      <c r="J39" s="37">
        <v>0</v>
      </c>
      <c r="K39" s="37">
        <v>0</v>
      </c>
      <c r="L39" s="37">
        <v>0</v>
      </c>
      <c r="M39" s="37">
        <v>0</v>
      </c>
      <c r="N39" s="37">
        <v>0</v>
      </c>
      <c r="O39" s="37">
        <v>0</v>
      </c>
      <c r="P39" s="37">
        <v>0</v>
      </c>
      <c r="Q39" s="37">
        <v>0</v>
      </c>
      <c r="R39" s="37">
        <v>0</v>
      </c>
      <c r="S39" s="37">
        <v>0</v>
      </c>
      <c r="T39" s="37">
        <v>0</v>
      </c>
      <c r="U39" s="37">
        <v>0</v>
      </c>
      <c r="V39" s="37">
        <v>0</v>
      </c>
      <c r="W39" s="37">
        <v>0</v>
      </c>
      <c r="X39" s="37">
        <v>0</v>
      </c>
      <c r="Y39" s="36"/>
      <c r="Z39" s="38"/>
      <c r="AA39" s="39"/>
      <c r="AB39" s="39"/>
      <c r="AC39" s="40"/>
    </row>
    <row r="40" spans="1:29" ht="67.5" x14ac:dyDescent="0.25">
      <c r="A40" s="20" t="s">
        <v>131</v>
      </c>
      <c r="B40" s="21" t="s">
        <v>132</v>
      </c>
      <c r="C40" s="22" t="s">
        <v>28</v>
      </c>
      <c r="D40" s="22" t="s">
        <v>32</v>
      </c>
      <c r="E40" s="23">
        <f t="shared" ref="E40:X40" si="26">E41+E43</f>
        <v>6422.7199999999993</v>
      </c>
      <c r="F40" s="23">
        <f t="shared" si="26"/>
        <v>6422.7199999999993</v>
      </c>
      <c r="G40" s="23">
        <f t="shared" si="26"/>
        <v>0</v>
      </c>
      <c r="H40" s="23">
        <f t="shared" si="26"/>
        <v>0</v>
      </c>
      <c r="I40" s="23">
        <f t="shared" si="26"/>
        <v>0</v>
      </c>
      <c r="J40" s="23">
        <f t="shared" si="26"/>
        <v>0</v>
      </c>
      <c r="K40" s="23">
        <f t="shared" si="26"/>
        <v>0</v>
      </c>
      <c r="L40" s="23">
        <f t="shared" si="26"/>
        <v>0</v>
      </c>
      <c r="M40" s="23">
        <f t="shared" si="26"/>
        <v>0</v>
      </c>
      <c r="N40" s="23">
        <f t="shared" si="26"/>
        <v>0</v>
      </c>
      <c r="O40" s="23">
        <f t="shared" si="26"/>
        <v>6422.7199999999993</v>
      </c>
      <c r="P40" s="23">
        <f t="shared" si="26"/>
        <v>6422.7199999999993</v>
      </c>
      <c r="Q40" s="23">
        <f t="shared" si="26"/>
        <v>0</v>
      </c>
      <c r="R40" s="23">
        <f t="shared" si="26"/>
        <v>0</v>
      </c>
      <c r="S40" s="23">
        <f t="shared" si="26"/>
        <v>0</v>
      </c>
      <c r="T40" s="23">
        <f t="shared" si="26"/>
        <v>0</v>
      </c>
      <c r="U40" s="23">
        <f t="shared" si="26"/>
        <v>0</v>
      </c>
      <c r="V40" s="23">
        <f t="shared" si="26"/>
        <v>0</v>
      </c>
      <c r="W40" s="23">
        <f t="shared" si="26"/>
        <v>0</v>
      </c>
      <c r="X40" s="23">
        <f t="shared" si="26"/>
        <v>0</v>
      </c>
      <c r="Y40" s="22" t="s">
        <v>133</v>
      </c>
      <c r="Z40" s="24" t="s">
        <v>40</v>
      </c>
      <c r="AA40" s="25" t="s">
        <v>134</v>
      </c>
      <c r="AB40" s="25" t="s">
        <v>135</v>
      </c>
      <c r="AC40" s="26"/>
    </row>
    <row r="41" spans="1:29" ht="116.25" x14ac:dyDescent="0.25">
      <c r="A41" s="27" t="s">
        <v>136</v>
      </c>
      <c r="B41" s="28" t="s">
        <v>137</v>
      </c>
      <c r="C41" s="29" t="s">
        <v>28</v>
      </c>
      <c r="D41" s="29" t="s">
        <v>32</v>
      </c>
      <c r="E41" s="30">
        <f>SUM(E42:E42)+3000</f>
        <v>3000</v>
      </c>
      <c r="F41" s="30">
        <f>SUM(F42:F42)+3000</f>
        <v>3000</v>
      </c>
      <c r="G41" s="30">
        <f t="shared" ref="G41:N41" si="27">SUM(G42:G42)</f>
        <v>0</v>
      </c>
      <c r="H41" s="30">
        <f t="shared" si="27"/>
        <v>0</v>
      </c>
      <c r="I41" s="30">
        <f t="shared" si="27"/>
        <v>0</v>
      </c>
      <c r="J41" s="30">
        <f t="shared" si="27"/>
        <v>0</v>
      </c>
      <c r="K41" s="30">
        <f t="shared" si="27"/>
        <v>0</v>
      </c>
      <c r="L41" s="30">
        <f t="shared" si="27"/>
        <v>0</v>
      </c>
      <c r="M41" s="30">
        <f t="shared" si="27"/>
        <v>0</v>
      </c>
      <c r="N41" s="30">
        <f t="shared" si="27"/>
        <v>0</v>
      </c>
      <c r="O41" s="30">
        <f>SUM(O42:O42)+3000</f>
        <v>3000</v>
      </c>
      <c r="P41" s="30">
        <f>SUM(P42:P42)+3000</f>
        <v>3000</v>
      </c>
      <c r="Q41" s="30">
        <f t="shared" ref="Q41:X41" si="28">SUM(Q42:Q42)</f>
        <v>0</v>
      </c>
      <c r="R41" s="30">
        <f t="shared" si="28"/>
        <v>0</v>
      </c>
      <c r="S41" s="30">
        <f t="shared" si="28"/>
        <v>0</v>
      </c>
      <c r="T41" s="30">
        <f t="shared" si="28"/>
        <v>0</v>
      </c>
      <c r="U41" s="30">
        <f t="shared" si="28"/>
        <v>0</v>
      </c>
      <c r="V41" s="30">
        <f t="shared" si="28"/>
        <v>0</v>
      </c>
      <c r="W41" s="30">
        <f t="shared" si="28"/>
        <v>0</v>
      </c>
      <c r="X41" s="30">
        <f t="shared" si="28"/>
        <v>0</v>
      </c>
      <c r="Y41" s="29" t="s">
        <v>138</v>
      </c>
      <c r="Z41" s="31" t="s">
        <v>40</v>
      </c>
      <c r="AA41" s="32" t="s">
        <v>69</v>
      </c>
      <c r="AB41" s="32" t="s">
        <v>69</v>
      </c>
      <c r="AC41" s="33"/>
    </row>
    <row r="42" spans="1:29" ht="69.75" x14ac:dyDescent="0.25">
      <c r="A42" s="34" t="s">
        <v>139</v>
      </c>
      <c r="B42" s="35" t="s">
        <v>140</v>
      </c>
      <c r="C42" s="36"/>
      <c r="D42" s="36"/>
      <c r="E42" s="37">
        <v>0</v>
      </c>
      <c r="F42" s="37">
        <v>0</v>
      </c>
      <c r="G42" s="37">
        <v>0</v>
      </c>
      <c r="H42" s="37">
        <v>0</v>
      </c>
      <c r="I42" s="37">
        <v>0</v>
      </c>
      <c r="J42" s="37">
        <v>0</v>
      </c>
      <c r="K42" s="37">
        <v>0</v>
      </c>
      <c r="L42" s="37">
        <v>0</v>
      </c>
      <c r="M42" s="37">
        <v>0</v>
      </c>
      <c r="N42" s="37">
        <v>0</v>
      </c>
      <c r="O42" s="37">
        <v>0</v>
      </c>
      <c r="P42" s="37">
        <v>0</v>
      </c>
      <c r="Q42" s="37">
        <v>0</v>
      </c>
      <c r="R42" s="37">
        <v>0</v>
      </c>
      <c r="S42" s="37">
        <v>0</v>
      </c>
      <c r="T42" s="37">
        <v>0</v>
      </c>
      <c r="U42" s="37">
        <v>0</v>
      </c>
      <c r="V42" s="37">
        <v>0</v>
      </c>
      <c r="W42" s="37">
        <v>0</v>
      </c>
      <c r="X42" s="37">
        <v>0</v>
      </c>
      <c r="Y42" s="36"/>
      <c r="Z42" s="38"/>
      <c r="AA42" s="39"/>
      <c r="AB42" s="39"/>
      <c r="AC42" s="40"/>
    </row>
    <row r="43" spans="1:29" ht="46.5" x14ac:dyDescent="0.25">
      <c r="A43" s="27" t="s">
        <v>141</v>
      </c>
      <c r="B43" s="28" t="s">
        <v>142</v>
      </c>
      <c r="C43" s="29" t="s">
        <v>28</v>
      </c>
      <c r="D43" s="29" t="s">
        <v>32</v>
      </c>
      <c r="E43" s="30">
        <f>SUM(E44:E44)+3422.72</f>
        <v>3422.72</v>
      </c>
      <c r="F43" s="30">
        <f>SUM(F44:F44)+3422.72</f>
        <v>3422.72</v>
      </c>
      <c r="G43" s="30">
        <f t="shared" ref="G43:N43" si="29">SUM(G44:G44)</f>
        <v>0</v>
      </c>
      <c r="H43" s="30">
        <f t="shared" si="29"/>
        <v>0</v>
      </c>
      <c r="I43" s="30">
        <f t="shared" si="29"/>
        <v>0</v>
      </c>
      <c r="J43" s="30">
        <f t="shared" si="29"/>
        <v>0</v>
      </c>
      <c r="K43" s="30">
        <f t="shared" si="29"/>
        <v>0</v>
      </c>
      <c r="L43" s="30">
        <f t="shared" si="29"/>
        <v>0</v>
      </c>
      <c r="M43" s="30">
        <f t="shared" si="29"/>
        <v>0</v>
      </c>
      <c r="N43" s="30">
        <f t="shared" si="29"/>
        <v>0</v>
      </c>
      <c r="O43" s="30">
        <f>SUM(O44:O44)+3422.72</f>
        <v>3422.72</v>
      </c>
      <c r="P43" s="30">
        <f>SUM(P44:P44)+3422.72</f>
        <v>3422.72</v>
      </c>
      <c r="Q43" s="30">
        <f t="shared" ref="Q43:X43" si="30">SUM(Q44:Q44)</f>
        <v>0</v>
      </c>
      <c r="R43" s="30">
        <f t="shared" si="30"/>
        <v>0</v>
      </c>
      <c r="S43" s="30">
        <f t="shared" si="30"/>
        <v>0</v>
      </c>
      <c r="T43" s="30">
        <f t="shared" si="30"/>
        <v>0</v>
      </c>
      <c r="U43" s="30">
        <f t="shared" si="30"/>
        <v>0</v>
      </c>
      <c r="V43" s="30">
        <f t="shared" si="30"/>
        <v>0</v>
      </c>
      <c r="W43" s="30">
        <f t="shared" si="30"/>
        <v>0</v>
      </c>
      <c r="X43" s="30">
        <f t="shared" si="30"/>
        <v>0</v>
      </c>
      <c r="Y43" s="29" t="s">
        <v>143</v>
      </c>
      <c r="Z43" s="31" t="s">
        <v>40</v>
      </c>
      <c r="AA43" s="32" t="s">
        <v>69</v>
      </c>
      <c r="AB43" s="32" t="s">
        <v>69</v>
      </c>
      <c r="AC43" s="33"/>
    </row>
    <row r="44" spans="1:29" ht="46.5" x14ac:dyDescent="0.25">
      <c r="A44" s="34" t="s">
        <v>144</v>
      </c>
      <c r="B44" s="35" t="s">
        <v>145</v>
      </c>
      <c r="C44" s="36"/>
      <c r="D44" s="36"/>
      <c r="E44" s="37">
        <v>0</v>
      </c>
      <c r="F44" s="37">
        <v>0</v>
      </c>
      <c r="G44" s="37">
        <v>0</v>
      </c>
      <c r="H44" s="37">
        <v>0</v>
      </c>
      <c r="I44" s="37">
        <v>0</v>
      </c>
      <c r="J44" s="37">
        <v>0</v>
      </c>
      <c r="K44" s="37">
        <v>0</v>
      </c>
      <c r="L44" s="37">
        <v>0</v>
      </c>
      <c r="M44" s="37">
        <v>0</v>
      </c>
      <c r="N44" s="37">
        <v>0</v>
      </c>
      <c r="O44" s="37">
        <v>0</v>
      </c>
      <c r="P44" s="37">
        <v>0</v>
      </c>
      <c r="Q44" s="37">
        <v>0</v>
      </c>
      <c r="R44" s="37">
        <v>0</v>
      </c>
      <c r="S44" s="37">
        <v>0</v>
      </c>
      <c r="T44" s="37">
        <v>0</v>
      </c>
      <c r="U44" s="37">
        <v>0</v>
      </c>
      <c r="V44" s="37">
        <v>0</v>
      </c>
      <c r="W44" s="37">
        <v>0</v>
      </c>
      <c r="X44" s="37">
        <v>0</v>
      </c>
      <c r="Y44" s="36"/>
      <c r="Z44" s="38"/>
      <c r="AA44" s="39"/>
      <c r="AB44" s="39"/>
      <c r="AC44" s="40"/>
    </row>
    <row r="45" spans="1:29" ht="45" x14ac:dyDescent="0.25">
      <c r="A45" s="13" t="s">
        <v>146</v>
      </c>
      <c r="B45" s="14" t="s">
        <v>147</v>
      </c>
      <c r="C45" s="15" t="s">
        <v>28</v>
      </c>
      <c r="D45" s="15" t="s">
        <v>32</v>
      </c>
      <c r="E45" s="16">
        <f t="shared" ref="E45:N46" si="31">SUM(E46:E46)</f>
        <v>8500</v>
      </c>
      <c r="F45" s="16">
        <f t="shared" si="31"/>
        <v>8500</v>
      </c>
      <c r="G45" s="16">
        <f t="shared" si="31"/>
        <v>0</v>
      </c>
      <c r="H45" s="16">
        <f t="shared" si="31"/>
        <v>0</v>
      </c>
      <c r="I45" s="16">
        <f t="shared" si="31"/>
        <v>0</v>
      </c>
      <c r="J45" s="16">
        <f t="shared" si="31"/>
        <v>0</v>
      </c>
      <c r="K45" s="16">
        <f t="shared" si="31"/>
        <v>0</v>
      </c>
      <c r="L45" s="16">
        <f t="shared" si="31"/>
        <v>0</v>
      </c>
      <c r="M45" s="16">
        <f t="shared" si="31"/>
        <v>0</v>
      </c>
      <c r="N45" s="16">
        <f t="shared" si="31"/>
        <v>0</v>
      </c>
      <c r="O45" s="16">
        <f t="shared" ref="O45:X46" si="32">SUM(O46:O46)</f>
        <v>8500</v>
      </c>
      <c r="P45" s="16">
        <f t="shared" si="32"/>
        <v>8500</v>
      </c>
      <c r="Q45" s="16">
        <f t="shared" si="32"/>
        <v>0</v>
      </c>
      <c r="R45" s="16">
        <f t="shared" si="32"/>
        <v>0</v>
      </c>
      <c r="S45" s="16">
        <f t="shared" si="32"/>
        <v>0</v>
      </c>
      <c r="T45" s="16">
        <f t="shared" si="32"/>
        <v>0</v>
      </c>
      <c r="U45" s="16">
        <f t="shared" si="32"/>
        <v>0</v>
      </c>
      <c r="V45" s="16">
        <f t="shared" si="32"/>
        <v>0</v>
      </c>
      <c r="W45" s="16">
        <f t="shared" si="32"/>
        <v>0</v>
      </c>
      <c r="X45" s="16">
        <f t="shared" si="32"/>
        <v>0</v>
      </c>
      <c r="Y45" s="15" t="s">
        <v>148</v>
      </c>
      <c r="Z45" s="17" t="s">
        <v>34</v>
      </c>
      <c r="AA45" s="18" t="s">
        <v>149</v>
      </c>
      <c r="AB45" s="18" t="s">
        <v>150</v>
      </c>
      <c r="AC45" s="19"/>
    </row>
    <row r="46" spans="1:29" ht="45" x14ac:dyDescent="0.25">
      <c r="A46" s="20" t="s">
        <v>151</v>
      </c>
      <c r="B46" s="21" t="s">
        <v>152</v>
      </c>
      <c r="C46" s="22" t="s">
        <v>28</v>
      </c>
      <c r="D46" s="22" t="s">
        <v>32</v>
      </c>
      <c r="E46" s="23">
        <f t="shared" si="31"/>
        <v>8500</v>
      </c>
      <c r="F46" s="23">
        <f t="shared" si="31"/>
        <v>8500</v>
      </c>
      <c r="G46" s="23">
        <f t="shared" si="31"/>
        <v>0</v>
      </c>
      <c r="H46" s="23">
        <f t="shared" si="31"/>
        <v>0</v>
      </c>
      <c r="I46" s="23">
        <f t="shared" si="31"/>
        <v>0</v>
      </c>
      <c r="J46" s="23">
        <f t="shared" si="31"/>
        <v>0</v>
      </c>
      <c r="K46" s="23">
        <f t="shared" si="31"/>
        <v>0</v>
      </c>
      <c r="L46" s="23">
        <f t="shared" si="31"/>
        <v>0</v>
      </c>
      <c r="M46" s="23">
        <f t="shared" si="31"/>
        <v>0</v>
      </c>
      <c r="N46" s="23">
        <f t="shared" si="31"/>
        <v>0</v>
      </c>
      <c r="O46" s="23">
        <f t="shared" si="32"/>
        <v>8500</v>
      </c>
      <c r="P46" s="23">
        <f t="shared" si="32"/>
        <v>8500</v>
      </c>
      <c r="Q46" s="23">
        <f t="shared" si="32"/>
        <v>0</v>
      </c>
      <c r="R46" s="23">
        <f t="shared" si="32"/>
        <v>0</v>
      </c>
      <c r="S46" s="23">
        <f t="shared" si="32"/>
        <v>0</v>
      </c>
      <c r="T46" s="23">
        <f t="shared" si="32"/>
        <v>0</v>
      </c>
      <c r="U46" s="23">
        <f t="shared" si="32"/>
        <v>0</v>
      </c>
      <c r="V46" s="23">
        <f t="shared" si="32"/>
        <v>0</v>
      </c>
      <c r="W46" s="23">
        <f t="shared" si="32"/>
        <v>0</v>
      </c>
      <c r="X46" s="23">
        <f t="shared" si="32"/>
        <v>0</v>
      </c>
      <c r="Y46" s="22" t="s">
        <v>153</v>
      </c>
      <c r="Z46" s="24" t="s">
        <v>40</v>
      </c>
      <c r="AA46" s="25" t="s">
        <v>54</v>
      </c>
      <c r="AB46" s="25" t="s">
        <v>54</v>
      </c>
      <c r="AC46" s="26"/>
    </row>
    <row r="47" spans="1:29" ht="69.75" x14ac:dyDescent="0.25">
      <c r="A47" s="27" t="s">
        <v>154</v>
      </c>
      <c r="B47" s="28" t="s">
        <v>155</v>
      </c>
      <c r="C47" s="29" t="s">
        <v>28</v>
      </c>
      <c r="D47" s="29" t="s">
        <v>156</v>
      </c>
      <c r="E47" s="30">
        <f>SUM(E48:E48)+8500</f>
        <v>8500</v>
      </c>
      <c r="F47" s="30">
        <f>SUM(F48:F48)+8500</f>
        <v>8500</v>
      </c>
      <c r="G47" s="30">
        <f t="shared" ref="G47:N47" si="33">SUM(G48:G48)</f>
        <v>0</v>
      </c>
      <c r="H47" s="30">
        <f t="shared" si="33"/>
        <v>0</v>
      </c>
      <c r="I47" s="30">
        <f t="shared" si="33"/>
        <v>0</v>
      </c>
      <c r="J47" s="30">
        <f t="shared" si="33"/>
        <v>0</v>
      </c>
      <c r="K47" s="30">
        <f t="shared" si="33"/>
        <v>0</v>
      </c>
      <c r="L47" s="30">
        <f t="shared" si="33"/>
        <v>0</v>
      </c>
      <c r="M47" s="30">
        <f t="shared" si="33"/>
        <v>0</v>
      </c>
      <c r="N47" s="30">
        <f t="shared" si="33"/>
        <v>0</v>
      </c>
      <c r="O47" s="30">
        <f>SUM(O48:O48)+8500</f>
        <v>8500</v>
      </c>
      <c r="P47" s="30">
        <f>SUM(P48:P48)+8500</f>
        <v>8500</v>
      </c>
      <c r="Q47" s="30">
        <f t="shared" ref="Q47:X47" si="34">SUM(Q48:Q48)</f>
        <v>0</v>
      </c>
      <c r="R47" s="30">
        <f t="shared" si="34"/>
        <v>0</v>
      </c>
      <c r="S47" s="30">
        <f t="shared" si="34"/>
        <v>0</v>
      </c>
      <c r="T47" s="30">
        <f t="shared" si="34"/>
        <v>0</v>
      </c>
      <c r="U47" s="30">
        <f t="shared" si="34"/>
        <v>0</v>
      </c>
      <c r="V47" s="30">
        <f t="shared" si="34"/>
        <v>0</v>
      </c>
      <c r="W47" s="30">
        <f t="shared" si="34"/>
        <v>0</v>
      </c>
      <c r="X47" s="30">
        <f t="shared" si="34"/>
        <v>0</v>
      </c>
      <c r="Y47" s="29" t="s">
        <v>157</v>
      </c>
      <c r="Z47" s="31" t="s">
        <v>40</v>
      </c>
      <c r="AA47" s="32" t="s">
        <v>54</v>
      </c>
      <c r="AB47" s="32" t="s">
        <v>54</v>
      </c>
      <c r="AC47" s="33"/>
    </row>
    <row r="48" spans="1:29" ht="69.75" x14ac:dyDescent="0.25">
      <c r="A48" s="34" t="s">
        <v>158</v>
      </c>
      <c r="B48" s="35" t="s">
        <v>159</v>
      </c>
      <c r="C48" s="36"/>
      <c r="D48" s="36"/>
      <c r="E48" s="37">
        <v>0</v>
      </c>
      <c r="F48" s="37">
        <v>0</v>
      </c>
      <c r="G48" s="37">
        <v>0</v>
      </c>
      <c r="H48" s="37">
        <v>0</v>
      </c>
      <c r="I48" s="37">
        <v>0</v>
      </c>
      <c r="J48" s="37">
        <v>0</v>
      </c>
      <c r="K48" s="37">
        <v>0</v>
      </c>
      <c r="L48" s="37">
        <v>0</v>
      </c>
      <c r="M48" s="37">
        <v>0</v>
      </c>
      <c r="N48" s="37">
        <v>0</v>
      </c>
      <c r="O48" s="37">
        <v>0</v>
      </c>
      <c r="P48" s="37">
        <v>0</v>
      </c>
      <c r="Q48" s="37">
        <v>0</v>
      </c>
      <c r="R48" s="37">
        <v>0</v>
      </c>
      <c r="S48" s="37">
        <v>0</v>
      </c>
      <c r="T48" s="37">
        <v>0</v>
      </c>
      <c r="U48" s="37">
        <v>0</v>
      </c>
      <c r="V48" s="37">
        <v>0</v>
      </c>
      <c r="W48" s="37">
        <v>0</v>
      </c>
      <c r="X48" s="37">
        <v>0</v>
      </c>
      <c r="Y48" s="36"/>
      <c r="Z48" s="38"/>
      <c r="AA48" s="39"/>
      <c r="AB48" s="39"/>
      <c r="AC48" s="40"/>
    </row>
    <row r="49" spans="1:29" ht="45" x14ac:dyDescent="0.25">
      <c r="A49" s="13" t="s">
        <v>160</v>
      </c>
      <c r="B49" s="14" t="s">
        <v>161</v>
      </c>
      <c r="C49" s="15" t="s">
        <v>28</v>
      </c>
      <c r="D49" s="15" t="s">
        <v>32</v>
      </c>
      <c r="E49" s="16">
        <f t="shared" ref="E49:N50" si="35">SUM(E50:E50)</f>
        <v>60000</v>
      </c>
      <c r="F49" s="16">
        <f t="shared" si="35"/>
        <v>60000</v>
      </c>
      <c r="G49" s="16">
        <f t="shared" si="35"/>
        <v>0</v>
      </c>
      <c r="H49" s="16">
        <f t="shared" si="35"/>
        <v>0</v>
      </c>
      <c r="I49" s="16">
        <f t="shared" si="35"/>
        <v>0</v>
      </c>
      <c r="J49" s="16">
        <f t="shared" si="35"/>
        <v>0</v>
      </c>
      <c r="K49" s="16">
        <f t="shared" si="35"/>
        <v>0</v>
      </c>
      <c r="L49" s="16">
        <f t="shared" si="35"/>
        <v>0</v>
      </c>
      <c r="M49" s="16">
        <f t="shared" si="35"/>
        <v>0</v>
      </c>
      <c r="N49" s="16">
        <f t="shared" si="35"/>
        <v>0</v>
      </c>
      <c r="O49" s="16">
        <f t="shared" ref="O49:X50" si="36">SUM(O50:O50)</f>
        <v>60000</v>
      </c>
      <c r="P49" s="16">
        <f t="shared" si="36"/>
        <v>60000</v>
      </c>
      <c r="Q49" s="16">
        <f t="shared" si="36"/>
        <v>0</v>
      </c>
      <c r="R49" s="16">
        <f t="shared" si="36"/>
        <v>0</v>
      </c>
      <c r="S49" s="16">
        <f t="shared" si="36"/>
        <v>0</v>
      </c>
      <c r="T49" s="16">
        <f t="shared" si="36"/>
        <v>0</v>
      </c>
      <c r="U49" s="16">
        <f t="shared" si="36"/>
        <v>0</v>
      </c>
      <c r="V49" s="16">
        <f t="shared" si="36"/>
        <v>0</v>
      </c>
      <c r="W49" s="16">
        <f t="shared" si="36"/>
        <v>0</v>
      </c>
      <c r="X49" s="16">
        <f t="shared" si="36"/>
        <v>0</v>
      </c>
      <c r="Y49" s="15" t="s">
        <v>162</v>
      </c>
      <c r="Z49" s="17" t="s">
        <v>34</v>
      </c>
      <c r="AA49" s="18" t="s">
        <v>163</v>
      </c>
      <c r="AB49" s="18" t="s">
        <v>163</v>
      </c>
      <c r="AC49" s="19"/>
    </row>
    <row r="50" spans="1:29" ht="45" x14ac:dyDescent="0.25">
      <c r="A50" s="20" t="s">
        <v>164</v>
      </c>
      <c r="B50" s="21" t="s">
        <v>165</v>
      </c>
      <c r="C50" s="22" t="s">
        <v>28</v>
      </c>
      <c r="D50" s="22" t="s">
        <v>32</v>
      </c>
      <c r="E50" s="23">
        <f t="shared" si="35"/>
        <v>60000</v>
      </c>
      <c r="F50" s="23">
        <f t="shared" si="35"/>
        <v>60000</v>
      </c>
      <c r="G50" s="23">
        <f t="shared" si="35"/>
        <v>0</v>
      </c>
      <c r="H50" s="23">
        <f t="shared" si="35"/>
        <v>0</v>
      </c>
      <c r="I50" s="23">
        <f t="shared" si="35"/>
        <v>0</v>
      </c>
      <c r="J50" s="23">
        <f t="shared" si="35"/>
        <v>0</v>
      </c>
      <c r="K50" s="23">
        <f t="shared" si="35"/>
        <v>0</v>
      </c>
      <c r="L50" s="23">
        <f t="shared" si="35"/>
        <v>0</v>
      </c>
      <c r="M50" s="23">
        <f t="shared" si="35"/>
        <v>0</v>
      </c>
      <c r="N50" s="23">
        <f t="shared" si="35"/>
        <v>0</v>
      </c>
      <c r="O50" s="23">
        <f t="shared" si="36"/>
        <v>60000</v>
      </c>
      <c r="P50" s="23">
        <f t="shared" si="36"/>
        <v>60000</v>
      </c>
      <c r="Q50" s="23">
        <f t="shared" si="36"/>
        <v>0</v>
      </c>
      <c r="R50" s="23">
        <f t="shared" si="36"/>
        <v>0</v>
      </c>
      <c r="S50" s="23">
        <f t="shared" si="36"/>
        <v>0</v>
      </c>
      <c r="T50" s="23">
        <f t="shared" si="36"/>
        <v>0</v>
      </c>
      <c r="U50" s="23">
        <f t="shared" si="36"/>
        <v>0</v>
      </c>
      <c r="V50" s="23">
        <f t="shared" si="36"/>
        <v>0</v>
      </c>
      <c r="W50" s="23">
        <f t="shared" si="36"/>
        <v>0</v>
      </c>
      <c r="X50" s="23">
        <f t="shared" si="36"/>
        <v>0</v>
      </c>
      <c r="Y50" s="22" t="s">
        <v>153</v>
      </c>
      <c r="Z50" s="24" t="s">
        <v>40</v>
      </c>
      <c r="AA50" s="25" t="s">
        <v>166</v>
      </c>
      <c r="AB50" s="25" t="s">
        <v>166</v>
      </c>
      <c r="AC50" s="26"/>
    </row>
    <row r="51" spans="1:29" ht="46.5" x14ac:dyDescent="0.25">
      <c r="A51" s="27" t="s">
        <v>167</v>
      </c>
      <c r="B51" s="28" t="s">
        <v>168</v>
      </c>
      <c r="C51" s="29" t="s">
        <v>28</v>
      </c>
      <c r="D51" s="29" t="s">
        <v>32</v>
      </c>
      <c r="E51" s="30">
        <f>SUM(E52:E52)+60000</f>
        <v>60000</v>
      </c>
      <c r="F51" s="30">
        <f>SUM(F52:F52)+60000</f>
        <v>60000</v>
      </c>
      <c r="G51" s="30">
        <f t="shared" ref="G51:N51" si="37">SUM(G52:G52)</f>
        <v>0</v>
      </c>
      <c r="H51" s="30">
        <f t="shared" si="37"/>
        <v>0</v>
      </c>
      <c r="I51" s="30">
        <f t="shared" si="37"/>
        <v>0</v>
      </c>
      <c r="J51" s="30">
        <f t="shared" si="37"/>
        <v>0</v>
      </c>
      <c r="K51" s="30">
        <f t="shared" si="37"/>
        <v>0</v>
      </c>
      <c r="L51" s="30">
        <f t="shared" si="37"/>
        <v>0</v>
      </c>
      <c r="M51" s="30">
        <f t="shared" si="37"/>
        <v>0</v>
      </c>
      <c r="N51" s="30">
        <f t="shared" si="37"/>
        <v>0</v>
      </c>
      <c r="O51" s="30">
        <f>SUM(O52:O52)+60000</f>
        <v>60000</v>
      </c>
      <c r="P51" s="30">
        <f>SUM(P52:P52)+60000</f>
        <v>60000</v>
      </c>
      <c r="Q51" s="30">
        <f t="shared" ref="Q51:X51" si="38">SUM(Q52:Q52)</f>
        <v>0</v>
      </c>
      <c r="R51" s="30">
        <f t="shared" si="38"/>
        <v>0</v>
      </c>
      <c r="S51" s="30">
        <f t="shared" si="38"/>
        <v>0</v>
      </c>
      <c r="T51" s="30">
        <f t="shared" si="38"/>
        <v>0</v>
      </c>
      <c r="U51" s="30">
        <f t="shared" si="38"/>
        <v>0</v>
      </c>
      <c r="V51" s="30">
        <f t="shared" si="38"/>
        <v>0</v>
      </c>
      <c r="W51" s="30">
        <f t="shared" si="38"/>
        <v>0</v>
      </c>
      <c r="X51" s="30">
        <f t="shared" si="38"/>
        <v>0</v>
      </c>
      <c r="Y51" s="29" t="s">
        <v>169</v>
      </c>
      <c r="Z51" s="31" t="s">
        <v>40</v>
      </c>
      <c r="AA51" s="32" t="s">
        <v>67</v>
      </c>
      <c r="AB51" s="32" t="s">
        <v>67</v>
      </c>
      <c r="AC51" s="33"/>
    </row>
    <row r="52" spans="1:29" ht="46.5" x14ac:dyDescent="0.25">
      <c r="A52" s="34" t="s">
        <v>170</v>
      </c>
      <c r="B52" s="35" t="s">
        <v>171</v>
      </c>
      <c r="C52" s="36"/>
      <c r="D52" s="36"/>
      <c r="E52" s="37">
        <v>0</v>
      </c>
      <c r="F52" s="37">
        <v>0</v>
      </c>
      <c r="G52" s="37">
        <v>0</v>
      </c>
      <c r="H52" s="37">
        <v>0</v>
      </c>
      <c r="I52" s="37">
        <v>0</v>
      </c>
      <c r="J52" s="37">
        <v>0</v>
      </c>
      <c r="K52" s="37">
        <v>0</v>
      </c>
      <c r="L52" s="37">
        <v>0</v>
      </c>
      <c r="M52" s="37">
        <v>0</v>
      </c>
      <c r="N52" s="37">
        <v>0</v>
      </c>
      <c r="O52" s="37">
        <v>0</v>
      </c>
      <c r="P52" s="37">
        <v>0</v>
      </c>
      <c r="Q52" s="37">
        <v>0</v>
      </c>
      <c r="R52" s="37">
        <v>0</v>
      </c>
      <c r="S52" s="37">
        <v>0</v>
      </c>
      <c r="T52" s="37">
        <v>0</v>
      </c>
      <c r="U52" s="37">
        <v>0</v>
      </c>
      <c r="V52" s="37">
        <v>0</v>
      </c>
      <c r="W52" s="37">
        <v>0</v>
      </c>
      <c r="X52" s="37">
        <v>0</v>
      </c>
      <c r="Y52" s="36"/>
      <c r="Z52" s="38"/>
      <c r="AA52" s="39"/>
      <c r="AB52" s="39"/>
      <c r="AC52" s="40"/>
    </row>
    <row r="53" spans="1:29" ht="67.5" x14ac:dyDescent="0.25">
      <c r="A53" s="13" t="s">
        <v>172</v>
      </c>
      <c r="B53" s="14" t="s">
        <v>173</v>
      </c>
      <c r="C53" s="15" t="s">
        <v>174</v>
      </c>
      <c r="D53" s="15"/>
      <c r="E53" s="16">
        <f t="shared" ref="E53:X53" si="39">E54+E60</f>
        <v>62623.69</v>
      </c>
      <c r="F53" s="16">
        <f t="shared" si="39"/>
        <v>62623.69</v>
      </c>
      <c r="G53" s="16">
        <f t="shared" si="39"/>
        <v>0</v>
      </c>
      <c r="H53" s="16">
        <f t="shared" si="39"/>
        <v>0</v>
      </c>
      <c r="I53" s="16">
        <f t="shared" si="39"/>
        <v>0</v>
      </c>
      <c r="J53" s="16">
        <f t="shared" si="39"/>
        <v>0</v>
      </c>
      <c r="K53" s="16">
        <f t="shared" si="39"/>
        <v>0</v>
      </c>
      <c r="L53" s="16">
        <f t="shared" si="39"/>
        <v>0</v>
      </c>
      <c r="M53" s="16">
        <f t="shared" si="39"/>
        <v>0</v>
      </c>
      <c r="N53" s="16">
        <f t="shared" si="39"/>
        <v>0</v>
      </c>
      <c r="O53" s="16">
        <f t="shared" si="39"/>
        <v>61571.25</v>
      </c>
      <c r="P53" s="16">
        <f t="shared" si="39"/>
        <v>61571.25</v>
      </c>
      <c r="Q53" s="16">
        <f t="shared" si="39"/>
        <v>0</v>
      </c>
      <c r="R53" s="16">
        <f t="shared" si="39"/>
        <v>0</v>
      </c>
      <c r="S53" s="16">
        <f t="shared" si="39"/>
        <v>0</v>
      </c>
      <c r="T53" s="16">
        <f t="shared" si="39"/>
        <v>0</v>
      </c>
      <c r="U53" s="16">
        <f t="shared" si="39"/>
        <v>0</v>
      </c>
      <c r="V53" s="16">
        <f t="shared" si="39"/>
        <v>0</v>
      </c>
      <c r="W53" s="16">
        <f t="shared" si="39"/>
        <v>0</v>
      </c>
      <c r="X53" s="16">
        <f t="shared" si="39"/>
        <v>0</v>
      </c>
      <c r="Y53" s="15" t="s">
        <v>175</v>
      </c>
      <c r="Z53" s="17" t="s">
        <v>34</v>
      </c>
      <c r="AA53" s="18" t="s">
        <v>176</v>
      </c>
      <c r="AB53" s="18" t="s">
        <v>177</v>
      </c>
      <c r="AC53" s="19" t="s">
        <v>178</v>
      </c>
    </row>
    <row r="54" spans="1:29" ht="45" x14ac:dyDescent="0.25">
      <c r="A54" s="20" t="s">
        <v>179</v>
      </c>
      <c r="B54" s="21" t="s">
        <v>180</v>
      </c>
      <c r="C54" s="22" t="s">
        <v>174</v>
      </c>
      <c r="D54" s="22"/>
      <c r="E54" s="23">
        <f t="shared" ref="E54:X54" si="40">E55+E58</f>
        <v>31679.69</v>
      </c>
      <c r="F54" s="23">
        <f t="shared" si="40"/>
        <v>31679.69</v>
      </c>
      <c r="G54" s="23">
        <f t="shared" si="40"/>
        <v>0</v>
      </c>
      <c r="H54" s="23">
        <f t="shared" si="40"/>
        <v>0</v>
      </c>
      <c r="I54" s="23">
        <f t="shared" si="40"/>
        <v>0</v>
      </c>
      <c r="J54" s="23">
        <f t="shared" si="40"/>
        <v>0</v>
      </c>
      <c r="K54" s="23">
        <f t="shared" si="40"/>
        <v>0</v>
      </c>
      <c r="L54" s="23">
        <f t="shared" si="40"/>
        <v>0</v>
      </c>
      <c r="M54" s="23">
        <f t="shared" si="40"/>
        <v>0</v>
      </c>
      <c r="N54" s="23">
        <f t="shared" si="40"/>
        <v>0</v>
      </c>
      <c r="O54" s="23">
        <f t="shared" si="40"/>
        <v>30627.25</v>
      </c>
      <c r="P54" s="23">
        <f t="shared" si="40"/>
        <v>30627.25</v>
      </c>
      <c r="Q54" s="23">
        <f t="shared" si="40"/>
        <v>0</v>
      </c>
      <c r="R54" s="23">
        <f t="shared" si="40"/>
        <v>0</v>
      </c>
      <c r="S54" s="23">
        <f t="shared" si="40"/>
        <v>0</v>
      </c>
      <c r="T54" s="23">
        <f t="shared" si="40"/>
        <v>0</v>
      </c>
      <c r="U54" s="23">
        <f t="shared" si="40"/>
        <v>0</v>
      </c>
      <c r="V54" s="23">
        <f t="shared" si="40"/>
        <v>0</v>
      </c>
      <c r="W54" s="23">
        <f t="shared" si="40"/>
        <v>0</v>
      </c>
      <c r="X54" s="23">
        <f t="shared" si="40"/>
        <v>0</v>
      </c>
      <c r="Y54" s="22" t="s">
        <v>153</v>
      </c>
      <c r="Z54" s="24" t="s">
        <v>40</v>
      </c>
      <c r="AA54" s="25" t="s">
        <v>54</v>
      </c>
      <c r="AB54" s="25" t="s">
        <v>54</v>
      </c>
      <c r="AC54" s="26"/>
    </row>
    <row r="55" spans="1:29" ht="93" x14ac:dyDescent="0.25">
      <c r="A55" s="27" t="s">
        <v>181</v>
      </c>
      <c r="B55" s="28" t="s">
        <v>182</v>
      </c>
      <c r="C55" s="29" t="s">
        <v>174</v>
      </c>
      <c r="D55" s="29"/>
      <c r="E55" s="30">
        <f>SUM(E56:E57)+21679.69</f>
        <v>21679.69</v>
      </c>
      <c r="F55" s="30">
        <f>SUM(F56:F57)+21679.69</f>
        <v>21679.69</v>
      </c>
      <c r="G55" s="30">
        <f t="shared" ref="G55:N55" si="41">SUM(G56:G57)</f>
        <v>0</v>
      </c>
      <c r="H55" s="30">
        <f t="shared" si="41"/>
        <v>0</v>
      </c>
      <c r="I55" s="30">
        <f t="shared" si="41"/>
        <v>0</v>
      </c>
      <c r="J55" s="30">
        <f t="shared" si="41"/>
        <v>0</v>
      </c>
      <c r="K55" s="30">
        <f t="shared" si="41"/>
        <v>0</v>
      </c>
      <c r="L55" s="30">
        <f t="shared" si="41"/>
        <v>0</v>
      </c>
      <c r="M55" s="30">
        <f t="shared" si="41"/>
        <v>0</v>
      </c>
      <c r="N55" s="30">
        <f t="shared" si="41"/>
        <v>0</v>
      </c>
      <c r="O55" s="30">
        <f>SUM(O56:O57)+21551.25</f>
        <v>21551.25</v>
      </c>
      <c r="P55" s="30">
        <f>SUM(P56:P57)+21551.25</f>
        <v>21551.25</v>
      </c>
      <c r="Q55" s="30">
        <f t="shared" ref="Q55:X55" si="42">SUM(Q56:Q57)</f>
        <v>0</v>
      </c>
      <c r="R55" s="30">
        <f t="shared" si="42"/>
        <v>0</v>
      </c>
      <c r="S55" s="30">
        <f t="shared" si="42"/>
        <v>0</v>
      </c>
      <c r="T55" s="30">
        <f t="shared" si="42"/>
        <v>0</v>
      </c>
      <c r="U55" s="30">
        <f t="shared" si="42"/>
        <v>0</v>
      </c>
      <c r="V55" s="30">
        <f t="shared" si="42"/>
        <v>0</v>
      </c>
      <c r="W55" s="30">
        <f t="shared" si="42"/>
        <v>0</v>
      </c>
      <c r="X55" s="30">
        <f t="shared" si="42"/>
        <v>0</v>
      </c>
      <c r="Y55" s="29" t="s">
        <v>183</v>
      </c>
      <c r="Z55" s="31" t="s">
        <v>40</v>
      </c>
      <c r="AA55" s="32" t="s">
        <v>177</v>
      </c>
      <c r="AB55" s="32" t="s">
        <v>118</v>
      </c>
      <c r="AC55" s="33" t="s">
        <v>184</v>
      </c>
    </row>
    <row r="56" spans="1:29" ht="93" x14ac:dyDescent="0.25">
      <c r="A56" s="41"/>
      <c r="B56" s="42"/>
      <c r="C56" s="43"/>
      <c r="D56" s="43"/>
      <c r="E56" s="44">
        <v>0</v>
      </c>
      <c r="F56" s="44">
        <v>0</v>
      </c>
      <c r="G56" s="44">
        <v>0</v>
      </c>
      <c r="H56" s="44">
        <v>0</v>
      </c>
      <c r="I56" s="44">
        <v>0</v>
      </c>
      <c r="J56" s="44">
        <v>0</v>
      </c>
      <c r="K56" s="44">
        <v>0</v>
      </c>
      <c r="L56" s="44">
        <v>0</v>
      </c>
      <c r="M56" s="44">
        <v>0</v>
      </c>
      <c r="N56" s="44">
        <v>0</v>
      </c>
      <c r="O56" s="44">
        <v>0</v>
      </c>
      <c r="P56" s="44">
        <v>0</v>
      </c>
      <c r="Q56" s="44">
        <v>0</v>
      </c>
      <c r="R56" s="44">
        <v>0</v>
      </c>
      <c r="S56" s="44">
        <v>0</v>
      </c>
      <c r="T56" s="44">
        <v>0</v>
      </c>
      <c r="U56" s="44">
        <v>0</v>
      </c>
      <c r="V56" s="44">
        <v>0</v>
      </c>
      <c r="W56" s="44">
        <v>0</v>
      </c>
      <c r="X56" s="44">
        <v>0</v>
      </c>
      <c r="Y56" s="43" t="s">
        <v>185</v>
      </c>
      <c r="Z56" s="45" t="s">
        <v>40</v>
      </c>
      <c r="AA56" s="46" t="s">
        <v>186</v>
      </c>
      <c r="AB56" s="46" t="s">
        <v>73</v>
      </c>
      <c r="AC56" s="47" t="s">
        <v>187</v>
      </c>
    </row>
    <row r="57" spans="1:29" ht="116.25" x14ac:dyDescent="0.25">
      <c r="A57" s="34" t="s">
        <v>188</v>
      </c>
      <c r="B57" s="35" t="s">
        <v>189</v>
      </c>
      <c r="C57" s="36"/>
      <c r="D57" s="36"/>
      <c r="E57" s="37">
        <v>0</v>
      </c>
      <c r="F57" s="37">
        <v>0</v>
      </c>
      <c r="G57" s="37">
        <v>0</v>
      </c>
      <c r="H57" s="37">
        <v>0</v>
      </c>
      <c r="I57" s="37">
        <v>0</v>
      </c>
      <c r="J57" s="37">
        <v>0</v>
      </c>
      <c r="K57" s="37">
        <v>0</v>
      </c>
      <c r="L57" s="37">
        <v>0</v>
      </c>
      <c r="M57" s="37">
        <v>0</v>
      </c>
      <c r="N57" s="37">
        <v>0</v>
      </c>
      <c r="O57" s="37">
        <v>0</v>
      </c>
      <c r="P57" s="37">
        <v>0</v>
      </c>
      <c r="Q57" s="37">
        <v>0</v>
      </c>
      <c r="R57" s="37">
        <v>0</v>
      </c>
      <c r="S57" s="37">
        <v>0</v>
      </c>
      <c r="T57" s="37">
        <v>0</v>
      </c>
      <c r="U57" s="37">
        <v>0</v>
      </c>
      <c r="V57" s="37">
        <v>0</v>
      </c>
      <c r="W57" s="37">
        <v>0</v>
      </c>
      <c r="X57" s="37">
        <v>0</v>
      </c>
      <c r="Y57" s="36"/>
      <c r="Z57" s="38"/>
      <c r="AA57" s="39"/>
      <c r="AB57" s="39"/>
      <c r="AC57" s="40"/>
    </row>
    <row r="58" spans="1:29" ht="46.5" x14ac:dyDescent="0.25">
      <c r="A58" s="27" t="s">
        <v>190</v>
      </c>
      <c r="B58" s="28" t="s">
        <v>191</v>
      </c>
      <c r="C58" s="29" t="s">
        <v>174</v>
      </c>
      <c r="D58" s="29"/>
      <c r="E58" s="30">
        <f>SUM(E59:E59)+10000</f>
        <v>10000</v>
      </c>
      <c r="F58" s="30">
        <f>SUM(F59:F59)+10000</f>
        <v>10000</v>
      </c>
      <c r="G58" s="30">
        <f t="shared" ref="G58:N58" si="43">SUM(G59:G59)</f>
        <v>0</v>
      </c>
      <c r="H58" s="30">
        <f t="shared" si="43"/>
        <v>0</v>
      </c>
      <c r="I58" s="30">
        <f t="shared" si="43"/>
        <v>0</v>
      </c>
      <c r="J58" s="30">
        <f t="shared" si="43"/>
        <v>0</v>
      </c>
      <c r="K58" s="30">
        <f t="shared" si="43"/>
        <v>0</v>
      </c>
      <c r="L58" s="30">
        <f t="shared" si="43"/>
        <v>0</v>
      </c>
      <c r="M58" s="30">
        <f t="shared" si="43"/>
        <v>0</v>
      </c>
      <c r="N58" s="30">
        <f t="shared" si="43"/>
        <v>0</v>
      </c>
      <c r="O58" s="30">
        <f>SUM(O59:O59)+9076</f>
        <v>9076</v>
      </c>
      <c r="P58" s="30">
        <f>SUM(P59:P59)+9076</f>
        <v>9076</v>
      </c>
      <c r="Q58" s="30">
        <f t="shared" ref="Q58:X58" si="44">SUM(Q59:Q59)</f>
        <v>0</v>
      </c>
      <c r="R58" s="30">
        <f t="shared" si="44"/>
        <v>0</v>
      </c>
      <c r="S58" s="30">
        <f t="shared" si="44"/>
        <v>0</v>
      </c>
      <c r="T58" s="30">
        <f t="shared" si="44"/>
        <v>0</v>
      </c>
      <c r="U58" s="30">
        <f t="shared" si="44"/>
        <v>0</v>
      </c>
      <c r="V58" s="30">
        <f t="shared" si="44"/>
        <v>0</v>
      </c>
      <c r="W58" s="30">
        <f t="shared" si="44"/>
        <v>0</v>
      </c>
      <c r="X58" s="30">
        <f t="shared" si="44"/>
        <v>0</v>
      </c>
      <c r="Y58" s="29" t="s">
        <v>192</v>
      </c>
      <c r="Z58" s="31" t="s">
        <v>40</v>
      </c>
      <c r="AA58" s="32" t="s">
        <v>106</v>
      </c>
      <c r="AB58" s="32" t="s">
        <v>100</v>
      </c>
      <c r="AC58" s="33" t="s">
        <v>193</v>
      </c>
    </row>
    <row r="59" spans="1:29" ht="93" x14ac:dyDescent="0.25">
      <c r="A59" s="34" t="s">
        <v>194</v>
      </c>
      <c r="B59" s="35" t="s">
        <v>195</v>
      </c>
      <c r="C59" s="36"/>
      <c r="D59" s="36"/>
      <c r="E59" s="37">
        <v>0</v>
      </c>
      <c r="F59" s="37">
        <v>0</v>
      </c>
      <c r="G59" s="37">
        <v>0</v>
      </c>
      <c r="H59" s="37">
        <v>0</v>
      </c>
      <c r="I59" s="37">
        <v>0</v>
      </c>
      <c r="J59" s="37">
        <v>0</v>
      </c>
      <c r="K59" s="37">
        <v>0</v>
      </c>
      <c r="L59" s="37">
        <v>0</v>
      </c>
      <c r="M59" s="37">
        <v>0</v>
      </c>
      <c r="N59" s="37">
        <v>0</v>
      </c>
      <c r="O59" s="37">
        <v>0</v>
      </c>
      <c r="P59" s="37">
        <v>0</v>
      </c>
      <c r="Q59" s="37">
        <v>0</v>
      </c>
      <c r="R59" s="37">
        <v>0</v>
      </c>
      <c r="S59" s="37">
        <v>0</v>
      </c>
      <c r="T59" s="37">
        <v>0</v>
      </c>
      <c r="U59" s="37">
        <v>0</v>
      </c>
      <c r="V59" s="37">
        <v>0</v>
      </c>
      <c r="W59" s="37">
        <v>0</v>
      </c>
      <c r="X59" s="37">
        <v>0</v>
      </c>
      <c r="Y59" s="36"/>
      <c r="Z59" s="38"/>
      <c r="AA59" s="39"/>
      <c r="AB59" s="39"/>
      <c r="AC59" s="40"/>
    </row>
    <row r="60" spans="1:29" ht="67.5" x14ac:dyDescent="0.25">
      <c r="A60" s="20" t="s">
        <v>196</v>
      </c>
      <c r="B60" s="21" t="s">
        <v>197</v>
      </c>
      <c r="C60" s="22" t="s">
        <v>174</v>
      </c>
      <c r="D60" s="22"/>
      <c r="E60" s="23">
        <f t="shared" ref="E60:X60" si="45">SUM(E61:E61)</f>
        <v>30944</v>
      </c>
      <c r="F60" s="23">
        <f t="shared" si="45"/>
        <v>30944</v>
      </c>
      <c r="G60" s="23">
        <f t="shared" si="45"/>
        <v>0</v>
      </c>
      <c r="H60" s="23">
        <f t="shared" si="45"/>
        <v>0</v>
      </c>
      <c r="I60" s="23">
        <f t="shared" si="45"/>
        <v>0</v>
      </c>
      <c r="J60" s="23">
        <f t="shared" si="45"/>
        <v>0</v>
      </c>
      <c r="K60" s="23">
        <f t="shared" si="45"/>
        <v>0</v>
      </c>
      <c r="L60" s="23">
        <f t="shared" si="45"/>
        <v>0</v>
      </c>
      <c r="M60" s="23">
        <f t="shared" si="45"/>
        <v>0</v>
      </c>
      <c r="N60" s="23">
        <f t="shared" si="45"/>
        <v>0</v>
      </c>
      <c r="O60" s="23">
        <f t="shared" si="45"/>
        <v>30944</v>
      </c>
      <c r="P60" s="23">
        <f t="shared" si="45"/>
        <v>30944</v>
      </c>
      <c r="Q60" s="23">
        <f t="shared" si="45"/>
        <v>0</v>
      </c>
      <c r="R60" s="23">
        <f t="shared" si="45"/>
        <v>0</v>
      </c>
      <c r="S60" s="23">
        <f t="shared" si="45"/>
        <v>0</v>
      </c>
      <c r="T60" s="23">
        <f t="shared" si="45"/>
        <v>0</v>
      </c>
      <c r="U60" s="23">
        <f t="shared" si="45"/>
        <v>0</v>
      </c>
      <c r="V60" s="23">
        <f t="shared" si="45"/>
        <v>0</v>
      </c>
      <c r="W60" s="23">
        <f t="shared" si="45"/>
        <v>0</v>
      </c>
      <c r="X60" s="23">
        <f t="shared" si="45"/>
        <v>0</v>
      </c>
      <c r="Y60" s="22" t="s">
        <v>198</v>
      </c>
      <c r="Z60" s="24" t="s">
        <v>40</v>
      </c>
      <c r="AA60" s="25" t="s">
        <v>41</v>
      </c>
      <c r="AB60" s="25" t="s">
        <v>41</v>
      </c>
      <c r="AC60" s="26"/>
    </row>
    <row r="61" spans="1:29" ht="69.75" x14ac:dyDescent="0.25">
      <c r="A61" s="27" t="s">
        <v>199</v>
      </c>
      <c r="B61" s="28" t="s">
        <v>200</v>
      </c>
      <c r="C61" s="29" t="s">
        <v>174</v>
      </c>
      <c r="D61" s="29"/>
      <c r="E61" s="30">
        <f>SUM(E62:E65)+30944</f>
        <v>30944</v>
      </c>
      <c r="F61" s="30">
        <f>SUM(F62:F65)+30944</f>
        <v>30944</v>
      </c>
      <c r="G61" s="30">
        <f t="shared" ref="G61:N61" si="46">SUM(G62:G65)</f>
        <v>0</v>
      </c>
      <c r="H61" s="30">
        <f t="shared" si="46"/>
        <v>0</v>
      </c>
      <c r="I61" s="30">
        <f t="shared" si="46"/>
        <v>0</v>
      </c>
      <c r="J61" s="30">
        <f t="shared" si="46"/>
        <v>0</v>
      </c>
      <c r="K61" s="30">
        <f t="shared" si="46"/>
        <v>0</v>
      </c>
      <c r="L61" s="30">
        <f t="shared" si="46"/>
        <v>0</v>
      </c>
      <c r="M61" s="30">
        <f t="shared" si="46"/>
        <v>0</v>
      </c>
      <c r="N61" s="30">
        <f t="shared" si="46"/>
        <v>0</v>
      </c>
      <c r="O61" s="30">
        <f>SUM(O62:O65)+30944</f>
        <v>30944</v>
      </c>
      <c r="P61" s="30">
        <f>SUM(P62:P65)+30944</f>
        <v>30944</v>
      </c>
      <c r="Q61" s="30">
        <f t="shared" ref="Q61:X61" si="47">SUM(Q62:Q65)</f>
        <v>0</v>
      </c>
      <c r="R61" s="30">
        <f t="shared" si="47"/>
        <v>0</v>
      </c>
      <c r="S61" s="30">
        <f t="shared" si="47"/>
        <v>0</v>
      </c>
      <c r="T61" s="30">
        <f t="shared" si="47"/>
        <v>0</v>
      </c>
      <c r="U61" s="30">
        <f t="shared" si="47"/>
        <v>0</v>
      </c>
      <c r="V61" s="30">
        <f t="shared" si="47"/>
        <v>0</v>
      </c>
      <c r="W61" s="30">
        <f t="shared" si="47"/>
        <v>0</v>
      </c>
      <c r="X61" s="30">
        <f t="shared" si="47"/>
        <v>0</v>
      </c>
      <c r="Y61" s="29" t="s">
        <v>201</v>
      </c>
      <c r="Z61" s="31" t="s">
        <v>40</v>
      </c>
      <c r="AA61" s="32" t="s">
        <v>54</v>
      </c>
      <c r="AB61" s="32" t="s">
        <v>54</v>
      </c>
      <c r="AC61" s="33"/>
    </row>
    <row r="62" spans="1:29" ht="46.5" x14ac:dyDescent="0.25">
      <c r="A62" s="41"/>
      <c r="B62" s="42"/>
      <c r="C62" s="43"/>
      <c r="D62" s="43"/>
      <c r="E62" s="44">
        <v>0</v>
      </c>
      <c r="F62" s="44">
        <v>0</v>
      </c>
      <c r="G62" s="44">
        <v>0</v>
      </c>
      <c r="H62" s="44">
        <v>0</v>
      </c>
      <c r="I62" s="44">
        <v>0</v>
      </c>
      <c r="J62" s="44">
        <v>0</v>
      </c>
      <c r="K62" s="44">
        <v>0</v>
      </c>
      <c r="L62" s="44">
        <v>0</v>
      </c>
      <c r="M62" s="44">
        <v>0</v>
      </c>
      <c r="N62" s="44">
        <v>0</v>
      </c>
      <c r="O62" s="44">
        <v>0</v>
      </c>
      <c r="P62" s="44">
        <v>0</v>
      </c>
      <c r="Q62" s="44">
        <v>0</v>
      </c>
      <c r="R62" s="44">
        <v>0</v>
      </c>
      <c r="S62" s="44">
        <v>0</v>
      </c>
      <c r="T62" s="44">
        <v>0</v>
      </c>
      <c r="U62" s="44">
        <v>0</v>
      </c>
      <c r="V62" s="44">
        <v>0</v>
      </c>
      <c r="W62" s="44">
        <v>0</v>
      </c>
      <c r="X62" s="44">
        <v>0</v>
      </c>
      <c r="Y62" s="43" t="s">
        <v>202</v>
      </c>
      <c r="Z62" s="45" t="s">
        <v>40</v>
      </c>
      <c r="AA62" s="46" t="s">
        <v>70</v>
      </c>
      <c r="AB62" s="46" t="s">
        <v>70</v>
      </c>
      <c r="AC62" s="47"/>
    </row>
    <row r="63" spans="1:29" ht="46.5" x14ac:dyDescent="0.25">
      <c r="A63" s="41"/>
      <c r="B63" s="42"/>
      <c r="C63" s="43"/>
      <c r="D63" s="43"/>
      <c r="E63" s="44">
        <v>0</v>
      </c>
      <c r="F63" s="44">
        <v>0</v>
      </c>
      <c r="G63" s="44">
        <v>0</v>
      </c>
      <c r="H63" s="44">
        <v>0</v>
      </c>
      <c r="I63" s="44">
        <v>0</v>
      </c>
      <c r="J63" s="44">
        <v>0</v>
      </c>
      <c r="K63" s="44">
        <v>0</v>
      </c>
      <c r="L63" s="44">
        <v>0</v>
      </c>
      <c r="M63" s="44">
        <v>0</v>
      </c>
      <c r="N63" s="44">
        <v>0</v>
      </c>
      <c r="O63" s="44">
        <v>0</v>
      </c>
      <c r="P63" s="44">
        <v>0</v>
      </c>
      <c r="Q63" s="44">
        <v>0</v>
      </c>
      <c r="R63" s="44">
        <v>0</v>
      </c>
      <c r="S63" s="44">
        <v>0</v>
      </c>
      <c r="T63" s="44">
        <v>0</v>
      </c>
      <c r="U63" s="44">
        <v>0</v>
      </c>
      <c r="V63" s="44">
        <v>0</v>
      </c>
      <c r="W63" s="44">
        <v>0</v>
      </c>
      <c r="X63" s="44">
        <v>0</v>
      </c>
      <c r="Y63" s="43" t="s">
        <v>203</v>
      </c>
      <c r="Z63" s="45" t="s">
        <v>40</v>
      </c>
      <c r="AA63" s="46" t="s">
        <v>70</v>
      </c>
      <c r="AB63" s="46" t="s">
        <v>70</v>
      </c>
      <c r="AC63" s="47"/>
    </row>
    <row r="64" spans="1:29" ht="46.5" x14ac:dyDescent="0.25">
      <c r="A64" s="41"/>
      <c r="B64" s="42"/>
      <c r="C64" s="43"/>
      <c r="D64" s="43"/>
      <c r="E64" s="44">
        <v>0</v>
      </c>
      <c r="F64" s="44">
        <v>0</v>
      </c>
      <c r="G64" s="44">
        <v>0</v>
      </c>
      <c r="H64" s="44">
        <v>0</v>
      </c>
      <c r="I64" s="44">
        <v>0</v>
      </c>
      <c r="J64" s="44">
        <v>0</v>
      </c>
      <c r="K64" s="44">
        <v>0</v>
      </c>
      <c r="L64" s="44">
        <v>0</v>
      </c>
      <c r="M64" s="44">
        <v>0</v>
      </c>
      <c r="N64" s="44">
        <v>0</v>
      </c>
      <c r="O64" s="44">
        <v>0</v>
      </c>
      <c r="P64" s="44">
        <v>0</v>
      </c>
      <c r="Q64" s="44">
        <v>0</v>
      </c>
      <c r="R64" s="44">
        <v>0</v>
      </c>
      <c r="S64" s="44">
        <v>0</v>
      </c>
      <c r="T64" s="44">
        <v>0</v>
      </c>
      <c r="U64" s="44">
        <v>0</v>
      </c>
      <c r="V64" s="44">
        <v>0</v>
      </c>
      <c r="W64" s="44">
        <v>0</v>
      </c>
      <c r="X64" s="44">
        <v>0</v>
      </c>
      <c r="Y64" s="43" t="s">
        <v>204</v>
      </c>
      <c r="Z64" s="45" t="s">
        <v>40</v>
      </c>
      <c r="AA64" s="46" t="s">
        <v>54</v>
      </c>
      <c r="AB64" s="46" t="s">
        <v>54</v>
      </c>
      <c r="AC64" s="47"/>
    </row>
    <row r="65" spans="1:29" ht="46.5" x14ac:dyDescent="0.25">
      <c r="A65" s="34" t="s">
        <v>205</v>
      </c>
      <c r="B65" s="35" t="s">
        <v>206</v>
      </c>
      <c r="C65" s="36"/>
      <c r="D65" s="36"/>
      <c r="E65" s="37">
        <v>0</v>
      </c>
      <c r="F65" s="37">
        <v>0</v>
      </c>
      <c r="G65" s="37">
        <v>0</v>
      </c>
      <c r="H65" s="37">
        <v>0</v>
      </c>
      <c r="I65" s="37">
        <v>0</v>
      </c>
      <c r="J65" s="37">
        <v>0</v>
      </c>
      <c r="K65" s="37">
        <v>0</v>
      </c>
      <c r="L65" s="37">
        <v>0</v>
      </c>
      <c r="M65" s="37">
        <v>0</v>
      </c>
      <c r="N65" s="37">
        <v>0</v>
      </c>
      <c r="O65" s="37">
        <v>0</v>
      </c>
      <c r="P65" s="37">
        <v>0</v>
      </c>
      <c r="Q65" s="37">
        <v>0</v>
      </c>
      <c r="R65" s="37">
        <v>0</v>
      </c>
      <c r="S65" s="37">
        <v>0</v>
      </c>
      <c r="T65" s="37">
        <v>0</v>
      </c>
      <c r="U65" s="37">
        <v>0</v>
      </c>
      <c r="V65" s="37">
        <v>0</v>
      </c>
      <c r="W65" s="37">
        <v>0</v>
      </c>
      <c r="X65" s="37">
        <v>0</v>
      </c>
      <c r="Y65" s="36"/>
      <c r="Z65" s="38"/>
      <c r="AA65" s="39"/>
      <c r="AB65" s="39"/>
      <c r="AC65" s="40"/>
    </row>
    <row r="66" spans="1:29" ht="67.5" x14ac:dyDescent="0.25">
      <c r="A66" s="13" t="s">
        <v>207</v>
      </c>
      <c r="B66" s="14" t="s">
        <v>208</v>
      </c>
      <c r="C66" s="15" t="s">
        <v>209</v>
      </c>
      <c r="D66" s="15"/>
      <c r="E66" s="16">
        <f t="shared" ref="E66:N67" si="48">SUM(E67:E67)</f>
        <v>46660</v>
      </c>
      <c r="F66" s="16">
        <f t="shared" si="48"/>
        <v>0</v>
      </c>
      <c r="G66" s="16">
        <f t="shared" si="48"/>
        <v>0</v>
      </c>
      <c r="H66" s="16">
        <f t="shared" si="48"/>
        <v>0</v>
      </c>
      <c r="I66" s="16">
        <f t="shared" si="48"/>
        <v>0</v>
      </c>
      <c r="J66" s="16">
        <f t="shared" si="48"/>
        <v>0</v>
      </c>
      <c r="K66" s="16">
        <f t="shared" si="48"/>
        <v>0</v>
      </c>
      <c r="L66" s="16">
        <f t="shared" si="48"/>
        <v>46660</v>
      </c>
      <c r="M66" s="16">
        <f t="shared" si="48"/>
        <v>0</v>
      </c>
      <c r="N66" s="16">
        <f t="shared" si="48"/>
        <v>0</v>
      </c>
      <c r="O66" s="16">
        <f t="shared" ref="O66:X67" si="49">SUM(O67:O67)</f>
        <v>41955.360000000001</v>
      </c>
      <c r="P66" s="16">
        <f t="shared" si="49"/>
        <v>0</v>
      </c>
      <c r="Q66" s="16">
        <f t="shared" si="49"/>
        <v>0</v>
      </c>
      <c r="R66" s="16">
        <f t="shared" si="49"/>
        <v>0</v>
      </c>
      <c r="S66" s="16">
        <f t="shared" si="49"/>
        <v>0</v>
      </c>
      <c r="T66" s="16">
        <f t="shared" si="49"/>
        <v>0</v>
      </c>
      <c r="U66" s="16">
        <f t="shared" si="49"/>
        <v>0</v>
      </c>
      <c r="V66" s="16">
        <f t="shared" si="49"/>
        <v>0</v>
      </c>
      <c r="W66" s="16">
        <f t="shared" si="49"/>
        <v>0</v>
      </c>
      <c r="X66" s="16">
        <f t="shared" si="49"/>
        <v>0</v>
      </c>
      <c r="Y66" s="15" t="s">
        <v>210</v>
      </c>
      <c r="Z66" s="17" t="s">
        <v>34</v>
      </c>
      <c r="AA66" s="18" t="s">
        <v>177</v>
      </c>
      <c r="AB66" s="18" t="s">
        <v>128</v>
      </c>
      <c r="AC66" s="19"/>
    </row>
    <row r="67" spans="1:29" ht="67.5" x14ac:dyDescent="0.25">
      <c r="A67" s="20" t="s">
        <v>211</v>
      </c>
      <c r="B67" s="21" t="s">
        <v>212</v>
      </c>
      <c r="C67" s="22" t="s">
        <v>209</v>
      </c>
      <c r="D67" s="22"/>
      <c r="E67" s="23">
        <f t="shared" si="48"/>
        <v>46660</v>
      </c>
      <c r="F67" s="23">
        <f t="shared" si="48"/>
        <v>0</v>
      </c>
      <c r="G67" s="23">
        <f t="shared" si="48"/>
        <v>0</v>
      </c>
      <c r="H67" s="23">
        <f t="shared" si="48"/>
        <v>0</v>
      </c>
      <c r="I67" s="23">
        <f t="shared" si="48"/>
        <v>0</v>
      </c>
      <c r="J67" s="23">
        <f t="shared" si="48"/>
        <v>0</v>
      </c>
      <c r="K67" s="23">
        <f t="shared" si="48"/>
        <v>0</v>
      </c>
      <c r="L67" s="23">
        <f t="shared" si="48"/>
        <v>46660</v>
      </c>
      <c r="M67" s="23">
        <f t="shared" si="48"/>
        <v>0</v>
      </c>
      <c r="N67" s="23">
        <f t="shared" si="48"/>
        <v>0</v>
      </c>
      <c r="O67" s="23">
        <f t="shared" si="49"/>
        <v>41955.360000000001</v>
      </c>
      <c r="P67" s="23">
        <f t="shared" si="49"/>
        <v>0</v>
      </c>
      <c r="Q67" s="23">
        <f t="shared" si="49"/>
        <v>0</v>
      </c>
      <c r="R67" s="23">
        <f t="shared" si="49"/>
        <v>0</v>
      </c>
      <c r="S67" s="23">
        <f t="shared" si="49"/>
        <v>0</v>
      </c>
      <c r="T67" s="23">
        <f t="shared" si="49"/>
        <v>0</v>
      </c>
      <c r="U67" s="23">
        <f t="shared" si="49"/>
        <v>0</v>
      </c>
      <c r="V67" s="23">
        <f t="shared" si="49"/>
        <v>0</v>
      </c>
      <c r="W67" s="23">
        <f t="shared" si="49"/>
        <v>0</v>
      </c>
      <c r="X67" s="23">
        <f t="shared" si="49"/>
        <v>0</v>
      </c>
      <c r="Y67" s="22" t="s">
        <v>213</v>
      </c>
      <c r="Z67" s="24" t="s">
        <v>40</v>
      </c>
      <c r="AA67" s="25" t="s">
        <v>177</v>
      </c>
      <c r="AB67" s="25" t="s">
        <v>177</v>
      </c>
      <c r="AC67" s="26"/>
    </row>
    <row r="68" spans="1:29" ht="116.25" x14ac:dyDescent="0.25">
      <c r="A68" s="27" t="s">
        <v>214</v>
      </c>
      <c r="B68" s="28" t="s">
        <v>215</v>
      </c>
      <c r="C68" s="29" t="s">
        <v>209</v>
      </c>
      <c r="D68" s="29"/>
      <c r="E68" s="30">
        <f>SUM(E69:E71)+46660</f>
        <v>46660</v>
      </c>
      <c r="F68" s="30">
        <f t="shared" ref="F68:K68" si="50">SUM(F69:F71)</f>
        <v>0</v>
      </c>
      <c r="G68" s="30">
        <f t="shared" si="50"/>
        <v>0</v>
      </c>
      <c r="H68" s="30">
        <f t="shared" si="50"/>
        <v>0</v>
      </c>
      <c r="I68" s="30">
        <f t="shared" si="50"/>
        <v>0</v>
      </c>
      <c r="J68" s="30">
        <f t="shared" si="50"/>
        <v>0</v>
      </c>
      <c r="K68" s="30">
        <f t="shared" si="50"/>
        <v>0</v>
      </c>
      <c r="L68" s="30">
        <f>SUM(L69:L71)+46660</f>
        <v>46660</v>
      </c>
      <c r="M68" s="30">
        <f>SUM(M69:M71)</f>
        <v>0</v>
      </c>
      <c r="N68" s="30">
        <f>SUM(N69:N71)</f>
        <v>0</v>
      </c>
      <c r="O68" s="30">
        <f>SUM(O69:O71)+41955.36</f>
        <v>41955.360000000001</v>
      </c>
      <c r="P68" s="30">
        <f t="shared" ref="P68:X68" si="51">SUM(P69:P71)</f>
        <v>0</v>
      </c>
      <c r="Q68" s="30">
        <f t="shared" si="51"/>
        <v>0</v>
      </c>
      <c r="R68" s="30">
        <f t="shared" si="51"/>
        <v>0</v>
      </c>
      <c r="S68" s="30">
        <f t="shared" si="51"/>
        <v>0</v>
      </c>
      <c r="T68" s="30">
        <f t="shared" si="51"/>
        <v>0</v>
      </c>
      <c r="U68" s="30">
        <f t="shared" si="51"/>
        <v>0</v>
      </c>
      <c r="V68" s="30">
        <f t="shared" si="51"/>
        <v>0</v>
      </c>
      <c r="W68" s="30">
        <f t="shared" si="51"/>
        <v>0</v>
      </c>
      <c r="X68" s="30">
        <f t="shared" si="51"/>
        <v>0</v>
      </c>
      <c r="Y68" s="29" t="s">
        <v>216</v>
      </c>
      <c r="Z68" s="31" t="s">
        <v>40</v>
      </c>
      <c r="AA68" s="32" t="s">
        <v>217</v>
      </c>
      <c r="AB68" s="32" t="s">
        <v>177</v>
      </c>
      <c r="AC68" s="33" t="s">
        <v>218</v>
      </c>
    </row>
    <row r="69" spans="1:29" ht="116.25" x14ac:dyDescent="0.25">
      <c r="A69" s="41"/>
      <c r="B69" s="42"/>
      <c r="C69" s="43"/>
      <c r="D69" s="43"/>
      <c r="E69" s="44">
        <v>0</v>
      </c>
      <c r="F69" s="44">
        <v>0</v>
      </c>
      <c r="G69" s="44">
        <v>0</v>
      </c>
      <c r="H69" s="44">
        <v>0</v>
      </c>
      <c r="I69" s="44">
        <v>0</v>
      </c>
      <c r="J69" s="44">
        <v>0</v>
      </c>
      <c r="K69" s="44">
        <v>0</v>
      </c>
      <c r="L69" s="44">
        <v>0</v>
      </c>
      <c r="M69" s="44">
        <v>0</v>
      </c>
      <c r="N69" s="44">
        <v>0</v>
      </c>
      <c r="O69" s="44">
        <v>0</v>
      </c>
      <c r="P69" s="44">
        <v>0</v>
      </c>
      <c r="Q69" s="44">
        <v>0</v>
      </c>
      <c r="R69" s="44">
        <v>0</v>
      </c>
      <c r="S69" s="44">
        <v>0</v>
      </c>
      <c r="T69" s="44">
        <v>0</v>
      </c>
      <c r="U69" s="44">
        <v>0</v>
      </c>
      <c r="V69" s="44">
        <v>0</v>
      </c>
      <c r="W69" s="44">
        <v>0</v>
      </c>
      <c r="X69" s="44">
        <v>0</v>
      </c>
      <c r="Y69" s="43" t="s">
        <v>219</v>
      </c>
      <c r="Z69" s="45" t="s">
        <v>40</v>
      </c>
      <c r="AA69" s="46" t="s">
        <v>217</v>
      </c>
      <c r="AB69" s="46" t="s">
        <v>177</v>
      </c>
      <c r="AC69" s="47" t="s">
        <v>220</v>
      </c>
    </row>
    <row r="70" spans="1:29" ht="93" x14ac:dyDescent="0.25">
      <c r="A70" s="41"/>
      <c r="B70" s="42"/>
      <c r="C70" s="43"/>
      <c r="D70" s="43"/>
      <c r="E70" s="44">
        <v>0</v>
      </c>
      <c r="F70" s="44">
        <v>0</v>
      </c>
      <c r="G70" s="44">
        <v>0</v>
      </c>
      <c r="H70" s="44">
        <v>0</v>
      </c>
      <c r="I70" s="44">
        <v>0</v>
      </c>
      <c r="J70" s="44">
        <v>0</v>
      </c>
      <c r="K70" s="44">
        <v>0</v>
      </c>
      <c r="L70" s="44">
        <v>0</v>
      </c>
      <c r="M70" s="44">
        <v>0</v>
      </c>
      <c r="N70" s="44">
        <v>0</v>
      </c>
      <c r="O70" s="44">
        <v>0</v>
      </c>
      <c r="P70" s="44">
        <v>0</v>
      </c>
      <c r="Q70" s="44">
        <v>0</v>
      </c>
      <c r="R70" s="44">
        <v>0</v>
      </c>
      <c r="S70" s="44">
        <v>0</v>
      </c>
      <c r="T70" s="44">
        <v>0</v>
      </c>
      <c r="U70" s="44">
        <v>0</v>
      </c>
      <c r="V70" s="44">
        <v>0</v>
      </c>
      <c r="W70" s="44">
        <v>0</v>
      </c>
      <c r="X70" s="44">
        <v>0</v>
      </c>
      <c r="Y70" s="43" t="s">
        <v>221</v>
      </c>
      <c r="Z70" s="45" t="s">
        <v>40</v>
      </c>
      <c r="AA70" s="46" t="s">
        <v>70</v>
      </c>
      <c r="AB70" s="46" t="s">
        <v>176</v>
      </c>
      <c r="AC70" s="47" t="s">
        <v>222</v>
      </c>
    </row>
    <row r="71" spans="1:29" ht="69.75" x14ac:dyDescent="0.25">
      <c r="A71" s="34" t="s">
        <v>223</v>
      </c>
      <c r="B71" s="35" t="s">
        <v>224</v>
      </c>
      <c r="C71" s="36"/>
      <c r="D71" s="36"/>
      <c r="E71" s="37">
        <v>0</v>
      </c>
      <c r="F71" s="37">
        <v>0</v>
      </c>
      <c r="G71" s="37">
        <v>0</v>
      </c>
      <c r="H71" s="37">
        <v>0</v>
      </c>
      <c r="I71" s="37">
        <v>0</v>
      </c>
      <c r="J71" s="37">
        <v>0</v>
      </c>
      <c r="K71" s="37">
        <v>0</v>
      </c>
      <c r="L71" s="37">
        <v>0</v>
      </c>
      <c r="M71" s="37">
        <v>0</v>
      </c>
      <c r="N71" s="37">
        <v>0</v>
      </c>
      <c r="O71" s="37">
        <v>0</v>
      </c>
      <c r="P71" s="37">
        <v>0</v>
      </c>
      <c r="Q71" s="37">
        <v>0</v>
      </c>
      <c r="R71" s="37">
        <v>0</v>
      </c>
      <c r="S71" s="37">
        <v>0</v>
      </c>
      <c r="T71" s="37">
        <v>0</v>
      </c>
      <c r="U71" s="37">
        <v>0</v>
      </c>
      <c r="V71" s="37">
        <v>0</v>
      </c>
      <c r="W71" s="37">
        <v>0</v>
      </c>
      <c r="X71" s="37">
        <v>0</v>
      </c>
      <c r="Y71" s="36"/>
      <c r="Z71" s="38"/>
      <c r="AA71" s="39"/>
      <c r="AB71" s="39"/>
      <c r="AC71" s="40"/>
    </row>
    <row r="72" spans="1:29" ht="45" x14ac:dyDescent="0.25">
      <c r="A72" s="13" t="s">
        <v>225</v>
      </c>
      <c r="B72" s="14" t="s">
        <v>226</v>
      </c>
      <c r="C72" s="15" t="s">
        <v>174</v>
      </c>
      <c r="D72" s="15"/>
      <c r="E72" s="16">
        <f t="shared" ref="E72:X72" si="52">SUM(E73:E73)</f>
        <v>69678</v>
      </c>
      <c r="F72" s="16">
        <f t="shared" si="52"/>
        <v>69678</v>
      </c>
      <c r="G72" s="16">
        <f t="shared" si="52"/>
        <v>0</v>
      </c>
      <c r="H72" s="16">
        <f t="shared" si="52"/>
        <v>0</v>
      </c>
      <c r="I72" s="16">
        <f t="shared" si="52"/>
        <v>0</v>
      </c>
      <c r="J72" s="16">
        <f t="shared" si="52"/>
        <v>0</v>
      </c>
      <c r="K72" s="16">
        <f t="shared" si="52"/>
        <v>0</v>
      </c>
      <c r="L72" s="16">
        <f t="shared" si="52"/>
        <v>0</v>
      </c>
      <c r="M72" s="16">
        <f t="shared" si="52"/>
        <v>0</v>
      </c>
      <c r="N72" s="16">
        <f t="shared" si="52"/>
        <v>0</v>
      </c>
      <c r="O72" s="16">
        <f t="shared" si="52"/>
        <v>69677.58</v>
      </c>
      <c r="P72" s="16">
        <f t="shared" si="52"/>
        <v>69677.58</v>
      </c>
      <c r="Q72" s="16">
        <f t="shared" si="52"/>
        <v>0</v>
      </c>
      <c r="R72" s="16">
        <f t="shared" si="52"/>
        <v>0</v>
      </c>
      <c r="S72" s="16">
        <f t="shared" si="52"/>
        <v>0</v>
      </c>
      <c r="T72" s="16">
        <f t="shared" si="52"/>
        <v>0</v>
      </c>
      <c r="U72" s="16">
        <f t="shared" si="52"/>
        <v>0</v>
      </c>
      <c r="V72" s="16">
        <f t="shared" si="52"/>
        <v>0</v>
      </c>
      <c r="W72" s="16">
        <f t="shared" si="52"/>
        <v>0</v>
      </c>
      <c r="X72" s="16">
        <f t="shared" si="52"/>
        <v>0</v>
      </c>
      <c r="Y72" s="15" t="s">
        <v>227</v>
      </c>
      <c r="Z72" s="17" t="s">
        <v>34</v>
      </c>
      <c r="AA72" s="18" t="s">
        <v>111</v>
      </c>
      <c r="AB72" s="18" t="s">
        <v>67</v>
      </c>
      <c r="AC72" s="19"/>
    </row>
    <row r="73" spans="1:29" ht="90" x14ac:dyDescent="0.25">
      <c r="A73" s="20" t="s">
        <v>228</v>
      </c>
      <c r="B73" s="21" t="s">
        <v>229</v>
      </c>
      <c r="C73" s="22" t="s">
        <v>230</v>
      </c>
      <c r="D73" s="22"/>
      <c r="E73" s="23">
        <f t="shared" ref="E73:X73" si="53">E74+E76</f>
        <v>69678</v>
      </c>
      <c r="F73" s="23">
        <f t="shared" si="53"/>
        <v>69678</v>
      </c>
      <c r="G73" s="23">
        <f t="shared" si="53"/>
        <v>0</v>
      </c>
      <c r="H73" s="23">
        <f t="shared" si="53"/>
        <v>0</v>
      </c>
      <c r="I73" s="23">
        <f t="shared" si="53"/>
        <v>0</v>
      </c>
      <c r="J73" s="23">
        <f t="shared" si="53"/>
        <v>0</v>
      </c>
      <c r="K73" s="23">
        <f t="shared" si="53"/>
        <v>0</v>
      </c>
      <c r="L73" s="23">
        <f t="shared" si="53"/>
        <v>0</v>
      </c>
      <c r="M73" s="23">
        <f t="shared" si="53"/>
        <v>0</v>
      </c>
      <c r="N73" s="23">
        <f t="shared" si="53"/>
        <v>0</v>
      </c>
      <c r="O73" s="23">
        <f t="shared" si="53"/>
        <v>69677.58</v>
      </c>
      <c r="P73" s="23">
        <f t="shared" si="53"/>
        <v>69677.58</v>
      </c>
      <c r="Q73" s="23">
        <f t="shared" si="53"/>
        <v>0</v>
      </c>
      <c r="R73" s="23">
        <f t="shared" si="53"/>
        <v>0</v>
      </c>
      <c r="S73" s="23">
        <f t="shared" si="53"/>
        <v>0</v>
      </c>
      <c r="T73" s="23">
        <f t="shared" si="53"/>
        <v>0</v>
      </c>
      <c r="U73" s="23">
        <f t="shared" si="53"/>
        <v>0</v>
      </c>
      <c r="V73" s="23">
        <f t="shared" si="53"/>
        <v>0</v>
      </c>
      <c r="W73" s="23">
        <f t="shared" si="53"/>
        <v>0</v>
      </c>
      <c r="X73" s="23">
        <f t="shared" si="53"/>
        <v>0</v>
      </c>
      <c r="Y73" s="22" t="s">
        <v>231</v>
      </c>
      <c r="Z73" s="24" t="s">
        <v>40</v>
      </c>
      <c r="AA73" s="25" t="s">
        <v>54</v>
      </c>
      <c r="AB73" s="25" t="s">
        <v>54</v>
      </c>
      <c r="AC73" s="26"/>
    </row>
    <row r="74" spans="1:29" ht="93" x14ac:dyDescent="0.25">
      <c r="A74" s="27" t="s">
        <v>232</v>
      </c>
      <c r="B74" s="28" t="s">
        <v>233</v>
      </c>
      <c r="C74" s="29" t="s">
        <v>174</v>
      </c>
      <c r="D74" s="29"/>
      <c r="E74" s="30">
        <f>SUM(E75:E75)+9086</f>
        <v>9086</v>
      </c>
      <c r="F74" s="30">
        <f>SUM(F75:F75)+9086</f>
        <v>9086</v>
      </c>
      <c r="G74" s="30">
        <f t="shared" ref="G74:N74" si="54">SUM(G75:G75)</f>
        <v>0</v>
      </c>
      <c r="H74" s="30">
        <f t="shared" si="54"/>
        <v>0</v>
      </c>
      <c r="I74" s="30">
        <f t="shared" si="54"/>
        <v>0</v>
      </c>
      <c r="J74" s="30">
        <f t="shared" si="54"/>
        <v>0</v>
      </c>
      <c r="K74" s="30">
        <f t="shared" si="54"/>
        <v>0</v>
      </c>
      <c r="L74" s="30">
        <f t="shared" si="54"/>
        <v>0</v>
      </c>
      <c r="M74" s="30">
        <f t="shared" si="54"/>
        <v>0</v>
      </c>
      <c r="N74" s="30">
        <f t="shared" si="54"/>
        <v>0</v>
      </c>
      <c r="O74" s="30">
        <f>SUM(O75:O75)+9086</f>
        <v>9086</v>
      </c>
      <c r="P74" s="30">
        <f>SUM(P75:P75)+9086</f>
        <v>9086</v>
      </c>
      <c r="Q74" s="30">
        <f t="shared" ref="Q74:X74" si="55">SUM(Q75:Q75)</f>
        <v>0</v>
      </c>
      <c r="R74" s="30">
        <f t="shared" si="55"/>
        <v>0</v>
      </c>
      <c r="S74" s="30">
        <f t="shared" si="55"/>
        <v>0</v>
      </c>
      <c r="T74" s="30">
        <f t="shared" si="55"/>
        <v>0</v>
      </c>
      <c r="U74" s="30">
        <f t="shared" si="55"/>
        <v>0</v>
      </c>
      <c r="V74" s="30">
        <f t="shared" si="55"/>
        <v>0</v>
      </c>
      <c r="W74" s="30">
        <f t="shared" si="55"/>
        <v>0</v>
      </c>
      <c r="X74" s="30">
        <f t="shared" si="55"/>
        <v>0</v>
      </c>
      <c r="Y74" s="29" t="s">
        <v>234</v>
      </c>
      <c r="Z74" s="31" t="s">
        <v>40</v>
      </c>
      <c r="AA74" s="32" t="s">
        <v>54</v>
      </c>
      <c r="AB74" s="32" t="s">
        <v>54</v>
      </c>
      <c r="AC74" s="33"/>
    </row>
    <row r="75" spans="1:29" ht="46.5" x14ac:dyDescent="0.25">
      <c r="A75" s="34" t="s">
        <v>235</v>
      </c>
      <c r="B75" s="35" t="s">
        <v>236</v>
      </c>
      <c r="C75" s="36"/>
      <c r="D75" s="36"/>
      <c r="E75" s="37">
        <v>0</v>
      </c>
      <c r="F75" s="37">
        <v>0</v>
      </c>
      <c r="G75" s="37">
        <v>0</v>
      </c>
      <c r="H75" s="37">
        <v>0</v>
      </c>
      <c r="I75" s="37">
        <v>0</v>
      </c>
      <c r="J75" s="37">
        <v>0</v>
      </c>
      <c r="K75" s="37">
        <v>0</v>
      </c>
      <c r="L75" s="37">
        <v>0</v>
      </c>
      <c r="M75" s="37">
        <v>0</v>
      </c>
      <c r="N75" s="37">
        <v>0</v>
      </c>
      <c r="O75" s="37">
        <v>0</v>
      </c>
      <c r="P75" s="37">
        <v>0</v>
      </c>
      <c r="Q75" s="37">
        <v>0</v>
      </c>
      <c r="R75" s="37">
        <v>0</v>
      </c>
      <c r="S75" s="37">
        <v>0</v>
      </c>
      <c r="T75" s="37">
        <v>0</v>
      </c>
      <c r="U75" s="37">
        <v>0</v>
      </c>
      <c r="V75" s="37">
        <v>0</v>
      </c>
      <c r="W75" s="37">
        <v>0</v>
      </c>
      <c r="X75" s="37">
        <v>0</v>
      </c>
      <c r="Y75" s="36"/>
      <c r="Z75" s="38"/>
      <c r="AA75" s="39"/>
      <c r="AB75" s="39"/>
      <c r="AC75" s="40"/>
    </row>
    <row r="76" spans="1:29" ht="46.5" x14ac:dyDescent="0.25">
      <c r="A76" s="27" t="s">
        <v>237</v>
      </c>
      <c r="B76" s="28" t="s">
        <v>238</v>
      </c>
      <c r="C76" s="29" t="s">
        <v>28</v>
      </c>
      <c r="D76" s="29" t="s">
        <v>45</v>
      </c>
      <c r="E76" s="30">
        <f>SUM(E77:E77)+60592</f>
        <v>60592</v>
      </c>
      <c r="F76" s="30">
        <f>SUM(F77:F77)+60592</f>
        <v>60592</v>
      </c>
      <c r="G76" s="30">
        <f t="shared" ref="G76:N76" si="56">SUM(G77:G77)</f>
        <v>0</v>
      </c>
      <c r="H76" s="30">
        <f t="shared" si="56"/>
        <v>0</v>
      </c>
      <c r="I76" s="30">
        <f t="shared" si="56"/>
        <v>0</v>
      </c>
      <c r="J76" s="30">
        <f t="shared" si="56"/>
        <v>0</v>
      </c>
      <c r="K76" s="30">
        <f t="shared" si="56"/>
        <v>0</v>
      </c>
      <c r="L76" s="30">
        <f t="shared" si="56"/>
        <v>0</v>
      </c>
      <c r="M76" s="30">
        <f t="shared" si="56"/>
        <v>0</v>
      </c>
      <c r="N76" s="30">
        <f t="shared" si="56"/>
        <v>0</v>
      </c>
      <c r="O76" s="30">
        <f>SUM(O77:O77)+60591.58</f>
        <v>60591.58</v>
      </c>
      <c r="P76" s="30">
        <f>SUM(P77:P77)+60591.58</f>
        <v>60591.58</v>
      </c>
      <c r="Q76" s="30">
        <f t="shared" ref="Q76:X76" si="57">SUM(Q77:Q77)</f>
        <v>0</v>
      </c>
      <c r="R76" s="30">
        <f t="shared" si="57"/>
        <v>0</v>
      </c>
      <c r="S76" s="30">
        <f t="shared" si="57"/>
        <v>0</v>
      </c>
      <c r="T76" s="30">
        <f t="shared" si="57"/>
        <v>0</v>
      </c>
      <c r="U76" s="30">
        <f t="shared" si="57"/>
        <v>0</v>
      </c>
      <c r="V76" s="30">
        <f t="shared" si="57"/>
        <v>0</v>
      </c>
      <c r="W76" s="30">
        <f t="shared" si="57"/>
        <v>0</v>
      </c>
      <c r="X76" s="30">
        <f t="shared" si="57"/>
        <v>0</v>
      </c>
      <c r="Y76" s="29" t="s">
        <v>239</v>
      </c>
      <c r="Z76" s="31" t="s">
        <v>40</v>
      </c>
      <c r="AA76" s="32" t="s">
        <v>240</v>
      </c>
      <c r="AB76" s="32" t="s">
        <v>240</v>
      </c>
      <c r="AC76" s="33"/>
    </row>
    <row r="77" spans="1:29" ht="46.5" x14ac:dyDescent="0.25">
      <c r="A77" s="34" t="s">
        <v>241</v>
      </c>
      <c r="B77" s="35" t="s">
        <v>242</v>
      </c>
      <c r="C77" s="36"/>
      <c r="D77" s="36"/>
      <c r="E77" s="37">
        <v>0</v>
      </c>
      <c r="F77" s="37">
        <v>0</v>
      </c>
      <c r="G77" s="37">
        <v>0</v>
      </c>
      <c r="H77" s="37">
        <v>0</v>
      </c>
      <c r="I77" s="37">
        <v>0</v>
      </c>
      <c r="J77" s="37">
        <v>0</v>
      </c>
      <c r="K77" s="37">
        <v>0</v>
      </c>
      <c r="L77" s="37">
        <v>0</v>
      </c>
      <c r="M77" s="37">
        <v>0</v>
      </c>
      <c r="N77" s="37">
        <v>0</v>
      </c>
      <c r="O77" s="37">
        <v>0</v>
      </c>
      <c r="P77" s="37">
        <v>0</v>
      </c>
      <c r="Q77" s="37">
        <v>0</v>
      </c>
      <c r="R77" s="37">
        <v>0</v>
      </c>
      <c r="S77" s="37">
        <v>0</v>
      </c>
      <c r="T77" s="37">
        <v>0</v>
      </c>
      <c r="U77" s="37">
        <v>0</v>
      </c>
      <c r="V77" s="37">
        <v>0</v>
      </c>
      <c r="W77" s="37">
        <v>0</v>
      </c>
      <c r="X77" s="37">
        <v>0</v>
      </c>
      <c r="Y77" s="36"/>
      <c r="Z77" s="38"/>
      <c r="AA77" s="39"/>
      <c r="AB77" s="39"/>
      <c r="AC77" s="40"/>
    </row>
    <row r="78" spans="1:29" ht="90" x14ac:dyDescent="0.25">
      <c r="A78" s="13" t="s">
        <v>243</v>
      </c>
      <c r="B78" s="14" t="s">
        <v>244</v>
      </c>
      <c r="C78" s="15" t="s">
        <v>28</v>
      </c>
      <c r="D78" s="15" t="s">
        <v>32</v>
      </c>
      <c r="E78" s="16">
        <f t="shared" ref="E78:N79" si="58">SUM(E79:E79)</f>
        <v>14250</v>
      </c>
      <c r="F78" s="16">
        <f t="shared" si="58"/>
        <v>14250</v>
      </c>
      <c r="G78" s="16">
        <f t="shared" si="58"/>
        <v>0</v>
      </c>
      <c r="H78" s="16">
        <f t="shared" si="58"/>
        <v>0</v>
      </c>
      <c r="I78" s="16">
        <f t="shared" si="58"/>
        <v>0</v>
      </c>
      <c r="J78" s="16">
        <f t="shared" si="58"/>
        <v>0</v>
      </c>
      <c r="K78" s="16">
        <f t="shared" si="58"/>
        <v>0</v>
      </c>
      <c r="L78" s="16">
        <f t="shared" si="58"/>
        <v>0</v>
      </c>
      <c r="M78" s="16">
        <f t="shared" si="58"/>
        <v>0</v>
      </c>
      <c r="N78" s="16">
        <f t="shared" si="58"/>
        <v>0</v>
      </c>
      <c r="O78" s="16">
        <f t="shared" ref="O78:X79" si="59">SUM(O79:O79)</f>
        <v>14250</v>
      </c>
      <c r="P78" s="16">
        <f t="shared" si="59"/>
        <v>14250</v>
      </c>
      <c r="Q78" s="16">
        <f t="shared" si="59"/>
        <v>0</v>
      </c>
      <c r="R78" s="16">
        <f t="shared" si="59"/>
        <v>0</v>
      </c>
      <c r="S78" s="16">
        <f t="shared" si="59"/>
        <v>0</v>
      </c>
      <c r="T78" s="16">
        <f t="shared" si="59"/>
        <v>0</v>
      </c>
      <c r="U78" s="16">
        <f t="shared" si="59"/>
        <v>0</v>
      </c>
      <c r="V78" s="16">
        <f t="shared" si="59"/>
        <v>0</v>
      </c>
      <c r="W78" s="16">
        <f t="shared" si="59"/>
        <v>0</v>
      </c>
      <c r="X78" s="16">
        <f t="shared" si="59"/>
        <v>0</v>
      </c>
      <c r="Y78" s="15" t="s">
        <v>245</v>
      </c>
      <c r="Z78" s="17" t="s">
        <v>34</v>
      </c>
      <c r="AA78" s="18" t="s">
        <v>246</v>
      </c>
      <c r="AB78" s="18" t="s">
        <v>247</v>
      </c>
      <c r="AC78" s="19"/>
    </row>
    <row r="79" spans="1:29" ht="45" x14ac:dyDescent="0.25">
      <c r="A79" s="20" t="s">
        <v>248</v>
      </c>
      <c r="B79" s="21" t="s">
        <v>249</v>
      </c>
      <c r="C79" s="22" t="s">
        <v>28</v>
      </c>
      <c r="D79" s="22" t="s">
        <v>32</v>
      </c>
      <c r="E79" s="23">
        <f t="shared" si="58"/>
        <v>14250</v>
      </c>
      <c r="F79" s="23">
        <f t="shared" si="58"/>
        <v>14250</v>
      </c>
      <c r="G79" s="23">
        <f t="shared" si="58"/>
        <v>0</v>
      </c>
      <c r="H79" s="23">
        <f t="shared" si="58"/>
        <v>0</v>
      </c>
      <c r="I79" s="23">
        <f t="shared" si="58"/>
        <v>0</v>
      </c>
      <c r="J79" s="23">
        <f t="shared" si="58"/>
        <v>0</v>
      </c>
      <c r="K79" s="23">
        <f t="shared" si="58"/>
        <v>0</v>
      </c>
      <c r="L79" s="23">
        <f t="shared" si="58"/>
        <v>0</v>
      </c>
      <c r="M79" s="23">
        <f t="shared" si="58"/>
        <v>0</v>
      </c>
      <c r="N79" s="23">
        <f t="shared" si="58"/>
        <v>0</v>
      </c>
      <c r="O79" s="23">
        <f t="shared" si="59"/>
        <v>14250</v>
      </c>
      <c r="P79" s="23">
        <f t="shared" si="59"/>
        <v>14250</v>
      </c>
      <c r="Q79" s="23">
        <f t="shared" si="59"/>
        <v>0</v>
      </c>
      <c r="R79" s="23">
        <f t="shared" si="59"/>
        <v>0</v>
      </c>
      <c r="S79" s="23">
        <f t="shared" si="59"/>
        <v>0</v>
      </c>
      <c r="T79" s="23">
        <f t="shared" si="59"/>
        <v>0</v>
      </c>
      <c r="U79" s="23">
        <f t="shared" si="59"/>
        <v>0</v>
      </c>
      <c r="V79" s="23">
        <f t="shared" si="59"/>
        <v>0</v>
      </c>
      <c r="W79" s="23">
        <f t="shared" si="59"/>
        <v>0</v>
      </c>
      <c r="X79" s="23">
        <f t="shared" si="59"/>
        <v>0</v>
      </c>
      <c r="Y79" s="22" t="s">
        <v>250</v>
      </c>
      <c r="Z79" s="24" t="s">
        <v>34</v>
      </c>
      <c r="AA79" s="25" t="s">
        <v>35</v>
      </c>
      <c r="AB79" s="25" t="s">
        <v>35</v>
      </c>
      <c r="AC79" s="26"/>
    </row>
    <row r="80" spans="1:29" ht="69.75" x14ac:dyDescent="0.25">
      <c r="A80" s="27" t="s">
        <v>251</v>
      </c>
      <c r="B80" s="28" t="s">
        <v>252</v>
      </c>
      <c r="C80" s="29" t="s">
        <v>28</v>
      </c>
      <c r="D80" s="29" t="s">
        <v>32</v>
      </c>
      <c r="E80" s="30">
        <f>SUM(E81:E81)+14250</f>
        <v>14250</v>
      </c>
      <c r="F80" s="30">
        <f>SUM(F81:F81)+14250</f>
        <v>14250</v>
      </c>
      <c r="G80" s="30">
        <f t="shared" ref="G80:N80" si="60">SUM(G81:G81)</f>
        <v>0</v>
      </c>
      <c r="H80" s="30">
        <f t="shared" si="60"/>
        <v>0</v>
      </c>
      <c r="I80" s="30">
        <f t="shared" si="60"/>
        <v>0</v>
      </c>
      <c r="J80" s="30">
        <f t="shared" si="60"/>
        <v>0</v>
      </c>
      <c r="K80" s="30">
        <f t="shared" si="60"/>
        <v>0</v>
      </c>
      <c r="L80" s="30">
        <f t="shared" si="60"/>
        <v>0</v>
      </c>
      <c r="M80" s="30">
        <f t="shared" si="60"/>
        <v>0</v>
      </c>
      <c r="N80" s="30">
        <f t="shared" si="60"/>
        <v>0</v>
      </c>
      <c r="O80" s="30">
        <f>SUM(O81:O81)+14250</f>
        <v>14250</v>
      </c>
      <c r="P80" s="30">
        <f>SUM(P81:P81)+14250</f>
        <v>14250</v>
      </c>
      <c r="Q80" s="30">
        <f t="shared" ref="Q80:X80" si="61">SUM(Q81:Q81)</f>
        <v>0</v>
      </c>
      <c r="R80" s="30">
        <f t="shared" si="61"/>
        <v>0</v>
      </c>
      <c r="S80" s="30">
        <f t="shared" si="61"/>
        <v>0</v>
      </c>
      <c r="T80" s="30">
        <f t="shared" si="61"/>
        <v>0</v>
      </c>
      <c r="U80" s="30">
        <f t="shared" si="61"/>
        <v>0</v>
      </c>
      <c r="V80" s="30">
        <f t="shared" si="61"/>
        <v>0</v>
      </c>
      <c r="W80" s="30">
        <f t="shared" si="61"/>
        <v>0</v>
      </c>
      <c r="X80" s="30">
        <f t="shared" si="61"/>
        <v>0</v>
      </c>
      <c r="Y80" s="29" t="s">
        <v>253</v>
      </c>
      <c r="Z80" s="31" t="s">
        <v>40</v>
      </c>
      <c r="AA80" s="32" t="s">
        <v>254</v>
      </c>
      <c r="AB80" s="32" t="s">
        <v>254</v>
      </c>
      <c r="AC80" s="33"/>
    </row>
    <row r="81" spans="1:29" ht="46.5" x14ac:dyDescent="0.25">
      <c r="A81" s="34" t="s">
        <v>255</v>
      </c>
      <c r="B81" s="35" t="s">
        <v>256</v>
      </c>
      <c r="C81" s="36"/>
      <c r="D81" s="36"/>
      <c r="E81" s="37">
        <v>0</v>
      </c>
      <c r="F81" s="37">
        <v>0</v>
      </c>
      <c r="G81" s="37">
        <v>0</v>
      </c>
      <c r="H81" s="37">
        <v>0</v>
      </c>
      <c r="I81" s="37">
        <v>0</v>
      </c>
      <c r="J81" s="37">
        <v>0</v>
      </c>
      <c r="K81" s="37">
        <v>0</v>
      </c>
      <c r="L81" s="37">
        <v>0</v>
      </c>
      <c r="M81" s="37">
        <v>0</v>
      </c>
      <c r="N81" s="37">
        <v>0</v>
      </c>
      <c r="O81" s="37">
        <v>0</v>
      </c>
      <c r="P81" s="37">
        <v>0</v>
      </c>
      <c r="Q81" s="37">
        <v>0</v>
      </c>
      <c r="R81" s="37">
        <v>0</v>
      </c>
      <c r="S81" s="37">
        <v>0</v>
      </c>
      <c r="T81" s="37">
        <v>0</v>
      </c>
      <c r="U81" s="37">
        <v>0</v>
      </c>
      <c r="V81" s="37">
        <v>0</v>
      </c>
      <c r="W81" s="37">
        <v>0</v>
      </c>
      <c r="X81" s="37">
        <v>0</v>
      </c>
      <c r="Y81" s="36"/>
      <c r="Z81" s="38"/>
      <c r="AA81" s="39"/>
      <c r="AB81" s="39"/>
      <c r="AC81" s="40"/>
    </row>
    <row r="82" spans="1:29" ht="112.5" x14ac:dyDescent="0.25">
      <c r="A82" s="13" t="s">
        <v>257</v>
      </c>
      <c r="B82" s="14" t="s">
        <v>258</v>
      </c>
      <c r="C82" s="15" t="s">
        <v>28</v>
      </c>
      <c r="D82" s="15" t="s">
        <v>32</v>
      </c>
      <c r="E82" s="16">
        <f t="shared" ref="E82:X82" si="62">SUM(E83:E83)</f>
        <v>2300</v>
      </c>
      <c r="F82" s="16">
        <f t="shared" si="62"/>
        <v>2300</v>
      </c>
      <c r="G82" s="16">
        <f t="shared" si="62"/>
        <v>0</v>
      </c>
      <c r="H82" s="16">
        <f t="shared" si="62"/>
        <v>0</v>
      </c>
      <c r="I82" s="16">
        <f t="shared" si="62"/>
        <v>0</v>
      </c>
      <c r="J82" s="16">
        <f t="shared" si="62"/>
        <v>0</v>
      </c>
      <c r="K82" s="16">
        <f t="shared" si="62"/>
        <v>0</v>
      </c>
      <c r="L82" s="16">
        <f t="shared" si="62"/>
        <v>0</v>
      </c>
      <c r="M82" s="16">
        <f t="shared" si="62"/>
        <v>0</v>
      </c>
      <c r="N82" s="16">
        <f t="shared" si="62"/>
        <v>0</v>
      </c>
      <c r="O82" s="16">
        <f t="shared" si="62"/>
        <v>2300</v>
      </c>
      <c r="P82" s="16">
        <f t="shared" si="62"/>
        <v>2300</v>
      </c>
      <c r="Q82" s="16">
        <f t="shared" si="62"/>
        <v>0</v>
      </c>
      <c r="R82" s="16">
        <f t="shared" si="62"/>
        <v>0</v>
      </c>
      <c r="S82" s="16">
        <f t="shared" si="62"/>
        <v>0</v>
      </c>
      <c r="T82" s="16">
        <f t="shared" si="62"/>
        <v>0</v>
      </c>
      <c r="U82" s="16">
        <f t="shared" si="62"/>
        <v>0</v>
      </c>
      <c r="V82" s="16">
        <f t="shared" si="62"/>
        <v>0</v>
      </c>
      <c r="W82" s="16">
        <f t="shared" si="62"/>
        <v>0</v>
      </c>
      <c r="X82" s="16">
        <f t="shared" si="62"/>
        <v>0</v>
      </c>
      <c r="Y82" s="15" t="s">
        <v>259</v>
      </c>
      <c r="Z82" s="17" t="s">
        <v>34</v>
      </c>
      <c r="AA82" s="18" t="s">
        <v>111</v>
      </c>
      <c r="AB82" s="18" t="s">
        <v>111</v>
      </c>
      <c r="AC82" s="19"/>
    </row>
    <row r="83" spans="1:29" ht="67.5" x14ac:dyDescent="0.25">
      <c r="A83" s="20" t="s">
        <v>260</v>
      </c>
      <c r="B83" s="21" t="s">
        <v>261</v>
      </c>
      <c r="C83" s="22" t="s">
        <v>28</v>
      </c>
      <c r="D83" s="22" t="s">
        <v>32</v>
      </c>
      <c r="E83" s="23">
        <f t="shared" ref="E83:X83" si="63">E84+E86</f>
        <v>2300</v>
      </c>
      <c r="F83" s="23">
        <f t="shared" si="63"/>
        <v>2300</v>
      </c>
      <c r="G83" s="23">
        <f t="shared" si="63"/>
        <v>0</v>
      </c>
      <c r="H83" s="23">
        <f t="shared" si="63"/>
        <v>0</v>
      </c>
      <c r="I83" s="23">
        <f t="shared" si="63"/>
        <v>0</v>
      </c>
      <c r="J83" s="23">
        <f t="shared" si="63"/>
        <v>0</v>
      </c>
      <c r="K83" s="23">
        <f t="shared" si="63"/>
        <v>0</v>
      </c>
      <c r="L83" s="23">
        <f t="shared" si="63"/>
        <v>0</v>
      </c>
      <c r="M83" s="23">
        <f t="shared" si="63"/>
        <v>0</v>
      </c>
      <c r="N83" s="23">
        <f t="shared" si="63"/>
        <v>0</v>
      </c>
      <c r="O83" s="23">
        <f t="shared" si="63"/>
        <v>2300</v>
      </c>
      <c r="P83" s="23">
        <f t="shared" si="63"/>
        <v>2300</v>
      </c>
      <c r="Q83" s="23">
        <f t="shared" si="63"/>
        <v>0</v>
      </c>
      <c r="R83" s="23">
        <f t="shared" si="63"/>
        <v>0</v>
      </c>
      <c r="S83" s="23">
        <f t="shared" si="63"/>
        <v>0</v>
      </c>
      <c r="T83" s="23">
        <f t="shared" si="63"/>
        <v>0</v>
      </c>
      <c r="U83" s="23">
        <f t="shared" si="63"/>
        <v>0</v>
      </c>
      <c r="V83" s="23">
        <f t="shared" si="63"/>
        <v>0</v>
      </c>
      <c r="W83" s="23">
        <f t="shared" si="63"/>
        <v>0</v>
      </c>
      <c r="X83" s="23">
        <f t="shared" si="63"/>
        <v>0</v>
      </c>
      <c r="Y83" s="22" t="s">
        <v>262</v>
      </c>
      <c r="Z83" s="24" t="s">
        <v>34</v>
      </c>
      <c r="AA83" s="25" t="s">
        <v>263</v>
      </c>
      <c r="AB83" s="25" t="s">
        <v>263</v>
      </c>
      <c r="AC83" s="26"/>
    </row>
    <row r="84" spans="1:29" ht="93" x14ac:dyDescent="0.25">
      <c r="A84" s="27" t="s">
        <v>264</v>
      </c>
      <c r="B84" s="28" t="s">
        <v>265</v>
      </c>
      <c r="C84" s="29" t="s">
        <v>28</v>
      </c>
      <c r="D84" s="29" t="s">
        <v>45</v>
      </c>
      <c r="E84" s="30">
        <f>SUM(E85:E85)+2000</f>
        <v>2000</v>
      </c>
      <c r="F84" s="30">
        <f>SUM(F85:F85)+2000</f>
        <v>2000</v>
      </c>
      <c r="G84" s="30">
        <f t="shared" ref="G84:N84" si="64">SUM(G85:G85)</f>
        <v>0</v>
      </c>
      <c r="H84" s="30">
        <f t="shared" si="64"/>
        <v>0</v>
      </c>
      <c r="I84" s="30">
        <f t="shared" si="64"/>
        <v>0</v>
      </c>
      <c r="J84" s="30">
        <f t="shared" si="64"/>
        <v>0</v>
      </c>
      <c r="K84" s="30">
        <f t="shared" si="64"/>
        <v>0</v>
      </c>
      <c r="L84" s="30">
        <f t="shared" si="64"/>
        <v>0</v>
      </c>
      <c r="M84" s="30">
        <f t="shared" si="64"/>
        <v>0</v>
      </c>
      <c r="N84" s="30">
        <f t="shared" si="64"/>
        <v>0</v>
      </c>
      <c r="O84" s="30">
        <f>SUM(O85:O85)+2000</f>
        <v>2000</v>
      </c>
      <c r="P84" s="30">
        <f>SUM(P85:P85)+2000</f>
        <v>2000</v>
      </c>
      <c r="Q84" s="30">
        <f t="shared" ref="Q84:X84" si="65">SUM(Q85:Q85)</f>
        <v>0</v>
      </c>
      <c r="R84" s="30">
        <f t="shared" si="65"/>
        <v>0</v>
      </c>
      <c r="S84" s="30">
        <f t="shared" si="65"/>
        <v>0</v>
      </c>
      <c r="T84" s="30">
        <f t="shared" si="65"/>
        <v>0</v>
      </c>
      <c r="U84" s="30">
        <f t="shared" si="65"/>
        <v>0</v>
      </c>
      <c r="V84" s="30">
        <f t="shared" si="65"/>
        <v>0</v>
      </c>
      <c r="W84" s="30">
        <f t="shared" si="65"/>
        <v>0</v>
      </c>
      <c r="X84" s="30">
        <f t="shared" si="65"/>
        <v>0</v>
      </c>
      <c r="Y84" s="29" t="s">
        <v>266</v>
      </c>
      <c r="Z84" s="31" t="s">
        <v>40</v>
      </c>
      <c r="AA84" s="32" t="s">
        <v>267</v>
      </c>
      <c r="AB84" s="32" t="s">
        <v>118</v>
      </c>
      <c r="AC84" s="33" t="s">
        <v>268</v>
      </c>
    </row>
    <row r="85" spans="1:29" ht="46.5" x14ac:dyDescent="0.25">
      <c r="A85" s="34" t="s">
        <v>269</v>
      </c>
      <c r="B85" s="35" t="s">
        <v>270</v>
      </c>
      <c r="C85" s="36"/>
      <c r="D85" s="36"/>
      <c r="E85" s="37">
        <v>0</v>
      </c>
      <c r="F85" s="37">
        <v>0</v>
      </c>
      <c r="G85" s="37">
        <v>0</v>
      </c>
      <c r="H85" s="37">
        <v>0</v>
      </c>
      <c r="I85" s="37">
        <v>0</v>
      </c>
      <c r="J85" s="37">
        <v>0</v>
      </c>
      <c r="K85" s="37">
        <v>0</v>
      </c>
      <c r="L85" s="37">
        <v>0</v>
      </c>
      <c r="M85" s="37">
        <v>0</v>
      </c>
      <c r="N85" s="37">
        <v>0</v>
      </c>
      <c r="O85" s="37">
        <v>0</v>
      </c>
      <c r="P85" s="37">
        <v>0</v>
      </c>
      <c r="Q85" s="37">
        <v>0</v>
      </c>
      <c r="R85" s="37">
        <v>0</v>
      </c>
      <c r="S85" s="37">
        <v>0</v>
      </c>
      <c r="T85" s="37">
        <v>0</v>
      </c>
      <c r="U85" s="37">
        <v>0</v>
      </c>
      <c r="V85" s="37">
        <v>0</v>
      </c>
      <c r="W85" s="37">
        <v>0</v>
      </c>
      <c r="X85" s="37">
        <v>0</v>
      </c>
      <c r="Y85" s="36"/>
      <c r="Z85" s="38"/>
      <c r="AA85" s="39"/>
      <c r="AB85" s="39"/>
      <c r="AC85" s="40"/>
    </row>
    <row r="86" spans="1:29" ht="69.75" x14ac:dyDescent="0.25">
      <c r="A86" s="27" t="s">
        <v>271</v>
      </c>
      <c r="B86" s="28" t="s">
        <v>272</v>
      </c>
      <c r="C86" s="29" t="s">
        <v>28</v>
      </c>
      <c r="D86" s="29" t="s">
        <v>156</v>
      </c>
      <c r="E86" s="30">
        <f>SUM(E87:E87)+300</f>
        <v>300</v>
      </c>
      <c r="F86" s="30">
        <f>SUM(F87:F87)+300</f>
        <v>300</v>
      </c>
      <c r="G86" s="30">
        <f t="shared" ref="G86:N86" si="66">SUM(G87:G87)</f>
        <v>0</v>
      </c>
      <c r="H86" s="30">
        <f t="shared" si="66"/>
        <v>0</v>
      </c>
      <c r="I86" s="30">
        <f t="shared" si="66"/>
        <v>0</v>
      </c>
      <c r="J86" s="30">
        <f t="shared" si="66"/>
        <v>0</v>
      </c>
      <c r="K86" s="30">
        <f t="shared" si="66"/>
        <v>0</v>
      </c>
      <c r="L86" s="30">
        <f t="shared" si="66"/>
        <v>0</v>
      </c>
      <c r="M86" s="30">
        <f t="shared" si="66"/>
        <v>0</v>
      </c>
      <c r="N86" s="30">
        <f t="shared" si="66"/>
        <v>0</v>
      </c>
      <c r="O86" s="30">
        <f>SUM(O87:O87)+300</f>
        <v>300</v>
      </c>
      <c r="P86" s="30">
        <f>SUM(P87:P87)+300</f>
        <v>300</v>
      </c>
      <c r="Q86" s="30">
        <f t="shared" ref="Q86:X86" si="67">SUM(Q87:Q87)</f>
        <v>0</v>
      </c>
      <c r="R86" s="30">
        <f t="shared" si="67"/>
        <v>0</v>
      </c>
      <c r="S86" s="30">
        <f t="shared" si="67"/>
        <v>0</v>
      </c>
      <c r="T86" s="30">
        <f t="shared" si="67"/>
        <v>0</v>
      </c>
      <c r="U86" s="30">
        <f t="shared" si="67"/>
        <v>0</v>
      </c>
      <c r="V86" s="30">
        <f t="shared" si="67"/>
        <v>0</v>
      </c>
      <c r="W86" s="30">
        <f t="shared" si="67"/>
        <v>0</v>
      </c>
      <c r="X86" s="30">
        <f t="shared" si="67"/>
        <v>0</v>
      </c>
      <c r="Y86" s="29" t="s">
        <v>273</v>
      </c>
      <c r="Z86" s="31" t="s">
        <v>40</v>
      </c>
      <c r="AA86" s="32" t="s">
        <v>70</v>
      </c>
      <c r="AB86" s="32" t="s">
        <v>70</v>
      </c>
      <c r="AC86" s="33" t="s">
        <v>274</v>
      </c>
    </row>
    <row r="87" spans="1:29" ht="46.5" x14ac:dyDescent="0.25">
      <c r="A87" s="34" t="s">
        <v>275</v>
      </c>
      <c r="B87" s="35" t="s">
        <v>276</v>
      </c>
      <c r="C87" s="36"/>
      <c r="D87" s="36"/>
      <c r="E87" s="37">
        <v>0</v>
      </c>
      <c r="F87" s="37">
        <v>0</v>
      </c>
      <c r="G87" s="37">
        <v>0</v>
      </c>
      <c r="H87" s="37">
        <v>0</v>
      </c>
      <c r="I87" s="37">
        <v>0</v>
      </c>
      <c r="J87" s="37">
        <v>0</v>
      </c>
      <c r="K87" s="37">
        <v>0</v>
      </c>
      <c r="L87" s="37">
        <v>0</v>
      </c>
      <c r="M87" s="37">
        <v>0</v>
      </c>
      <c r="N87" s="37">
        <v>0</v>
      </c>
      <c r="O87" s="37">
        <v>0</v>
      </c>
      <c r="P87" s="37">
        <v>0</v>
      </c>
      <c r="Q87" s="37">
        <v>0</v>
      </c>
      <c r="R87" s="37">
        <v>0</v>
      </c>
      <c r="S87" s="37">
        <v>0</v>
      </c>
      <c r="T87" s="37">
        <v>0</v>
      </c>
      <c r="U87" s="37">
        <v>0</v>
      </c>
      <c r="V87" s="37">
        <v>0</v>
      </c>
      <c r="W87" s="37">
        <v>0</v>
      </c>
      <c r="X87" s="37">
        <v>0</v>
      </c>
      <c r="Y87" s="36"/>
      <c r="Z87" s="38"/>
      <c r="AA87" s="39"/>
      <c r="AB87" s="39"/>
      <c r="AC87" s="40"/>
    </row>
    <row r="88" spans="1:29" ht="45" x14ac:dyDescent="0.25">
      <c r="A88" s="6" t="s">
        <v>277</v>
      </c>
      <c r="B88" s="7" t="s">
        <v>278</v>
      </c>
      <c r="C88" s="8" t="s">
        <v>279</v>
      </c>
      <c r="D88" s="8" t="s">
        <v>2130</v>
      </c>
      <c r="E88" s="9">
        <f t="shared" ref="E88:X88" si="68">E89+E117+E121+E125+E145+E162+E166+E173+E177+E181+E207+E219+E229+E238</f>
        <v>2965873.5500000003</v>
      </c>
      <c r="F88" s="9">
        <f t="shared" si="68"/>
        <v>1220860.3400000001</v>
      </c>
      <c r="G88" s="9">
        <f t="shared" si="68"/>
        <v>0</v>
      </c>
      <c r="H88" s="9">
        <f t="shared" si="68"/>
        <v>0</v>
      </c>
      <c r="I88" s="9">
        <f t="shared" si="68"/>
        <v>0</v>
      </c>
      <c r="J88" s="9">
        <f t="shared" si="68"/>
        <v>0</v>
      </c>
      <c r="K88" s="9">
        <f t="shared" si="68"/>
        <v>1553575.5</v>
      </c>
      <c r="L88" s="9">
        <f t="shared" si="68"/>
        <v>191437.71000000002</v>
      </c>
      <c r="M88" s="9">
        <f t="shared" si="68"/>
        <v>0</v>
      </c>
      <c r="N88" s="9">
        <f t="shared" si="68"/>
        <v>0</v>
      </c>
      <c r="O88" s="9">
        <f t="shared" si="68"/>
        <v>2188729.0999999996</v>
      </c>
      <c r="P88" s="9">
        <f t="shared" si="68"/>
        <v>1023168.99</v>
      </c>
      <c r="Q88" s="9">
        <f t="shared" si="68"/>
        <v>0</v>
      </c>
      <c r="R88" s="9">
        <f t="shared" si="68"/>
        <v>0</v>
      </c>
      <c r="S88" s="9">
        <f t="shared" si="68"/>
        <v>0</v>
      </c>
      <c r="T88" s="9">
        <f t="shared" si="68"/>
        <v>0</v>
      </c>
      <c r="U88" s="9">
        <f t="shared" si="68"/>
        <v>0</v>
      </c>
      <c r="V88" s="9">
        <f t="shared" si="68"/>
        <v>116461.72</v>
      </c>
      <c r="W88" s="9">
        <f t="shared" si="68"/>
        <v>0</v>
      </c>
      <c r="X88" s="9">
        <f t="shared" si="68"/>
        <v>0</v>
      </c>
      <c r="Y88" s="8"/>
      <c r="Z88" s="10"/>
      <c r="AA88" s="11"/>
      <c r="AB88" s="11"/>
      <c r="AC88" s="12"/>
    </row>
    <row r="89" spans="1:29" ht="45" x14ac:dyDescent="0.25">
      <c r="A89" s="13" t="s">
        <v>280</v>
      </c>
      <c r="B89" s="14" t="s">
        <v>281</v>
      </c>
      <c r="C89" s="15" t="s">
        <v>279</v>
      </c>
      <c r="D89" s="15" t="s">
        <v>282</v>
      </c>
      <c r="E89" s="16">
        <f t="shared" ref="E89:X89" si="69">E90+E95+E110</f>
        <v>965447.51</v>
      </c>
      <c r="F89" s="16">
        <f t="shared" si="69"/>
        <v>882573.96</v>
      </c>
      <c r="G89" s="16">
        <f t="shared" si="69"/>
        <v>0</v>
      </c>
      <c r="H89" s="16">
        <f t="shared" si="69"/>
        <v>0</v>
      </c>
      <c r="I89" s="16">
        <f t="shared" si="69"/>
        <v>0</v>
      </c>
      <c r="J89" s="16">
        <f t="shared" si="69"/>
        <v>0</v>
      </c>
      <c r="K89" s="16">
        <f t="shared" si="69"/>
        <v>0</v>
      </c>
      <c r="L89" s="16">
        <f t="shared" si="69"/>
        <v>82873.55</v>
      </c>
      <c r="M89" s="16">
        <f t="shared" si="69"/>
        <v>0</v>
      </c>
      <c r="N89" s="16">
        <f t="shared" si="69"/>
        <v>0</v>
      </c>
      <c r="O89" s="16">
        <f t="shared" si="69"/>
        <v>796216.42999999993</v>
      </c>
      <c r="P89" s="16">
        <f t="shared" si="69"/>
        <v>713342.87999999989</v>
      </c>
      <c r="Q89" s="16">
        <f t="shared" si="69"/>
        <v>0</v>
      </c>
      <c r="R89" s="16">
        <f t="shared" si="69"/>
        <v>0</v>
      </c>
      <c r="S89" s="16">
        <f t="shared" si="69"/>
        <v>0</v>
      </c>
      <c r="T89" s="16">
        <f t="shared" si="69"/>
        <v>0</v>
      </c>
      <c r="U89" s="16">
        <f t="shared" si="69"/>
        <v>0</v>
      </c>
      <c r="V89" s="16">
        <f t="shared" si="69"/>
        <v>82873.55</v>
      </c>
      <c r="W89" s="16">
        <f t="shared" si="69"/>
        <v>0</v>
      </c>
      <c r="X89" s="16">
        <f t="shared" si="69"/>
        <v>0</v>
      </c>
      <c r="Y89" s="15" t="s">
        <v>283</v>
      </c>
      <c r="Z89" s="17" t="s">
        <v>34</v>
      </c>
      <c r="AA89" s="18" t="s">
        <v>73</v>
      </c>
      <c r="AB89" s="18" t="s">
        <v>284</v>
      </c>
      <c r="AC89" s="19"/>
    </row>
    <row r="90" spans="1:29" ht="112.5" x14ac:dyDescent="0.25">
      <c r="A90" s="20" t="s">
        <v>285</v>
      </c>
      <c r="B90" s="21" t="s">
        <v>286</v>
      </c>
      <c r="C90" s="22" t="s">
        <v>279</v>
      </c>
      <c r="D90" s="22" t="s">
        <v>282</v>
      </c>
      <c r="E90" s="23">
        <f t="shared" ref="E90:X90" si="70">SUM(E91:E91)</f>
        <v>465.96</v>
      </c>
      <c r="F90" s="23">
        <f t="shared" si="70"/>
        <v>465.96</v>
      </c>
      <c r="G90" s="23">
        <f t="shared" si="70"/>
        <v>0</v>
      </c>
      <c r="H90" s="23">
        <f t="shared" si="70"/>
        <v>0</v>
      </c>
      <c r="I90" s="23">
        <f t="shared" si="70"/>
        <v>0</v>
      </c>
      <c r="J90" s="23">
        <f t="shared" si="70"/>
        <v>0</v>
      </c>
      <c r="K90" s="23">
        <f t="shared" si="70"/>
        <v>0</v>
      </c>
      <c r="L90" s="23">
        <f t="shared" si="70"/>
        <v>0</v>
      </c>
      <c r="M90" s="23">
        <f t="shared" si="70"/>
        <v>0</v>
      </c>
      <c r="N90" s="23">
        <f t="shared" si="70"/>
        <v>0</v>
      </c>
      <c r="O90" s="23">
        <f t="shared" si="70"/>
        <v>465.96</v>
      </c>
      <c r="P90" s="23">
        <f t="shared" si="70"/>
        <v>465.96</v>
      </c>
      <c r="Q90" s="23">
        <f t="shared" si="70"/>
        <v>0</v>
      </c>
      <c r="R90" s="23">
        <f t="shared" si="70"/>
        <v>0</v>
      </c>
      <c r="S90" s="23">
        <f t="shared" si="70"/>
        <v>0</v>
      </c>
      <c r="T90" s="23">
        <f t="shared" si="70"/>
        <v>0</v>
      </c>
      <c r="U90" s="23">
        <f t="shared" si="70"/>
        <v>0</v>
      </c>
      <c r="V90" s="23">
        <f t="shared" si="70"/>
        <v>0</v>
      </c>
      <c r="W90" s="23">
        <f t="shared" si="70"/>
        <v>0</v>
      </c>
      <c r="X90" s="23">
        <f t="shared" si="70"/>
        <v>0</v>
      </c>
      <c r="Y90" s="22" t="s">
        <v>287</v>
      </c>
      <c r="Z90" s="24" t="s">
        <v>40</v>
      </c>
      <c r="AA90" s="25" t="s">
        <v>267</v>
      </c>
      <c r="AB90" s="25" t="s">
        <v>267</v>
      </c>
      <c r="AC90" s="26"/>
    </row>
    <row r="91" spans="1:29" ht="69.75" x14ac:dyDescent="0.25">
      <c r="A91" s="27" t="s">
        <v>288</v>
      </c>
      <c r="B91" s="28" t="s">
        <v>289</v>
      </c>
      <c r="C91" s="29" t="s">
        <v>279</v>
      </c>
      <c r="D91" s="29" t="s">
        <v>290</v>
      </c>
      <c r="E91" s="30">
        <f>SUM(E92:E94)+465.96</f>
        <v>465.96</v>
      </c>
      <c r="F91" s="30">
        <f>SUM(F92:F94)+465.96</f>
        <v>465.96</v>
      </c>
      <c r="G91" s="30">
        <f t="shared" ref="G91:N91" si="71">SUM(G92:G94)</f>
        <v>0</v>
      </c>
      <c r="H91" s="30">
        <f t="shared" si="71"/>
        <v>0</v>
      </c>
      <c r="I91" s="30">
        <f t="shared" si="71"/>
        <v>0</v>
      </c>
      <c r="J91" s="30">
        <f t="shared" si="71"/>
        <v>0</v>
      </c>
      <c r="K91" s="30">
        <f t="shared" si="71"/>
        <v>0</v>
      </c>
      <c r="L91" s="30">
        <f t="shared" si="71"/>
        <v>0</v>
      </c>
      <c r="M91" s="30">
        <f t="shared" si="71"/>
        <v>0</v>
      </c>
      <c r="N91" s="30">
        <f t="shared" si="71"/>
        <v>0</v>
      </c>
      <c r="O91" s="30">
        <f>SUM(O92:O94)+465.96</f>
        <v>465.96</v>
      </c>
      <c r="P91" s="30">
        <f>SUM(P92:P94)+465.96</f>
        <v>465.96</v>
      </c>
      <c r="Q91" s="30">
        <f t="shared" ref="Q91:X91" si="72">SUM(Q92:Q94)</f>
        <v>0</v>
      </c>
      <c r="R91" s="30">
        <f t="shared" si="72"/>
        <v>0</v>
      </c>
      <c r="S91" s="30">
        <f t="shared" si="72"/>
        <v>0</v>
      </c>
      <c r="T91" s="30">
        <f t="shared" si="72"/>
        <v>0</v>
      </c>
      <c r="U91" s="30">
        <f t="shared" si="72"/>
        <v>0</v>
      </c>
      <c r="V91" s="30">
        <f t="shared" si="72"/>
        <v>0</v>
      </c>
      <c r="W91" s="30">
        <f t="shared" si="72"/>
        <v>0</v>
      </c>
      <c r="X91" s="30">
        <f t="shared" si="72"/>
        <v>0</v>
      </c>
      <c r="Y91" s="29" t="s">
        <v>291</v>
      </c>
      <c r="Z91" s="31" t="s">
        <v>40</v>
      </c>
      <c r="AA91" s="32" t="s">
        <v>54</v>
      </c>
      <c r="AB91" s="32" t="s">
        <v>54</v>
      </c>
      <c r="AC91" s="33"/>
    </row>
    <row r="92" spans="1:29" ht="46.5" x14ac:dyDescent="0.25">
      <c r="A92" s="41"/>
      <c r="B92" s="42"/>
      <c r="C92" s="43"/>
      <c r="D92" s="43"/>
      <c r="E92" s="44">
        <v>0</v>
      </c>
      <c r="F92" s="44">
        <v>0</v>
      </c>
      <c r="G92" s="44">
        <v>0</v>
      </c>
      <c r="H92" s="44">
        <v>0</v>
      </c>
      <c r="I92" s="44">
        <v>0</v>
      </c>
      <c r="J92" s="44">
        <v>0</v>
      </c>
      <c r="K92" s="44">
        <v>0</v>
      </c>
      <c r="L92" s="44">
        <v>0</v>
      </c>
      <c r="M92" s="44">
        <v>0</v>
      </c>
      <c r="N92" s="44">
        <v>0</v>
      </c>
      <c r="O92" s="44">
        <v>0</v>
      </c>
      <c r="P92" s="44">
        <v>0</v>
      </c>
      <c r="Q92" s="44">
        <v>0</v>
      </c>
      <c r="R92" s="44">
        <v>0</v>
      </c>
      <c r="S92" s="44">
        <v>0</v>
      </c>
      <c r="T92" s="44">
        <v>0</v>
      </c>
      <c r="U92" s="44">
        <v>0</v>
      </c>
      <c r="V92" s="44">
        <v>0</v>
      </c>
      <c r="W92" s="44">
        <v>0</v>
      </c>
      <c r="X92" s="44">
        <v>0</v>
      </c>
      <c r="Y92" s="43" t="s">
        <v>292</v>
      </c>
      <c r="Z92" s="45" t="s">
        <v>40</v>
      </c>
      <c r="AA92" s="46" t="s">
        <v>41</v>
      </c>
      <c r="AB92" s="46" t="s">
        <v>41</v>
      </c>
      <c r="AC92" s="47"/>
    </row>
    <row r="93" spans="1:29" ht="46.5" x14ac:dyDescent="0.25">
      <c r="A93" s="34" t="s">
        <v>293</v>
      </c>
      <c r="B93" s="35" t="s">
        <v>294</v>
      </c>
      <c r="C93" s="36"/>
      <c r="D93" s="36"/>
      <c r="E93" s="37">
        <v>0</v>
      </c>
      <c r="F93" s="37">
        <v>0</v>
      </c>
      <c r="G93" s="37">
        <v>0</v>
      </c>
      <c r="H93" s="37">
        <v>0</v>
      </c>
      <c r="I93" s="37">
        <v>0</v>
      </c>
      <c r="J93" s="37">
        <v>0</v>
      </c>
      <c r="K93" s="37">
        <v>0</v>
      </c>
      <c r="L93" s="37">
        <v>0</v>
      </c>
      <c r="M93" s="37">
        <v>0</v>
      </c>
      <c r="N93" s="37">
        <v>0</v>
      </c>
      <c r="O93" s="37">
        <v>0</v>
      </c>
      <c r="P93" s="37">
        <v>0</v>
      </c>
      <c r="Q93" s="37">
        <v>0</v>
      </c>
      <c r="R93" s="37">
        <v>0</v>
      </c>
      <c r="S93" s="37">
        <v>0</v>
      </c>
      <c r="T93" s="37">
        <v>0</v>
      </c>
      <c r="U93" s="37">
        <v>0</v>
      </c>
      <c r="V93" s="37">
        <v>0</v>
      </c>
      <c r="W93" s="37">
        <v>0</v>
      </c>
      <c r="X93" s="37">
        <v>0</v>
      </c>
      <c r="Y93" s="36"/>
      <c r="Z93" s="38"/>
      <c r="AA93" s="39"/>
      <c r="AB93" s="39"/>
      <c r="AC93" s="40"/>
    </row>
    <row r="94" spans="1:29" ht="46.5" x14ac:dyDescent="0.25">
      <c r="A94" s="34" t="s">
        <v>295</v>
      </c>
      <c r="B94" s="35" t="s">
        <v>296</v>
      </c>
      <c r="C94" s="36"/>
      <c r="D94" s="36"/>
      <c r="E94" s="37">
        <v>0</v>
      </c>
      <c r="F94" s="37">
        <v>0</v>
      </c>
      <c r="G94" s="37">
        <v>0</v>
      </c>
      <c r="H94" s="37">
        <v>0</v>
      </c>
      <c r="I94" s="37">
        <v>0</v>
      </c>
      <c r="J94" s="37">
        <v>0</v>
      </c>
      <c r="K94" s="37">
        <v>0</v>
      </c>
      <c r="L94" s="37">
        <v>0</v>
      </c>
      <c r="M94" s="37">
        <v>0</v>
      </c>
      <c r="N94" s="37">
        <v>0</v>
      </c>
      <c r="O94" s="37">
        <v>0</v>
      </c>
      <c r="P94" s="37">
        <v>0</v>
      </c>
      <c r="Q94" s="37">
        <v>0</v>
      </c>
      <c r="R94" s="37">
        <v>0</v>
      </c>
      <c r="S94" s="37">
        <v>0</v>
      </c>
      <c r="T94" s="37">
        <v>0</v>
      </c>
      <c r="U94" s="37">
        <v>0</v>
      </c>
      <c r="V94" s="37">
        <v>0</v>
      </c>
      <c r="W94" s="37">
        <v>0</v>
      </c>
      <c r="X94" s="37">
        <v>0</v>
      </c>
      <c r="Y94" s="36"/>
      <c r="Z94" s="38"/>
      <c r="AA94" s="39"/>
      <c r="AB94" s="39"/>
      <c r="AC94" s="40"/>
    </row>
    <row r="95" spans="1:29" ht="135" x14ac:dyDescent="0.25">
      <c r="A95" s="20" t="s">
        <v>297</v>
      </c>
      <c r="B95" s="21" t="s">
        <v>298</v>
      </c>
      <c r="C95" s="22" t="s">
        <v>279</v>
      </c>
      <c r="D95" s="22" t="s">
        <v>282</v>
      </c>
      <c r="E95" s="23">
        <f t="shared" ref="E95:X95" si="73">E96+E98+E100+E102+E104+E106+E108</f>
        <v>932393.55</v>
      </c>
      <c r="F95" s="23">
        <f t="shared" si="73"/>
        <v>849520</v>
      </c>
      <c r="G95" s="23">
        <f t="shared" si="73"/>
        <v>0</v>
      </c>
      <c r="H95" s="23">
        <f t="shared" si="73"/>
        <v>0</v>
      </c>
      <c r="I95" s="23">
        <f t="shared" si="73"/>
        <v>0</v>
      </c>
      <c r="J95" s="23">
        <f t="shared" si="73"/>
        <v>0</v>
      </c>
      <c r="K95" s="23">
        <f t="shared" si="73"/>
        <v>0</v>
      </c>
      <c r="L95" s="23">
        <f t="shared" si="73"/>
        <v>82873.55</v>
      </c>
      <c r="M95" s="23">
        <f t="shared" si="73"/>
        <v>0</v>
      </c>
      <c r="N95" s="23">
        <f t="shared" si="73"/>
        <v>0</v>
      </c>
      <c r="O95" s="23">
        <f t="shared" si="73"/>
        <v>763162.47</v>
      </c>
      <c r="P95" s="23">
        <f t="shared" si="73"/>
        <v>680288.91999999993</v>
      </c>
      <c r="Q95" s="23">
        <f t="shared" si="73"/>
        <v>0</v>
      </c>
      <c r="R95" s="23">
        <f t="shared" si="73"/>
        <v>0</v>
      </c>
      <c r="S95" s="23">
        <f t="shared" si="73"/>
        <v>0</v>
      </c>
      <c r="T95" s="23">
        <f t="shared" si="73"/>
        <v>0</v>
      </c>
      <c r="U95" s="23">
        <f t="shared" si="73"/>
        <v>0</v>
      </c>
      <c r="V95" s="23">
        <f t="shared" si="73"/>
        <v>82873.55</v>
      </c>
      <c r="W95" s="23">
        <f t="shared" si="73"/>
        <v>0</v>
      </c>
      <c r="X95" s="23">
        <f t="shared" si="73"/>
        <v>0</v>
      </c>
      <c r="Y95" s="22" t="s">
        <v>299</v>
      </c>
      <c r="Z95" s="24" t="s">
        <v>300</v>
      </c>
      <c r="AA95" s="25" t="s">
        <v>301</v>
      </c>
      <c r="AB95" s="25" t="s">
        <v>301</v>
      </c>
      <c r="AC95" s="26"/>
    </row>
    <row r="96" spans="1:29" ht="116.25" x14ac:dyDescent="0.25">
      <c r="A96" s="27" t="s">
        <v>302</v>
      </c>
      <c r="B96" s="28" t="s">
        <v>303</v>
      </c>
      <c r="C96" s="29" t="s">
        <v>279</v>
      </c>
      <c r="D96" s="29" t="s">
        <v>304</v>
      </c>
      <c r="E96" s="30">
        <f>SUM(E97:E97)+120</f>
        <v>120</v>
      </c>
      <c r="F96" s="30">
        <f>SUM(F97:F97)+120</f>
        <v>120</v>
      </c>
      <c r="G96" s="30">
        <f t="shared" ref="G96:N96" si="74">SUM(G97:G97)</f>
        <v>0</v>
      </c>
      <c r="H96" s="30">
        <f t="shared" si="74"/>
        <v>0</v>
      </c>
      <c r="I96" s="30">
        <f t="shared" si="74"/>
        <v>0</v>
      </c>
      <c r="J96" s="30">
        <f t="shared" si="74"/>
        <v>0</v>
      </c>
      <c r="K96" s="30">
        <f t="shared" si="74"/>
        <v>0</v>
      </c>
      <c r="L96" s="30">
        <f t="shared" si="74"/>
        <v>0</v>
      </c>
      <c r="M96" s="30">
        <f t="shared" si="74"/>
        <v>0</v>
      </c>
      <c r="N96" s="30">
        <f t="shared" si="74"/>
        <v>0</v>
      </c>
      <c r="O96" s="30">
        <f>SUM(O97:O97)+120</f>
        <v>120</v>
      </c>
      <c r="P96" s="30">
        <f>SUM(P97:P97)+120</f>
        <v>120</v>
      </c>
      <c r="Q96" s="30">
        <f t="shared" ref="Q96:X96" si="75">SUM(Q97:Q97)</f>
        <v>0</v>
      </c>
      <c r="R96" s="30">
        <f t="shared" si="75"/>
        <v>0</v>
      </c>
      <c r="S96" s="30">
        <f t="shared" si="75"/>
        <v>0</v>
      </c>
      <c r="T96" s="30">
        <f t="shared" si="75"/>
        <v>0</v>
      </c>
      <c r="U96" s="30">
        <f t="shared" si="75"/>
        <v>0</v>
      </c>
      <c r="V96" s="30">
        <f t="shared" si="75"/>
        <v>0</v>
      </c>
      <c r="W96" s="30">
        <f t="shared" si="75"/>
        <v>0</v>
      </c>
      <c r="X96" s="30">
        <f t="shared" si="75"/>
        <v>0</v>
      </c>
      <c r="Y96" s="29" t="s">
        <v>305</v>
      </c>
      <c r="Z96" s="31" t="s">
        <v>40</v>
      </c>
      <c r="AA96" s="32" t="s">
        <v>54</v>
      </c>
      <c r="AB96" s="32" t="s">
        <v>54</v>
      </c>
      <c r="AC96" s="33"/>
    </row>
    <row r="97" spans="1:29" ht="46.5" x14ac:dyDescent="0.25">
      <c r="A97" s="34" t="s">
        <v>306</v>
      </c>
      <c r="B97" s="35" t="s">
        <v>307</v>
      </c>
      <c r="C97" s="36"/>
      <c r="D97" s="36"/>
      <c r="E97" s="37">
        <v>0</v>
      </c>
      <c r="F97" s="37">
        <v>0</v>
      </c>
      <c r="G97" s="37">
        <v>0</v>
      </c>
      <c r="H97" s="37">
        <v>0</v>
      </c>
      <c r="I97" s="37">
        <v>0</v>
      </c>
      <c r="J97" s="37">
        <v>0</v>
      </c>
      <c r="K97" s="37">
        <v>0</v>
      </c>
      <c r="L97" s="37">
        <v>0</v>
      </c>
      <c r="M97" s="37">
        <v>0</v>
      </c>
      <c r="N97" s="37">
        <v>0</v>
      </c>
      <c r="O97" s="37">
        <v>0</v>
      </c>
      <c r="P97" s="37">
        <v>0</v>
      </c>
      <c r="Q97" s="37">
        <v>0</v>
      </c>
      <c r="R97" s="37">
        <v>0</v>
      </c>
      <c r="S97" s="37">
        <v>0</v>
      </c>
      <c r="T97" s="37">
        <v>0</v>
      </c>
      <c r="U97" s="37">
        <v>0</v>
      </c>
      <c r="V97" s="37">
        <v>0</v>
      </c>
      <c r="W97" s="37">
        <v>0</v>
      </c>
      <c r="X97" s="37">
        <v>0</v>
      </c>
      <c r="Y97" s="36"/>
      <c r="Z97" s="38"/>
      <c r="AA97" s="39"/>
      <c r="AB97" s="39"/>
      <c r="AC97" s="40"/>
    </row>
    <row r="98" spans="1:29" ht="116.25" x14ac:dyDescent="0.25">
      <c r="A98" s="27" t="s">
        <v>308</v>
      </c>
      <c r="B98" s="28" t="s">
        <v>309</v>
      </c>
      <c r="C98" s="29" t="s">
        <v>279</v>
      </c>
      <c r="D98" s="29" t="s">
        <v>304</v>
      </c>
      <c r="E98" s="30">
        <f t="shared" ref="E98:X98" si="76">SUM(E99:E99)</f>
        <v>0</v>
      </c>
      <c r="F98" s="30">
        <f t="shared" si="76"/>
        <v>0</v>
      </c>
      <c r="G98" s="30">
        <f t="shared" si="76"/>
        <v>0</v>
      </c>
      <c r="H98" s="30">
        <f t="shared" si="76"/>
        <v>0</v>
      </c>
      <c r="I98" s="30">
        <f t="shared" si="76"/>
        <v>0</v>
      </c>
      <c r="J98" s="30">
        <f t="shared" si="76"/>
        <v>0</v>
      </c>
      <c r="K98" s="30">
        <f t="shared" si="76"/>
        <v>0</v>
      </c>
      <c r="L98" s="30">
        <f t="shared" si="76"/>
        <v>0</v>
      </c>
      <c r="M98" s="30">
        <f t="shared" si="76"/>
        <v>0</v>
      </c>
      <c r="N98" s="30">
        <f t="shared" si="76"/>
        <v>0</v>
      </c>
      <c r="O98" s="30">
        <f t="shared" si="76"/>
        <v>0</v>
      </c>
      <c r="P98" s="30">
        <f t="shared" si="76"/>
        <v>0</v>
      </c>
      <c r="Q98" s="30">
        <f t="shared" si="76"/>
        <v>0</v>
      </c>
      <c r="R98" s="30">
        <f t="shared" si="76"/>
        <v>0</v>
      </c>
      <c r="S98" s="30">
        <f t="shared" si="76"/>
        <v>0</v>
      </c>
      <c r="T98" s="30">
        <f t="shared" si="76"/>
        <v>0</v>
      </c>
      <c r="U98" s="30">
        <f t="shared" si="76"/>
        <v>0</v>
      </c>
      <c r="V98" s="30">
        <f t="shared" si="76"/>
        <v>0</v>
      </c>
      <c r="W98" s="30">
        <f t="shared" si="76"/>
        <v>0</v>
      </c>
      <c r="X98" s="30">
        <f t="shared" si="76"/>
        <v>0</v>
      </c>
      <c r="Y98" s="29" t="s">
        <v>305</v>
      </c>
      <c r="Z98" s="31" t="s">
        <v>40</v>
      </c>
      <c r="AA98" s="32" t="s">
        <v>54</v>
      </c>
      <c r="AB98" s="32" t="s">
        <v>54</v>
      </c>
      <c r="AC98" s="33"/>
    </row>
    <row r="99" spans="1:29" ht="46.5" x14ac:dyDescent="0.25">
      <c r="A99" s="34" t="s">
        <v>310</v>
      </c>
      <c r="B99" s="35" t="s">
        <v>307</v>
      </c>
      <c r="C99" s="36"/>
      <c r="D99" s="36"/>
      <c r="E99" s="37">
        <v>0</v>
      </c>
      <c r="F99" s="37">
        <v>0</v>
      </c>
      <c r="G99" s="37">
        <v>0</v>
      </c>
      <c r="H99" s="37">
        <v>0</v>
      </c>
      <c r="I99" s="37">
        <v>0</v>
      </c>
      <c r="J99" s="37">
        <v>0</v>
      </c>
      <c r="K99" s="37">
        <v>0</v>
      </c>
      <c r="L99" s="37">
        <v>0</v>
      </c>
      <c r="M99" s="37">
        <v>0</v>
      </c>
      <c r="N99" s="37">
        <v>0</v>
      </c>
      <c r="O99" s="37">
        <v>0</v>
      </c>
      <c r="P99" s="37">
        <v>0</v>
      </c>
      <c r="Q99" s="37">
        <v>0</v>
      </c>
      <c r="R99" s="37">
        <v>0</v>
      </c>
      <c r="S99" s="37">
        <v>0</v>
      </c>
      <c r="T99" s="37">
        <v>0</v>
      </c>
      <c r="U99" s="37">
        <v>0</v>
      </c>
      <c r="V99" s="37">
        <v>0</v>
      </c>
      <c r="W99" s="37">
        <v>0</v>
      </c>
      <c r="X99" s="37">
        <v>0</v>
      </c>
      <c r="Y99" s="36"/>
      <c r="Z99" s="38"/>
      <c r="AA99" s="39"/>
      <c r="AB99" s="39"/>
      <c r="AC99" s="40"/>
    </row>
    <row r="100" spans="1:29" ht="93" x14ac:dyDescent="0.25">
      <c r="A100" s="27" t="s">
        <v>311</v>
      </c>
      <c r="B100" s="28" t="s">
        <v>312</v>
      </c>
      <c r="C100" s="29" t="s">
        <v>279</v>
      </c>
      <c r="D100" s="29" t="s">
        <v>304</v>
      </c>
      <c r="E100" s="30">
        <f>SUM(E101:E101)+82873.55</f>
        <v>82873.55</v>
      </c>
      <c r="F100" s="30">
        <f t="shared" ref="F100:K100" si="77">SUM(F101:F101)</f>
        <v>0</v>
      </c>
      <c r="G100" s="30">
        <f t="shared" si="77"/>
        <v>0</v>
      </c>
      <c r="H100" s="30">
        <f t="shared" si="77"/>
        <v>0</v>
      </c>
      <c r="I100" s="30">
        <f t="shared" si="77"/>
        <v>0</v>
      </c>
      <c r="J100" s="30">
        <f t="shared" si="77"/>
        <v>0</v>
      </c>
      <c r="K100" s="30">
        <f t="shared" si="77"/>
        <v>0</v>
      </c>
      <c r="L100" s="30">
        <f>SUM(L101:L101)+82873.55</f>
        <v>82873.55</v>
      </c>
      <c r="M100" s="30">
        <f>SUM(M101:M101)</f>
        <v>0</v>
      </c>
      <c r="N100" s="30">
        <f>SUM(N101:N101)</f>
        <v>0</v>
      </c>
      <c r="O100" s="30">
        <f>SUM(O101:O101)+82873.55</f>
        <v>82873.55</v>
      </c>
      <c r="P100" s="30">
        <f t="shared" ref="P100:U100" si="78">SUM(P101:P101)</f>
        <v>0</v>
      </c>
      <c r="Q100" s="30">
        <f t="shared" si="78"/>
        <v>0</v>
      </c>
      <c r="R100" s="30">
        <f t="shared" si="78"/>
        <v>0</v>
      </c>
      <c r="S100" s="30">
        <f t="shared" si="78"/>
        <v>0</v>
      </c>
      <c r="T100" s="30">
        <f t="shared" si="78"/>
        <v>0</v>
      </c>
      <c r="U100" s="30">
        <f t="shared" si="78"/>
        <v>0</v>
      </c>
      <c r="V100" s="30">
        <f>SUM(V101:V101)+82873.55</f>
        <v>82873.55</v>
      </c>
      <c r="W100" s="30">
        <f>SUM(W101:W101)</f>
        <v>0</v>
      </c>
      <c r="X100" s="30">
        <f>SUM(X101:X101)</f>
        <v>0</v>
      </c>
      <c r="Y100" s="29" t="s">
        <v>305</v>
      </c>
      <c r="Z100" s="31" t="s">
        <v>40</v>
      </c>
      <c r="AA100" s="32" t="s">
        <v>54</v>
      </c>
      <c r="AB100" s="32" t="s">
        <v>54</v>
      </c>
      <c r="AC100" s="33"/>
    </row>
    <row r="101" spans="1:29" ht="46.5" x14ac:dyDescent="0.25">
      <c r="A101" s="34" t="s">
        <v>313</v>
      </c>
      <c r="B101" s="35" t="s">
        <v>307</v>
      </c>
      <c r="C101" s="36"/>
      <c r="D101" s="36"/>
      <c r="E101" s="37">
        <v>0</v>
      </c>
      <c r="F101" s="37">
        <v>0</v>
      </c>
      <c r="G101" s="37">
        <v>0</v>
      </c>
      <c r="H101" s="37">
        <v>0</v>
      </c>
      <c r="I101" s="37">
        <v>0</v>
      </c>
      <c r="J101" s="37">
        <v>0</v>
      </c>
      <c r="K101" s="37">
        <v>0</v>
      </c>
      <c r="L101" s="37">
        <v>0</v>
      </c>
      <c r="M101" s="37">
        <v>0</v>
      </c>
      <c r="N101" s="37">
        <v>0</v>
      </c>
      <c r="O101" s="37">
        <v>0</v>
      </c>
      <c r="P101" s="37">
        <v>0</v>
      </c>
      <c r="Q101" s="37">
        <v>0</v>
      </c>
      <c r="R101" s="37">
        <v>0</v>
      </c>
      <c r="S101" s="37">
        <v>0</v>
      </c>
      <c r="T101" s="37">
        <v>0</v>
      </c>
      <c r="U101" s="37">
        <v>0</v>
      </c>
      <c r="V101" s="37">
        <v>0</v>
      </c>
      <c r="W101" s="37">
        <v>0</v>
      </c>
      <c r="X101" s="37">
        <v>0</v>
      </c>
      <c r="Y101" s="36"/>
      <c r="Z101" s="38"/>
      <c r="AA101" s="39"/>
      <c r="AB101" s="39"/>
      <c r="AC101" s="40"/>
    </row>
    <row r="102" spans="1:29" ht="69.75" x14ac:dyDescent="0.25">
      <c r="A102" s="27" t="s">
        <v>314</v>
      </c>
      <c r="B102" s="28" t="s">
        <v>315</v>
      </c>
      <c r="C102" s="29" t="s">
        <v>279</v>
      </c>
      <c r="D102" s="29" t="s">
        <v>304</v>
      </c>
      <c r="E102" s="30">
        <f t="shared" ref="E102:X102" si="79">SUM(E103:E103)</f>
        <v>0</v>
      </c>
      <c r="F102" s="30">
        <f t="shared" si="79"/>
        <v>0</v>
      </c>
      <c r="G102" s="30">
        <f t="shared" si="79"/>
        <v>0</v>
      </c>
      <c r="H102" s="30">
        <f t="shared" si="79"/>
        <v>0</v>
      </c>
      <c r="I102" s="30">
        <f t="shared" si="79"/>
        <v>0</v>
      </c>
      <c r="J102" s="30">
        <f t="shared" si="79"/>
        <v>0</v>
      </c>
      <c r="K102" s="30">
        <f t="shared" si="79"/>
        <v>0</v>
      </c>
      <c r="L102" s="30">
        <f t="shared" si="79"/>
        <v>0</v>
      </c>
      <c r="M102" s="30">
        <f t="shared" si="79"/>
        <v>0</v>
      </c>
      <c r="N102" s="30">
        <f t="shared" si="79"/>
        <v>0</v>
      </c>
      <c r="O102" s="30">
        <f t="shared" si="79"/>
        <v>0</v>
      </c>
      <c r="P102" s="30">
        <f t="shared" si="79"/>
        <v>0</v>
      </c>
      <c r="Q102" s="30">
        <f t="shared" si="79"/>
        <v>0</v>
      </c>
      <c r="R102" s="30">
        <f t="shared" si="79"/>
        <v>0</v>
      </c>
      <c r="S102" s="30">
        <f t="shared" si="79"/>
        <v>0</v>
      </c>
      <c r="T102" s="30">
        <f t="shared" si="79"/>
        <v>0</v>
      </c>
      <c r="U102" s="30">
        <f t="shared" si="79"/>
        <v>0</v>
      </c>
      <c r="V102" s="30">
        <f t="shared" si="79"/>
        <v>0</v>
      </c>
      <c r="W102" s="30">
        <f t="shared" si="79"/>
        <v>0</v>
      </c>
      <c r="X102" s="30">
        <f t="shared" si="79"/>
        <v>0</v>
      </c>
      <c r="Y102" s="29" t="s">
        <v>305</v>
      </c>
      <c r="Z102" s="31" t="s">
        <v>40</v>
      </c>
      <c r="AA102" s="32" t="s">
        <v>54</v>
      </c>
      <c r="AB102" s="32" t="s">
        <v>54</v>
      </c>
      <c r="AC102" s="33"/>
    </row>
    <row r="103" spans="1:29" ht="46.5" x14ac:dyDescent="0.25">
      <c r="A103" s="34" t="s">
        <v>316</v>
      </c>
      <c r="B103" s="35" t="s">
        <v>307</v>
      </c>
      <c r="C103" s="36"/>
      <c r="D103" s="36"/>
      <c r="E103" s="37">
        <v>0</v>
      </c>
      <c r="F103" s="37">
        <v>0</v>
      </c>
      <c r="G103" s="37">
        <v>0</v>
      </c>
      <c r="H103" s="37">
        <v>0</v>
      </c>
      <c r="I103" s="37">
        <v>0</v>
      </c>
      <c r="J103" s="37">
        <v>0</v>
      </c>
      <c r="K103" s="37">
        <v>0</v>
      </c>
      <c r="L103" s="37">
        <v>0</v>
      </c>
      <c r="M103" s="37">
        <v>0</v>
      </c>
      <c r="N103" s="37">
        <v>0</v>
      </c>
      <c r="O103" s="37">
        <v>0</v>
      </c>
      <c r="P103" s="37">
        <v>0</v>
      </c>
      <c r="Q103" s="37">
        <v>0</v>
      </c>
      <c r="R103" s="37">
        <v>0</v>
      </c>
      <c r="S103" s="37">
        <v>0</v>
      </c>
      <c r="T103" s="37">
        <v>0</v>
      </c>
      <c r="U103" s="37">
        <v>0</v>
      </c>
      <c r="V103" s="37">
        <v>0</v>
      </c>
      <c r="W103" s="37">
        <v>0</v>
      </c>
      <c r="X103" s="37">
        <v>0</v>
      </c>
      <c r="Y103" s="36"/>
      <c r="Z103" s="38"/>
      <c r="AA103" s="39"/>
      <c r="AB103" s="39"/>
      <c r="AC103" s="40"/>
    </row>
    <row r="104" spans="1:29" ht="93" x14ac:dyDescent="0.25">
      <c r="A104" s="27" t="s">
        <v>317</v>
      </c>
      <c r="B104" s="28" t="s">
        <v>318</v>
      </c>
      <c r="C104" s="29" t="s">
        <v>279</v>
      </c>
      <c r="D104" s="29" t="s">
        <v>319</v>
      </c>
      <c r="E104" s="30">
        <f>SUM(E105:E105)+800000</f>
        <v>800000</v>
      </c>
      <c r="F104" s="30">
        <f>SUM(F105:F105)+800000</f>
        <v>800000</v>
      </c>
      <c r="G104" s="30">
        <f t="shared" ref="G104:N104" si="80">SUM(G105:G105)</f>
        <v>0</v>
      </c>
      <c r="H104" s="30">
        <f t="shared" si="80"/>
        <v>0</v>
      </c>
      <c r="I104" s="30">
        <f t="shared" si="80"/>
        <v>0</v>
      </c>
      <c r="J104" s="30">
        <f t="shared" si="80"/>
        <v>0</v>
      </c>
      <c r="K104" s="30">
        <f t="shared" si="80"/>
        <v>0</v>
      </c>
      <c r="L104" s="30">
        <f t="shared" si="80"/>
        <v>0</v>
      </c>
      <c r="M104" s="30">
        <f t="shared" si="80"/>
        <v>0</v>
      </c>
      <c r="N104" s="30">
        <f t="shared" si="80"/>
        <v>0</v>
      </c>
      <c r="O104" s="30">
        <f>SUM(O105:O105)+630773.09</f>
        <v>630773.09</v>
      </c>
      <c r="P104" s="30">
        <f>SUM(P105:P105)+630773.09</f>
        <v>630773.09</v>
      </c>
      <c r="Q104" s="30">
        <f t="shared" ref="Q104:X104" si="81">SUM(Q105:Q105)</f>
        <v>0</v>
      </c>
      <c r="R104" s="30">
        <f t="shared" si="81"/>
        <v>0</v>
      </c>
      <c r="S104" s="30">
        <f t="shared" si="81"/>
        <v>0</v>
      </c>
      <c r="T104" s="30">
        <f t="shared" si="81"/>
        <v>0</v>
      </c>
      <c r="U104" s="30">
        <f t="shared" si="81"/>
        <v>0</v>
      </c>
      <c r="V104" s="30">
        <f t="shared" si="81"/>
        <v>0</v>
      </c>
      <c r="W104" s="30">
        <f t="shared" si="81"/>
        <v>0</v>
      </c>
      <c r="X104" s="30">
        <f t="shared" si="81"/>
        <v>0</v>
      </c>
      <c r="Y104" s="29" t="s">
        <v>320</v>
      </c>
      <c r="Z104" s="31" t="s">
        <v>34</v>
      </c>
      <c r="AA104" s="32" t="s">
        <v>177</v>
      </c>
      <c r="AB104" s="32" t="s">
        <v>321</v>
      </c>
      <c r="AC104" s="33" t="s">
        <v>322</v>
      </c>
    </row>
    <row r="105" spans="1:29" ht="46.5" x14ac:dyDescent="0.25">
      <c r="A105" s="34" t="s">
        <v>323</v>
      </c>
      <c r="B105" s="35" t="s">
        <v>324</v>
      </c>
      <c r="C105" s="36"/>
      <c r="D105" s="36"/>
      <c r="E105" s="37">
        <v>0</v>
      </c>
      <c r="F105" s="37">
        <v>0</v>
      </c>
      <c r="G105" s="37">
        <v>0</v>
      </c>
      <c r="H105" s="37">
        <v>0</v>
      </c>
      <c r="I105" s="37">
        <v>0</v>
      </c>
      <c r="J105" s="37">
        <v>0</v>
      </c>
      <c r="K105" s="37">
        <v>0</v>
      </c>
      <c r="L105" s="37">
        <v>0</v>
      </c>
      <c r="M105" s="37">
        <v>0</v>
      </c>
      <c r="N105" s="37">
        <v>0</v>
      </c>
      <c r="O105" s="37">
        <v>0</v>
      </c>
      <c r="P105" s="37">
        <v>0</v>
      </c>
      <c r="Q105" s="37">
        <v>0</v>
      </c>
      <c r="R105" s="37">
        <v>0</v>
      </c>
      <c r="S105" s="37">
        <v>0</v>
      </c>
      <c r="T105" s="37">
        <v>0</v>
      </c>
      <c r="U105" s="37">
        <v>0</v>
      </c>
      <c r="V105" s="37">
        <v>0</v>
      </c>
      <c r="W105" s="37">
        <v>0</v>
      </c>
      <c r="X105" s="37">
        <v>0</v>
      </c>
      <c r="Y105" s="36"/>
      <c r="Z105" s="38"/>
      <c r="AA105" s="39"/>
      <c r="AB105" s="39"/>
      <c r="AC105" s="40"/>
    </row>
    <row r="106" spans="1:29" ht="69.75" x14ac:dyDescent="0.25">
      <c r="A106" s="27" t="s">
        <v>325</v>
      </c>
      <c r="B106" s="28" t="s">
        <v>326</v>
      </c>
      <c r="C106" s="29" t="s">
        <v>279</v>
      </c>
      <c r="D106" s="29" t="s">
        <v>282</v>
      </c>
      <c r="E106" s="30">
        <f>SUM(E107:E107)+49400</f>
        <v>49400</v>
      </c>
      <c r="F106" s="30">
        <f>SUM(F107:F107)+49400</f>
        <v>49400</v>
      </c>
      <c r="G106" s="30">
        <f t="shared" ref="G106:N106" si="82">SUM(G107:G107)</f>
        <v>0</v>
      </c>
      <c r="H106" s="30">
        <f t="shared" si="82"/>
        <v>0</v>
      </c>
      <c r="I106" s="30">
        <f t="shared" si="82"/>
        <v>0</v>
      </c>
      <c r="J106" s="30">
        <f t="shared" si="82"/>
        <v>0</v>
      </c>
      <c r="K106" s="30">
        <f t="shared" si="82"/>
        <v>0</v>
      </c>
      <c r="L106" s="30">
        <f t="shared" si="82"/>
        <v>0</v>
      </c>
      <c r="M106" s="30">
        <f t="shared" si="82"/>
        <v>0</v>
      </c>
      <c r="N106" s="30">
        <f t="shared" si="82"/>
        <v>0</v>
      </c>
      <c r="O106" s="30">
        <f>SUM(O107:O107)+49395.83</f>
        <v>49395.83</v>
      </c>
      <c r="P106" s="30">
        <f>SUM(P107:P107)+49395.83</f>
        <v>49395.83</v>
      </c>
      <c r="Q106" s="30">
        <f t="shared" ref="Q106:X106" si="83">SUM(Q107:Q107)</f>
        <v>0</v>
      </c>
      <c r="R106" s="30">
        <f t="shared" si="83"/>
        <v>0</v>
      </c>
      <c r="S106" s="30">
        <f t="shared" si="83"/>
        <v>0</v>
      </c>
      <c r="T106" s="30">
        <f t="shared" si="83"/>
        <v>0</v>
      </c>
      <c r="U106" s="30">
        <f t="shared" si="83"/>
        <v>0</v>
      </c>
      <c r="V106" s="30">
        <f t="shared" si="83"/>
        <v>0</v>
      </c>
      <c r="W106" s="30">
        <f t="shared" si="83"/>
        <v>0</v>
      </c>
      <c r="X106" s="30">
        <f t="shared" si="83"/>
        <v>0</v>
      </c>
      <c r="Y106" s="29" t="s">
        <v>327</v>
      </c>
      <c r="Z106" s="31" t="s">
        <v>40</v>
      </c>
      <c r="AA106" s="32" t="s">
        <v>54</v>
      </c>
      <c r="AB106" s="32" t="s">
        <v>54</v>
      </c>
      <c r="AC106" s="33"/>
    </row>
    <row r="107" spans="1:29" ht="46.5" x14ac:dyDescent="0.25">
      <c r="A107" s="34" t="s">
        <v>328</v>
      </c>
      <c r="B107" s="35" t="s">
        <v>329</v>
      </c>
      <c r="C107" s="36"/>
      <c r="D107" s="36"/>
      <c r="E107" s="37">
        <v>0</v>
      </c>
      <c r="F107" s="37">
        <v>0</v>
      </c>
      <c r="G107" s="37">
        <v>0</v>
      </c>
      <c r="H107" s="37">
        <v>0</v>
      </c>
      <c r="I107" s="37">
        <v>0</v>
      </c>
      <c r="J107" s="37">
        <v>0</v>
      </c>
      <c r="K107" s="37">
        <v>0</v>
      </c>
      <c r="L107" s="37">
        <v>0</v>
      </c>
      <c r="M107" s="37">
        <v>0</v>
      </c>
      <c r="N107" s="37">
        <v>0</v>
      </c>
      <c r="O107" s="37">
        <v>0</v>
      </c>
      <c r="P107" s="37">
        <v>0</v>
      </c>
      <c r="Q107" s="37">
        <v>0</v>
      </c>
      <c r="R107" s="37">
        <v>0</v>
      </c>
      <c r="S107" s="37">
        <v>0</v>
      </c>
      <c r="T107" s="37">
        <v>0</v>
      </c>
      <c r="U107" s="37">
        <v>0</v>
      </c>
      <c r="V107" s="37">
        <v>0</v>
      </c>
      <c r="W107" s="37">
        <v>0</v>
      </c>
      <c r="X107" s="37">
        <v>0</v>
      </c>
      <c r="Y107" s="36"/>
      <c r="Z107" s="38"/>
      <c r="AA107" s="39"/>
      <c r="AB107" s="39"/>
      <c r="AC107" s="40"/>
    </row>
    <row r="108" spans="1:29" ht="93" x14ac:dyDescent="0.25">
      <c r="A108" s="27" t="s">
        <v>330</v>
      </c>
      <c r="B108" s="28" t="s">
        <v>331</v>
      </c>
      <c r="C108" s="29" t="s">
        <v>279</v>
      </c>
      <c r="D108" s="29" t="s">
        <v>282</v>
      </c>
      <c r="E108" s="30">
        <f t="shared" ref="E108:X108" si="84">SUM(E109:E109)</f>
        <v>0</v>
      </c>
      <c r="F108" s="30">
        <f t="shared" si="84"/>
        <v>0</v>
      </c>
      <c r="G108" s="30">
        <f t="shared" si="84"/>
        <v>0</v>
      </c>
      <c r="H108" s="30">
        <f t="shared" si="84"/>
        <v>0</v>
      </c>
      <c r="I108" s="30">
        <f t="shared" si="84"/>
        <v>0</v>
      </c>
      <c r="J108" s="30">
        <f t="shared" si="84"/>
        <v>0</v>
      </c>
      <c r="K108" s="30">
        <f t="shared" si="84"/>
        <v>0</v>
      </c>
      <c r="L108" s="30">
        <f t="shared" si="84"/>
        <v>0</v>
      </c>
      <c r="M108" s="30">
        <f t="shared" si="84"/>
        <v>0</v>
      </c>
      <c r="N108" s="30">
        <f t="shared" si="84"/>
        <v>0</v>
      </c>
      <c r="O108" s="30">
        <f t="shared" si="84"/>
        <v>0</v>
      </c>
      <c r="P108" s="30">
        <f t="shared" si="84"/>
        <v>0</v>
      </c>
      <c r="Q108" s="30">
        <f t="shared" si="84"/>
        <v>0</v>
      </c>
      <c r="R108" s="30">
        <f t="shared" si="84"/>
        <v>0</v>
      </c>
      <c r="S108" s="30">
        <f t="shared" si="84"/>
        <v>0</v>
      </c>
      <c r="T108" s="30">
        <f t="shared" si="84"/>
        <v>0</v>
      </c>
      <c r="U108" s="30">
        <f t="shared" si="84"/>
        <v>0</v>
      </c>
      <c r="V108" s="30">
        <f t="shared" si="84"/>
        <v>0</v>
      </c>
      <c r="W108" s="30">
        <f t="shared" si="84"/>
        <v>0</v>
      </c>
      <c r="X108" s="30">
        <f t="shared" si="84"/>
        <v>0</v>
      </c>
      <c r="Y108" s="29" t="s">
        <v>332</v>
      </c>
      <c r="Z108" s="31" t="s">
        <v>40</v>
      </c>
      <c r="AA108" s="32" t="s">
        <v>54</v>
      </c>
      <c r="AB108" s="32" t="s">
        <v>47</v>
      </c>
      <c r="AC108" s="33"/>
    </row>
    <row r="109" spans="1:29" ht="46.5" x14ac:dyDescent="0.25">
      <c r="A109" s="34" t="s">
        <v>333</v>
      </c>
      <c r="B109" s="35" t="s">
        <v>334</v>
      </c>
      <c r="C109" s="36"/>
      <c r="D109" s="36"/>
      <c r="E109" s="37">
        <v>0</v>
      </c>
      <c r="F109" s="37">
        <v>0</v>
      </c>
      <c r="G109" s="37">
        <v>0</v>
      </c>
      <c r="H109" s="37">
        <v>0</v>
      </c>
      <c r="I109" s="37">
        <v>0</v>
      </c>
      <c r="J109" s="37">
        <v>0</v>
      </c>
      <c r="K109" s="37">
        <v>0</v>
      </c>
      <c r="L109" s="37">
        <v>0</v>
      </c>
      <c r="M109" s="37">
        <v>0</v>
      </c>
      <c r="N109" s="37">
        <v>0</v>
      </c>
      <c r="O109" s="37">
        <v>0</v>
      </c>
      <c r="P109" s="37">
        <v>0</v>
      </c>
      <c r="Q109" s="37">
        <v>0</v>
      </c>
      <c r="R109" s="37">
        <v>0</v>
      </c>
      <c r="S109" s="37">
        <v>0</v>
      </c>
      <c r="T109" s="37">
        <v>0</v>
      </c>
      <c r="U109" s="37">
        <v>0</v>
      </c>
      <c r="V109" s="37">
        <v>0</v>
      </c>
      <c r="W109" s="37">
        <v>0</v>
      </c>
      <c r="X109" s="37">
        <v>0</v>
      </c>
      <c r="Y109" s="36"/>
      <c r="Z109" s="38"/>
      <c r="AA109" s="39"/>
      <c r="AB109" s="39"/>
      <c r="AC109" s="40"/>
    </row>
    <row r="110" spans="1:29" ht="45" x14ac:dyDescent="0.25">
      <c r="A110" s="20" t="s">
        <v>335</v>
      </c>
      <c r="B110" s="21" t="s">
        <v>336</v>
      </c>
      <c r="C110" s="22" t="s">
        <v>337</v>
      </c>
      <c r="D110" s="22" t="s">
        <v>338</v>
      </c>
      <c r="E110" s="23">
        <f t="shared" ref="E110:X110" si="85">E111+E113+E115</f>
        <v>32588</v>
      </c>
      <c r="F110" s="23">
        <f t="shared" si="85"/>
        <v>32588</v>
      </c>
      <c r="G110" s="23">
        <f t="shared" si="85"/>
        <v>0</v>
      </c>
      <c r="H110" s="23">
        <f t="shared" si="85"/>
        <v>0</v>
      </c>
      <c r="I110" s="23">
        <f t="shared" si="85"/>
        <v>0</v>
      </c>
      <c r="J110" s="23">
        <f t="shared" si="85"/>
        <v>0</v>
      </c>
      <c r="K110" s="23">
        <f t="shared" si="85"/>
        <v>0</v>
      </c>
      <c r="L110" s="23">
        <f t="shared" si="85"/>
        <v>0</v>
      </c>
      <c r="M110" s="23">
        <f t="shared" si="85"/>
        <v>0</v>
      </c>
      <c r="N110" s="23">
        <f t="shared" si="85"/>
        <v>0</v>
      </c>
      <c r="O110" s="23">
        <f t="shared" si="85"/>
        <v>32588</v>
      </c>
      <c r="P110" s="23">
        <f t="shared" si="85"/>
        <v>32588</v>
      </c>
      <c r="Q110" s="23">
        <f t="shared" si="85"/>
        <v>0</v>
      </c>
      <c r="R110" s="23">
        <f t="shared" si="85"/>
        <v>0</v>
      </c>
      <c r="S110" s="23">
        <f t="shared" si="85"/>
        <v>0</v>
      </c>
      <c r="T110" s="23">
        <f t="shared" si="85"/>
        <v>0</v>
      </c>
      <c r="U110" s="23">
        <f t="shared" si="85"/>
        <v>0</v>
      </c>
      <c r="V110" s="23">
        <f t="shared" si="85"/>
        <v>0</v>
      </c>
      <c r="W110" s="23">
        <f t="shared" si="85"/>
        <v>0</v>
      </c>
      <c r="X110" s="23">
        <f t="shared" si="85"/>
        <v>0</v>
      </c>
      <c r="Y110" s="22" t="s">
        <v>339</v>
      </c>
      <c r="Z110" s="24" t="s">
        <v>40</v>
      </c>
      <c r="AA110" s="25" t="s">
        <v>69</v>
      </c>
      <c r="AB110" s="25" t="s">
        <v>70</v>
      </c>
      <c r="AC110" s="26"/>
    </row>
    <row r="111" spans="1:29" ht="46.5" x14ac:dyDescent="0.25">
      <c r="A111" s="27" t="s">
        <v>340</v>
      </c>
      <c r="B111" s="28" t="s">
        <v>341</v>
      </c>
      <c r="C111" s="29" t="s">
        <v>337</v>
      </c>
      <c r="D111" s="29" t="s">
        <v>338</v>
      </c>
      <c r="E111" s="30">
        <f>SUM(E112:E112)+15730</f>
        <v>15730</v>
      </c>
      <c r="F111" s="30">
        <f>SUM(F112:F112)+15730</f>
        <v>15730</v>
      </c>
      <c r="G111" s="30">
        <f t="shared" ref="G111:N111" si="86">SUM(G112:G112)</f>
        <v>0</v>
      </c>
      <c r="H111" s="30">
        <f t="shared" si="86"/>
        <v>0</v>
      </c>
      <c r="I111" s="30">
        <f t="shared" si="86"/>
        <v>0</v>
      </c>
      <c r="J111" s="30">
        <f t="shared" si="86"/>
        <v>0</v>
      </c>
      <c r="K111" s="30">
        <f t="shared" si="86"/>
        <v>0</v>
      </c>
      <c r="L111" s="30">
        <f t="shared" si="86"/>
        <v>0</v>
      </c>
      <c r="M111" s="30">
        <f t="shared" si="86"/>
        <v>0</v>
      </c>
      <c r="N111" s="30">
        <f t="shared" si="86"/>
        <v>0</v>
      </c>
      <c r="O111" s="30">
        <f>SUM(O112:O112)+15730</f>
        <v>15730</v>
      </c>
      <c r="P111" s="30">
        <f>SUM(P112:P112)+15730</f>
        <v>15730</v>
      </c>
      <c r="Q111" s="30">
        <f t="shared" ref="Q111:X111" si="87">SUM(Q112:Q112)</f>
        <v>0</v>
      </c>
      <c r="R111" s="30">
        <f t="shared" si="87"/>
        <v>0</v>
      </c>
      <c r="S111" s="30">
        <f t="shared" si="87"/>
        <v>0</v>
      </c>
      <c r="T111" s="30">
        <f t="shared" si="87"/>
        <v>0</v>
      </c>
      <c r="U111" s="30">
        <f t="shared" si="87"/>
        <v>0</v>
      </c>
      <c r="V111" s="30">
        <f t="shared" si="87"/>
        <v>0</v>
      </c>
      <c r="W111" s="30">
        <f t="shared" si="87"/>
        <v>0</v>
      </c>
      <c r="X111" s="30">
        <f t="shared" si="87"/>
        <v>0</v>
      </c>
      <c r="Y111" s="29" t="s">
        <v>342</v>
      </c>
      <c r="Z111" s="31" t="s">
        <v>40</v>
      </c>
      <c r="AA111" s="32" t="s">
        <v>41</v>
      </c>
      <c r="AB111" s="32" t="s">
        <v>70</v>
      </c>
      <c r="AC111" s="33"/>
    </row>
    <row r="112" spans="1:29" ht="46.5" x14ac:dyDescent="0.25">
      <c r="A112" s="34" t="s">
        <v>343</v>
      </c>
      <c r="B112" s="35" t="s">
        <v>344</v>
      </c>
      <c r="C112" s="36"/>
      <c r="D112" s="36"/>
      <c r="E112" s="37">
        <v>0</v>
      </c>
      <c r="F112" s="37">
        <v>0</v>
      </c>
      <c r="G112" s="37">
        <v>0</v>
      </c>
      <c r="H112" s="37">
        <v>0</v>
      </c>
      <c r="I112" s="37">
        <v>0</v>
      </c>
      <c r="J112" s="37">
        <v>0</v>
      </c>
      <c r="K112" s="37">
        <v>0</v>
      </c>
      <c r="L112" s="37">
        <v>0</v>
      </c>
      <c r="M112" s="37">
        <v>0</v>
      </c>
      <c r="N112" s="37">
        <v>0</v>
      </c>
      <c r="O112" s="37">
        <v>0</v>
      </c>
      <c r="P112" s="37">
        <v>0</v>
      </c>
      <c r="Q112" s="37">
        <v>0</v>
      </c>
      <c r="R112" s="37">
        <v>0</v>
      </c>
      <c r="S112" s="37">
        <v>0</v>
      </c>
      <c r="T112" s="37">
        <v>0</v>
      </c>
      <c r="U112" s="37">
        <v>0</v>
      </c>
      <c r="V112" s="37">
        <v>0</v>
      </c>
      <c r="W112" s="37">
        <v>0</v>
      </c>
      <c r="X112" s="37">
        <v>0</v>
      </c>
      <c r="Y112" s="36"/>
      <c r="Z112" s="38"/>
      <c r="AA112" s="39"/>
      <c r="AB112" s="39"/>
      <c r="AC112" s="40"/>
    </row>
    <row r="113" spans="1:29" ht="69.75" x14ac:dyDescent="0.25">
      <c r="A113" s="27" t="s">
        <v>345</v>
      </c>
      <c r="B113" s="28" t="s">
        <v>346</v>
      </c>
      <c r="C113" s="29" t="s">
        <v>337</v>
      </c>
      <c r="D113" s="29" t="s">
        <v>338</v>
      </c>
      <c r="E113" s="30">
        <f>SUM(E114:E114)+5000</f>
        <v>5000</v>
      </c>
      <c r="F113" s="30">
        <f>SUM(F114:F114)+5000</f>
        <v>5000</v>
      </c>
      <c r="G113" s="30">
        <f t="shared" ref="G113:N113" si="88">SUM(G114:G114)</f>
        <v>0</v>
      </c>
      <c r="H113" s="30">
        <f t="shared" si="88"/>
        <v>0</v>
      </c>
      <c r="I113" s="30">
        <f t="shared" si="88"/>
        <v>0</v>
      </c>
      <c r="J113" s="30">
        <f t="shared" si="88"/>
        <v>0</v>
      </c>
      <c r="K113" s="30">
        <f t="shared" si="88"/>
        <v>0</v>
      </c>
      <c r="L113" s="30">
        <f t="shared" si="88"/>
        <v>0</v>
      </c>
      <c r="M113" s="30">
        <f t="shared" si="88"/>
        <v>0</v>
      </c>
      <c r="N113" s="30">
        <f t="shared" si="88"/>
        <v>0</v>
      </c>
      <c r="O113" s="30">
        <f>SUM(O114:O114)+5000</f>
        <v>5000</v>
      </c>
      <c r="P113" s="30">
        <f>SUM(P114:P114)+5000</f>
        <v>5000</v>
      </c>
      <c r="Q113" s="30">
        <f t="shared" ref="Q113:X113" si="89">SUM(Q114:Q114)</f>
        <v>0</v>
      </c>
      <c r="R113" s="30">
        <f t="shared" si="89"/>
        <v>0</v>
      </c>
      <c r="S113" s="30">
        <f t="shared" si="89"/>
        <v>0</v>
      </c>
      <c r="T113" s="30">
        <f t="shared" si="89"/>
        <v>0</v>
      </c>
      <c r="U113" s="30">
        <f t="shared" si="89"/>
        <v>0</v>
      </c>
      <c r="V113" s="30">
        <f t="shared" si="89"/>
        <v>0</v>
      </c>
      <c r="W113" s="30">
        <f t="shared" si="89"/>
        <v>0</v>
      </c>
      <c r="X113" s="30">
        <f t="shared" si="89"/>
        <v>0</v>
      </c>
      <c r="Y113" s="29" t="s">
        <v>347</v>
      </c>
      <c r="Z113" s="31" t="s">
        <v>40</v>
      </c>
      <c r="AA113" s="32" t="s">
        <v>54</v>
      </c>
      <c r="AB113" s="32" t="s">
        <v>54</v>
      </c>
      <c r="AC113" s="33"/>
    </row>
    <row r="114" spans="1:29" ht="46.5" x14ac:dyDescent="0.25">
      <c r="A114" s="34" t="s">
        <v>348</v>
      </c>
      <c r="B114" s="35" t="s">
        <v>349</v>
      </c>
      <c r="C114" s="36"/>
      <c r="D114" s="36"/>
      <c r="E114" s="37">
        <v>0</v>
      </c>
      <c r="F114" s="37">
        <v>0</v>
      </c>
      <c r="G114" s="37">
        <v>0</v>
      </c>
      <c r="H114" s="37">
        <v>0</v>
      </c>
      <c r="I114" s="37">
        <v>0</v>
      </c>
      <c r="J114" s="37">
        <v>0</v>
      </c>
      <c r="K114" s="37">
        <v>0</v>
      </c>
      <c r="L114" s="37">
        <v>0</v>
      </c>
      <c r="M114" s="37">
        <v>0</v>
      </c>
      <c r="N114" s="37">
        <v>0</v>
      </c>
      <c r="O114" s="37">
        <v>0</v>
      </c>
      <c r="P114" s="37">
        <v>0</v>
      </c>
      <c r="Q114" s="37">
        <v>0</v>
      </c>
      <c r="R114" s="37">
        <v>0</v>
      </c>
      <c r="S114" s="37">
        <v>0</v>
      </c>
      <c r="T114" s="37">
        <v>0</v>
      </c>
      <c r="U114" s="37">
        <v>0</v>
      </c>
      <c r="V114" s="37">
        <v>0</v>
      </c>
      <c r="W114" s="37">
        <v>0</v>
      </c>
      <c r="X114" s="37">
        <v>0</v>
      </c>
      <c r="Y114" s="36"/>
      <c r="Z114" s="38"/>
      <c r="AA114" s="39"/>
      <c r="AB114" s="39"/>
      <c r="AC114" s="40"/>
    </row>
    <row r="115" spans="1:29" ht="116.25" x14ac:dyDescent="0.25">
      <c r="A115" s="27" t="s">
        <v>350</v>
      </c>
      <c r="B115" s="28" t="s">
        <v>351</v>
      </c>
      <c r="C115" s="29" t="s">
        <v>337</v>
      </c>
      <c r="D115" s="29" t="s">
        <v>338</v>
      </c>
      <c r="E115" s="30">
        <f>SUM(E116:E116)+11858</f>
        <v>11858</v>
      </c>
      <c r="F115" s="30">
        <f>SUM(F116:F116)+11858</f>
        <v>11858</v>
      </c>
      <c r="G115" s="30">
        <f t="shared" ref="G115:N115" si="90">SUM(G116:G116)</f>
        <v>0</v>
      </c>
      <c r="H115" s="30">
        <f t="shared" si="90"/>
        <v>0</v>
      </c>
      <c r="I115" s="30">
        <f t="shared" si="90"/>
        <v>0</v>
      </c>
      <c r="J115" s="30">
        <f t="shared" si="90"/>
        <v>0</v>
      </c>
      <c r="K115" s="30">
        <f t="shared" si="90"/>
        <v>0</v>
      </c>
      <c r="L115" s="30">
        <f t="shared" si="90"/>
        <v>0</v>
      </c>
      <c r="M115" s="30">
        <f t="shared" si="90"/>
        <v>0</v>
      </c>
      <c r="N115" s="30">
        <f t="shared" si="90"/>
        <v>0</v>
      </c>
      <c r="O115" s="30">
        <f>SUM(O116:O116)+11858</f>
        <v>11858</v>
      </c>
      <c r="P115" s="30">
        <f>SUM(P116:P116)+11858</f>
        <v>11858</v>
      </c>
      <c r="Q115" s="30">
        <f t="shared" ref="Q115:X115" si="91">SUM(Q116:Q116)</f>
        <v>0</v>
      </c>
      <c r="R115" s="30">
        <f t="shared" si="91"/>
        <v>0</v>
      </c>
      <c r="S115" s="30">
        <f t="shared" si="91"/>
        <v>0</v>
      </c>
      <c r="T115" s="30">
        <f t="shared" si="91"/>
        <v>0</v>
      </c>
      <c r="U115" s="30">
        <f t="shared" si="91"/>
        <v>0</v>
      </c>
      <c r="V115" s="30">
        <f t="shared" si="91"/>
        <v>0</v>
      </c>
      <c r="W115" s="30">
        <f t="shared" si="91"/>
        <v>0</v>
      </c>
      <c r="X115" s="30">
        <f t="shared" si="91"/>
        <v>0</v>
      </c>
      <c r="Y115" s="29" t="s">
        <v>352</v>
      </c>
      <c r="Z115" s="31" t="s">
        <v>40</v>
      </c>
      <c r="AA115" s="32" t="s">
        <v>70</v>
      </c>
      <c r="AB115" s="32" t="s">
        <v>70</v>
      </c>
      <c r="AC115" s="33"/>
    </row>
    <row r="116" spans="1:29" ht="46.5" x14ac:dyDescent="0.25">
      <c r="A116" s="34" t="s">
        <v>353</v>
      </c>
      <c r="B116" s="35" t="s">
        <v>354</v>
      </c>
      <c r="C116" s="36"/>
      <c r="D116" s="36"/>
      <c r="E116" s="37">
        <v>0</v>
      </c>
      <c r="F116" s="37">
        <v>0</v>
      </c>
      <c r="G116" s="37">
        <v>0</v>
      </c>
      <c r="H116" s="37">
        <v>0</v>
      </c>
      <c r="I116" s="37">
        <v>0</v>
      </c>
      <c r="J116" s="37">
        <v>0</v>
      </c>
      <c r="K116" s="37">
        <v>0</v>
      </c>
      <c r="L116" s="37">
        <v>0</v>
      </c>
      <c r="M116" s="37">
        <v>0</v>
      </c>
      <c r="N116" s="37">
        <v>0</v>
      </c>
      <c r="O116" s="37">
        <v>0</v>
      </c>
      <c r="P116" s="37">
        <v>0</v>
      </c>
      <c r="Q116" s="37">
        <v>0</v>
      </c>
      <c r="R116" s="37">
        <v>0</v>
      </c>
      <c r="S116" s="37">
        <v>0</v>
      </c>
      <c r="T116" s="37">
        <v>0</v>
      </c>
      <c r="U116" s="37">
        <v>0</v>
      </c>
      <c r="V116" s="37">
        <v>0</v>
      </c>
      <c r="W116" s="37">
        <v>0</v>
      </c>
      <c r="X116" s="37">
        <v>0</v>
      </c>
      <c r="Y116" s="36"/>
      <c r="Z116" s="38"/>
      <c r="AA116" s="39"/>
      <c r="AB116" s="39"/>
      <c r="AC116" s="40"/>
    </row>
    <row r="117" spans="1:29" ht="90" x14ac:dyDescent="0.25">
      <c r="A117" s="13" t="s">
        <v>355</v>
      </c>
      <c r="B117" s="14" t="s">
        <v>356</v>
      </c>
      <c r="C117" s="15" t="s">
        <v>279</v>
      </c>
      <c r="D117" s="15" t="s">
        <v>282</v>
      </c>
      <c r="E117" s="16">
        <f t="shared" ref="E117:N118" si="92">SUM(E118:E118)</f>
        <v>19374</v>
      </c>
      <c r="F117" s="16">
        <f t="shared" si="92"/>
        <v>19374</v>
      </c>
      <c r="G117" s="16">
        <f t="shared" si="92"/>
        <v>0</v>
      </c>
      <c r="H117" s="16">
        <f t="shared" si="92"/>
        <v>0</v>
      </c>
      <c r="I117" s="16">
        <f t="shared" si="92"/>
        <v>0</v>
      </c>
      <c r="J117" s="16">
        <f t="shared" si="92"/>
        <v>0</v>
      </c>
      <c r="K117" s="16">
        <f t="shared" si="92"/>
        <v>0</v>
      </c>
      <c r="L117" s="16">
        <f t="shared" si="92"/>
        <v>0</v>
      </c>
      <c r="M117" s="16">
        <f t="shared" si="92"/>
        <v>0</v>
      </c>
      <c r="N117" s="16">
        <f t="shared" si="92"/>
        <v>0</v>
      </c>
      <c r="O117" s="16">
        <f t="shared" ref="O117:X118" si="93">SUM(O118:O118)</f>
        <v>11674</v>
      </c>
      <c r="P117" s="16">
        <f t="shared" si="93"/>
        <v>11674</v>
      </c>
      <c r="Q117" s="16">
        <f t="shared" si="93"/>
        <v>0</v>
      </c>
      <c r="R117" s="16">
        <f t="shared" si="93"/>
        <v>0</v>
      </c>
      <c r="S117" s="16">
        <f t="shared" si="93"/>
        <v>0</v>
      </c>
      <c r="T117" s="16">
        <f t="shared" si="93"/>
        <v>0</v>
      </c>
      <c r="U117" s="16">
        <f t="shared" si="93"/>
        <v>0</v>
      </c>
      <c r="V117" s="16">
        <f t="shared" si="93"/>
        <v>0</v>
      </c>
      <c r="W117" s="16">
        <f t="shared" si="93"/>
        <v>0</v>
      </c>
      <c r="X117" s="16">
        <f t="shared" si="93"/>
        <v>0</v>
      </c>
      <c r="Y117" s="15" t="s">
        <v>357</v>
      </c>
      <c r="Z117" s="17" t="s">
        <v>34</v>
      </c>
      <c r="AA117" s="18" t="s">
        <v>177</v>
      </c>
      <c r="AB117" s="18" t="s">
        <v>177</v>
      </c>
      <c r="AC117" s="19"/>
    </row>
    <row r="118" spans="1:29" ht="67.5" x14ac:dyDescent="0.25">
      <c r="A118" s="20" t="s">
        <v>358</v>
      </c>
      <c r="B118" s="21" t="s">
        <v>359</v>
      </c>
      <c r="C118" s="22" t="s">
        <v>279</v>
      </c>
      <c r="D118" s="22" t="s">
        <v>282</v>
      </c>
      <c r="E118" s="23">
        <f t="shared" si="92"/>
        <v>19374</v>
      </c>
      <c r="F118" s="23">
        <f t="shared" si="92"/>
        <v>19374</v>
      </c>
      <c r="G118" s="23">
        <f t="shared" si="92"/>
        <v>0</v>
      </c>
      <c r="H118" s="23">
        <f t="shared" si="92"/>
        <v>0</v>
      </c>
      <c r="I118" s="23">
        <f t="shared" si="92"/>
        <v>0</v>
      </c>
      <c r="J118" s="23">
        <f t="shared" si="92"/>
        <v>0</v>
      </c>
      <c r="K118" s="23">
        <f t="shared" si="92"/>
        <v>0</v>
      </c>
      <c r="L118" s="23">
        <f t="shared" si="92"/>
        <v>0</v>
      </c>
      <c r="M118" s="23">
        <f t="shared" si="92"/>
        <v>0</v>
      </c>
      <c r="N118" s="23">
        <f t="shared" si="92"/>
        <v>0</v>
      </c>
      <c r="O118" s="23">
        <f t="shared" si="93"/>
        <v>11674</v>
      </c>
      <c r="P118" s="23">
        <f t="shared" si="93"/>
        <v>11674</v>
      </c>
      <c r="Q118" s="23">
        <f t="shared" si="93"/>
        <v>0</v>
      </c>
      <c r="R118" s="23">
        <f t="shared" si="93"/>
        <v>0</v>
      </c>
      <c r="S118" s="23">
        <f t="shared" si="93"/>
        <v>0</v>
      </c>
      <c r="T118" s="23">
        <f t="shared" si="93"/>
        <v>0</v>
      </c>
      <c r="U118" s="23">
        <f t="shared" si="93"/>
        <v>0</v>
      </c>
      <c r="V118" s="23">
        <f t="shared" si="93"/>
        <v>0</v>
      </c>
      <c r="W118" s="23">
        <f t="shared" si="93"/>
        <v>0</v>
      </c>
      <c r="X118" s="23">
        <f t="shared" si="93"/>
        <v>0</v>
      </c>
      <c r="Y118" s="22" t="s">
        <v>360</v>
      </c>
      <c r="Z118" s="24" t="s">
        <v>40</v>
      </c>
      <c r="AA118" s="25" t="s">
        <v>54</v>
      </c>
      <c r="AB118" s="25" t="s">
        <v>47</v>
      </c>
      <c r="AC118" s="26" t="s">
        <v>361</v>
      </c>
    </row>
    <row r="119" spans="1:29" ht="69.75" x14ac:dyDescent="0.25">
      <c r="A119" s="27" t="s">
        <v>362</v>
      </c>
      <c r="B119" s="28" t="s">
        <v>363</v>
      </c>
      <c r="C119" s="29" t="s">
        <v>279</v>
      </c>
      <c r="D119" s="29" t="s">
        <v>319</v>
      </c>
      <c r="E119" s="30">
        <f>SUM(E120:E120)+19374</f>
        <v>19374</v>
      </c>
      <c r="F119" s="30">
        <f>SUM(F120:F120)+19374</f>
        <v>19374</v>
      </c>
      <c r="G119" s="30">
        <f t="shared" ref="G119:N119" si="94">SUM(G120:G120)</f>
        <v>0</v>
      </c>
      <c r="H119" s="30">
        <f t="shared" si="94"/>
        <v>0</v>
      </c>
      <c r="I119" s="30">
        <f t="shared" si="94"/>
        <v>0</v>
      </c>
      <c r="J119" s="30">
        <f t="shared" si="94"/>
        <v>0</v>
      </c>
      <c r="K119" s="30">
        <f t="shared" si="94"/>
        <v>0</v>
      </c>
      <c r="L119" s="30">
        <f t="shared" si="94"/>
        <v>0</v>
      </c>
      <c r="M119" s="30">
        <f t="shared" si="94"/>
        <v>0</v>
      </c>
      <c r="N119" s="30">
        <f t="shared" si="94"/>
        <v>0</v>
      </c>
      <c r="O119" s="30">
        <f>SUM(O120:O120)+11674</f>
        <v>11674</v>
      </c>
      <c r="P119" s="30">
        <f>SUM(P120:P120)+11674</f>
        <v>11674</v>
      </c>
      <c r="Q119" s="30">
        <f t="shared" ref="Q119:X119" si="95">SUM(Q120:Q120)</f>
        <v>0</v>
      </c>
      <c r="R119" s="30">
        <f t="shared" si="95"/>
        <v>0</v>
      </c>
      <c r="S119" s="30">
        <f t="shared" si="95"/>
        <v>0</v>
      </c>
      <c r="T119" s="30">
        <f t="shared" si="95"/>
        <v>0</v>
      </c>
      <c r="U119" s="30">
        <f t="shared" si="95"/>
        <v>0</v>
      </c>
      <c r="V119" s="30">
        <f t="shared" si="95"/>
        <v>0</v>
      </c>
      <c r="W119" s="30">
        <f t="shared" si="95"/>
        <v>0</v>
      </c>
      <c r="X119" s="30">
        <f t="shared" si="95"/>
        <v>0</v>
      </c>
      <c r="Y119" s="29" t="s">
        <v>364</v>
      </c>
      <c r="Z119" s="31" t="s">
        <v>40</v>
      </c>
      <c r="AA119" s="32" t="s">
        <v>54</v>
      </c>
      <c r="AB119" s="32" t="s">
        <v>47</v>
      </c>
      <c r="AC119" s="33" t="s">
        <v>361</v>
      </c>
    </row>
    <row r="120" spans="1:29" ht="46.5" x14ac:dyDescent="0.25">
      <c r="A120" s="34" t="s">
        <v>365</v>
      </c>
      <c r="B120" s="35" t="s">
        <v>366</v>
      </c>
      <c r="C120" s="36"/>
      <c r="D120" s="36"/>
      <c r="E120" s="37">
        <v>0</v>
      </c>
      <c r="F120" s="37">
        <v>0</v>
      </c>
      <c r="G120" s="37">
        <v>0</v>
      </c>
      <c r="H120" s="37">
        <v>0</v>
      </c>
      <c r="I120" s="37">
        <v>0</v>
      </c>
      <c r="J120" s="37">
        <v>0</v>
      </c>
      <c r="K120" s="37">
        <v>0</v>
      </c>
      <c r="L120" s="37">
        <v>0</v>
      </c>
      <c r="M120" s="37">
        <v>0</v>
      </c>
      <c r="N120" s="37">
        <v>0</v>
      </c>
      <c r="O120" s="37">
        <v>0</v>
      </c>
      <c r="P120" s="37">
        <v>0</v>
      </c>
      <c r="Q120" s="37">
        <v>0</v>
      </c>
      <c r="R120" s="37">
        <v>0</v>
      </c>
      <c r="S120" s="37">
        <v>0</v>
      </c>
      <c r="T120" s="37">
        <v>0</v>
      </c>
      <c r="U120" s="37">
        <v>0</v>
      </c>
      <c r="V120" s="37">
        <v>0</v>
      </c>
      <c r="W120" s="37">
        <v>0</v>
      </c>
      <c r="X120" s="37">
        <v>0</v>
      </c>
      <c r="Y120" s="36"/>
      <c r="Z120" s="38"/>
      <c r="AA120" s="39"/>
      <c r="AB120" s="39"/>
      <c r="AC120" s="40"/>
    </row>
    <row r="121" spans="1:29" ht="45" x14ac:dyDescent="0.25">
      <c r="A121" s="13" t="s">
        <v>367</v>
      </c>
      <c r="B121" s="14" t="s">
        <v>368</v>
      </c>
      <c r="C121" s="15" t="s">
        <v>279</v>
      </c>
      <c r="D121" s="15" t="s">
        <v>282</v>
      </c>
      <c r="E121" s="16">
        <f t="shared" ref="E121:N122" si="96">SUM(E122:E122)</f>
        <v>154771.92000000001</v>
      </c>
      <c r="F121" s="16">
        <f t="shared" si="96"/>
        <v>17666</v>
      </c>
      <c r="G121" s="16">
        <f t="shared" si="96"/>
        <v>0</v>
      </c>
      <c r="H121" s="16">
        <f t="shared" si="96"/>
        <v>0</v>
      </c>
      <c r="I121" s="16">
        <f t="shared" si="96"/>
        <v>0</v>
      </c>
      <c r="J121" s="16">
        <f t="shared" si="96"/>
        <v>0</v>
      </c>
      <c r="K121" s="16">
        <f t="shared" si="96"/>
        <v>137105.92000000001</v>
      </c>
      <c r="L121" s="16">
        <f t="shared" si="96"/>
        <v>0</v>
      </c>
      <c r="M121" s="16">
        <f t="shared" si="96"/>
        <v>0</v>
      </c>
      <c r="N121" s="16">
        <f t="shared" si="96"/>
        <v>0</v>
      </c>
      <c r="O121" s="16">
        <f t="shared" ref="O121:X122" si="97">SUM(O122:O122)</f>
        <v>88751.75</v>
      </c>
      <c r="P121" s="16">
        <f t="shared" si="97"/>
        <v>17666</v>
      </c>
      <c r="Q121" s="16">
        <f t="shared" si="97"/>
        <v>0</v>
      </c>
      <c r="R121" s="16">
        <f t="shared" si="97"/>
        <v>0</v>
      </c>
      <c r="S121" s="16">
        <f t="shared" si="97"/>
        <v>0</v>
      </c>
      <c r="T121" s="16">
        <f t="shared" si="97"/>
        <v>0</v>
      </c>
      <c r="U121" s="16">
        <f t="shared" si="97"/>
        <v>0</v>
      </c>
      <c r="V121" s="16">
        <f t="shared" si="97"/>
        <v>0</v>
      </c>
      <c r="W121" s="16">
        <f t="shared" si="97"/>
        <v>0</v>
      </c>
      <c r="X121" s="16">
        <f t="shared" si="97"/>
        <v>0</v>
      </c>
      <c r="Y121" s="15" t="s">
        <v>369</v>
      </c>
      <c r="Z121" s="17" t="s">
        <v>34</v>
      </c>
      <c r="AA121" s="18" t="s">
        <v>370</v>
      </c>
      <c r="AB121" s="18" t="s">
        <v>370</v>
      </c>
      <c r="AC121" s="19"/>
    </row>
    <row r="122" spans="1:29" ht="90" x14ac:dyDescent="0.25">
      <c r="A122" s="20" t="s">
        <v>371</v>
      </c>
      <c r="B122" s="21" t="s">
        <v>372</v>
      </c>
      <c r="C122" s="22" t="s">
        <v>279</v>
      </c>
      <c r="D122" s="22" t="s">
        <v>282</v>
      </c>
      <c r="E122" s="23">
        <f t="shared" si="96"/>
        <v>154771.92000000001</v>
      </c>
      <c r="F122" s="23">
        <f t="shared" si="96"/>
        <v>17666</v>
      </c>
      <c r="G122" s="23">
        <f t="shared" si="96"/>
        <v>0</v>
      </c>
      <c r="H122" s="23">
        <f t="shared" si="96"/>
        <v>0</v>
      </c>
      <c r="I122" s="23">
        <f t="shared" si="96"/>
        <v>0</v>
      </c>
      <c r="J122" s="23">
        <f t="shared" si="96"/>
        <v>0</v>
      </c>
      <c r="K122" s="23">
        <f t="shared" si="96"/>
        <v>137105.92000000001</v>
      </c>
      <c r="L122" s="23">
        <f t="shared" si="96"/>
        <v>0</v>
      </c>
      <c r="M122" s="23">
        <f t="shared" si="96"/>
        <v>0</v>
      </c>
      <c r="N122" s="23">
        <f t="shared" si="96"/>
        <v>0</v>
      </c>
      <c r="O122" s="23">
        <f t="shared" si="97"/>
        <v>88751.75</v>
      </c>
      <c r="P122" s="23">
        <f t="shared" si="97"/>
        <v>17666</v>
      </c>
      <c r="Q122" s="23">
        <f t="shared" si="97"/>
        <v>0</v>
      </c>
      <c r="R122" s="23">
        <f t="shared" si="97"/>
        <v>0</v>
      </c>
      <c r="S122" s="23">
        <f t="shared" si="97"/>
        <v>0</v>
      </c>
      <c r="T122" s="23">
        <f t="shared" si="97"/>
        <v>0</v>
      </c>
      <c r="U122" s="23">
        <f t="shared" si="97"/>
        <v>0</v>
      </c>
      <c r="V122" s="23">
        <f t="shared" si="97"/>
        <v>0</v>
      </c>
      <c r="W122" s="23">
        <f t="shared" si="97"/>
        <v>0</v>
      </c>
      <c r="X122" s="23">
        <f t="shared" si="97"/>
        <v>0</v>
      </c>
      <c r="Y122" s="22" t="s">
        <v>373</v>
      </c>
      <c r="Z122" s="24" t="s">
        <v>374</v>
      </c>
      <c r="AA122" s="25" t="s">
        <v>375</v>
      </c>
      <c r="AB122" s="25" t="s">
        <v>375</v>
      </c>
      <c r="AC122" s="26"/>
    </row>
    <row r="123" spans="1:29" ht="116.25" x14ac:dyDescent="0.25">
      <c r="A123" s="27" t="s">
        <v>376</v>
      </c>
      <c r="B123" s="28" t="s">
        <v>377</v>
      </c>
      <c r="C123" s="29" t="s">
        <v>279</v>
      </c>
      <c r="D123" s="29" t="s">
        <v>304</v>
      </c>
      <c r="E123" s="30">
        <f>SUM(E124:E124)+154771.92</f>
        <v>154771.92000000001</v>
      </c>
      <c r="F123" s="30">
        <f>SUM(F124:F124)+17666</f>
        <v>17666</v>
      </c>
      <c r="G123" s="30">
        <f>SUM(G124:G124)</f>
        <v>0</v>
      </c>
      <c r="H123" s="30">
        <f>SUM(H124:H124)</f>
        <v>0</v>
      </c>
      <c r="I123" s="30">
        <f>SUM(I124:I124)</f>
        <v>0</v>
      </c>
      <c r="J123" s="30">
        <f>SUM(J124:J124)</f>
        <v>0</v>
      </c>
      <c r="K123" s="30">
        <f>SUM(K124:K124)+137105.92</f>
        <v>137105.92000000001</v>
      </c>
      <c r="L123" s="30">
        <f>SUM(L124:L124)</f>
        <v>0</v>
      </c>
      <c r="M123" s="30">
        <f>SUM(M124:M124)</f>
        <v>0</v>
      </c>
      <c r="N123" s="30">
        <f>SUM(N124:N124)</f>
        <v>0</v>
      </c>
      <c r="O123" s="30">
        <f>SUM(O124:O124)+88751.75</f>
        <v>88751.75</v>
      </c>
      <c r="P123" s="30">
        <f>SUM(P124:P124)+17666</f>
        <v>17666</v>
      </c>
      <c r="Q123" s="30">
        <f t="shared" ref="Q123:X123" si="98">SUM(Q124:Q124)</f>
        <v>0</v>
      </c>
      <c r="R123" s="30">
        <f t="shared" si="98"/>
        <v>0</v>
      </c>
      <c r="S123" s="30">
        <f t="shared" si="98"/>
        <v>0</v>
      </c>
      <c r="T123" s="30">
        <f t="shared" si="98"/>
        <v>0</v>
      </c>
      <c r="U123" s="30">
        <f t="shared" si="98"/>
        <v>0</v>
      </c>
      <c r="V123" s="30">
        <f t="shared" si="98"/>
        <v>0</v>
      </c>
      <c r="W123" s="30">
        <f t="shared" si="98"/>
        <v>0</v>
      </c>
      <c r="X123" s="30">
        <f t="shared" si="98"/>
        <v>0</v>
      </c>
      <c r="Y123" s="29" t="s">
        <v>320</v>
      </c>
      <c r="Z123" s="31" t="s">
        <v>34</v>
      </c>
      <c r="AA123" s="32" t="s">
        <v>35</v>
      </c>
      <c r="AB123" s="32" t="s">
        <v>35</v>
      </c>
      <c r="AC123" s="33" t="s">
        <v>378</v>
      </c>
    </row>
    <row r="124" spans="1:29" ht="46.5" x14ac:dyDescent="0.25">
      <c r="A124" s="34" t="s">
        <v>379</v>
      </c>
      <c r="B124" s="35" t="s">
        <v>380</v>
      </c>
      <c r="C124" s="36"/>
      <c r="D124" s="36"/>
      <c r="E124" s="37">
        <v>0</v>
      </c>
      <c r="F124" s="37">
        <v>0</v>
      </c>
      <c r="G124" s="37">
        <v>0</v>
      </c>
      <c r="H124" s="37">
        <v>0</v>
      </c>
      <c r="I124" s="37">
        <v>0</v>
      </c>
      <c r="J124" s="37">
        <v>0</v>
      </c>
      <c r="K124" s="37">
        <v>0</v>
      </c>
      <c r="L124" s="37">
        <v>0</v>
      </c>
      <c r="M124" s="37">
        <v>0</v>
      </c>
      <c r="N124" s="37">
        <v>0</v>
      </c>
      <c r="O124" s="37">
        <v>0</v>
      </c>
      <c r="P124" s="37">
        <v>0</v>
      </c>
      <c r="Q124" s="37">
        <v>0</v>
      </c>
      <c r="R124" s="37">
        <v>0</v>
      </c>
      <c r="S124" s="37">
        <v>0</v>
      </c>
      <c r="T124" s="37">
        <v>0</v>
      </c>
      <c r="U124" s="37">
        <v>0</v>
      </c>
      <c r="V124" s="37">
        <v>0</v>
      </c>
      <c r="W124" s="37">
        <v>0</v>
      </c>
      <c r="X124" s="37">
        <v>0</v>
      </c>
      <c r="Y124" s="36"/>
      <c r="Z124" s="38"/>
      <c r="AA124" s="39"/>
      <c r="AB124" s="39"/>
      <c r="AC124" s="40"/>
    </row>
    <row r="125" spans="1:29" ht="67.5" x14ac:dyDescent="0.25">
      <c r="A125" s="13" t="s">
        <v>381</v>
      </c>
      <c r="B125" s="14" t="s">
        <v>382</v>
      </c>
      <c r="C125" s="15" t="s">
        <v>383</v>
      </c>
      <c r="D125" s="15" t="s">
        <v>384</v>
      </c>
      <c r="E125" s="16">
        <f t="shared" ref="E125:X125" si="99">SUM(E126:E126)</f>
        <v>38910.32</v>
      </c>
      <c r="F125" s="16">
        <f t="shared" si="99"/>
        <v>21500</v>
      </c>
      <c r="G125" s="16">
        <f t="shared" si="99"/>
        <v>0</v>
      </c>
      <c r="H125" s="16">
        <f t="shared" si="99"/>
        <v>0</v>
      </c>
      <c r="I125" s="16">
        <f t="shared" si="99"/>
        <v>0</v>
      </c>
      <c r="J125" s="16">
        <f t="shared" si="99"/>
        <v>0</v>
      </c>
      <c r="K125" s="16">
        <f t="shared" si="99"/>
        <v>14798.77</v>
      </c>
      <c r="L125" s="16">
        <f t="shared" si="99"/>
        <v>2611.5500000000002</v>
      </c>
      <c r="M125" s="16">
        <f t="shared" si="99"/>
        <v>0</v>
      </c>
      <c r="N125" s="16">
        <f t="shared" si="99"/>
        <v>0</v>
      </c>
      <c r="O125" s="16">
        <f t="shared" si="99"/>
        <v>38909.949999999997</v>
      </c>
      <c r="P125" s="16">
        <f t="shared" si="99"/>
        <v>21499.63</v>
      </c>
      <c r="Q125" s="16">
        <f t="shared" si="99"/>
        <v>0</v>
      </c>
      <c r="R125" s="16">
        <f t="shared" si="99"/>
        <v>0</v>
      </c>
      <c r="S125" s="16">
        <f t="shared" si="99"/>
        <v>0</v>
      </c>
      <c r="T125" s="16">
        <f t="shared" si="99"/>
        <v>0</v>
      </c>
      <c r="U125" s="16">
        <f t="shared" si="99"/>
        <v>0</v>
      </c>
      <c r="V125" s="16">
        <f t="shared" si="99"/>
        <v>2611.5500000000002</v>
      </c>
      <c r="W125" s="16">
        <f t="shared" si="99"/>
        <v>0</v>
      </c>
      <c r="X125" s="16">
        <f t="shared" si="99"/>
        <v>0</v>
      </c>
      <c r="Y125" s="15" t="s">
        <v>385</v>
      </c>
      <c r="Z125" s="17" t="s">
        <v>34</v>
      </c>
      <c r="AA125" s="18" t="s">
        <v>81</v>
      </c>
      <c r="AB125" s="18" t="s">
        <v>81</v>
      </c>
      <c r="AC125" s="19"/>
    </row>
    <row r="126" spans="1:29" ht="90" x14ac:dyDescent="0.25">
      <c r="A126" s="20" t="s">
        <v>386</v>
      </c>
      <c r="B126" s="21" t="s">
        <v>387</v>
      </c>
      <c r="C126" s="22" t="s">
        <v>383</v>
      </c>
      <c r="D126" s="22" t="s">
        <v>384</v>
      </c>
      <c r="E126" s="23">
        <f t="shared" ref="E126:X126" si="100">E127+E128+E130+E132+E134+E136+E140</f>
        <v>38910.32</v>
      </c>
      <c r="F126" s="23">
        <f t="shared" si="100"/>
        <v>21500</v>
      </c>
      <c r="G126" s="23">
        <f t="shared" si="100"/>
        <v>0</v>
      </c>
      <c r="H126" s="23">
        <f t="shared" si="100"/>
        <v>0</v>
      </c>
      <c r="I126" s="23">
        <f t="shared" si="100"/>
        <v>0</v>
      </c>
      <c r="J126" s="23">
        <f t="shared" si="100"/>
        <v>0</v>
      </c>
      <c r="K126" s="23">
        <f t="shared" si="100"/>
        <v>14798.77</v>
      </c>
      <c r="L126" s="23">
        <f t="shared" si="100"/>
        <v>2611.5500000000002</v>
      </c>
      <c r="M126" s="23">
        <f t="shared" si="100"/>
        <v>0</v>
      </c>
      <c r="N126" s="23">
        <f t="shared" si="100"/>
        <v>0</v>
      </c>
      <c r="O126" s="23">
        <f t="shared" si="100"/>
        <v>38909.949999999997</v>
      </c>
      <c r="P126" s="23">
        <f t="shared" si="100"/>
        <v>21499.63</v>
      </c>
      <c r="Q126" s="23">
        <f t="shared" si="100"/>
        <v>0</v>
      </c>
      <c r="R126" s="23">
        <f t="shared" si="100"/>
        <v>0</v>
      </c>
      <c r="S126" s="23">
        <f t="shared" si="100"/>
        <v>0</v>
      </c>
      <c r="T126" s="23">
        <f t="shared" si="100"/>
        <v>0</v>
      </c>
      <c r="U126" s="23">
        <f t="shared" si="100"/>
        <v>0</v>
      </c>
      <c r="V126" s="23">
        <f t="shared" si="100"/>
        <v>2611.5500000000002</v>
      </c>
      <c r="W126" s="23">
        <f t="shared" si="100"/>
        <v>0</v>
      </c>
      <c r="X126" s="23">
        <f t="shared" si="100"/>
        <v>0</v>
      </c>
      <c r="Y126" s="22" t="s">
        <v>388</v>
      </c>
      <c r="Z126" s="24" t="s">
        <v>40</v>
      </c>
      <c r="AA126" s="25" t="s">
        <v>267</v>
      </c>
      <c r="AB126" s="25" t="s">
        <v>267</v>
      </c>
      <c r="AC126" s="26"/>
    </row>
    <row r="127" spans="1:29" ht="46.5" x14ac:dyDescent="0.25">
      <c r="A127" s="41"/>
      <c r="B127" s="42"/>
      <c r="C127" s="43"/>
      <c r="D127" s="43"/>
      <c r="E127" s="44">
        <v>0</v>
      </c>
      <c r="F127" s="44">
        <v>0</v>
      </c>
      <c r="G127" s="44">
        <v>0</v>
      </c>
      <c r="H127" s="44">
        <v>0</v>
      </c>
      <c r="I127" s="44">
        <v>0</v>
      </c>
      <c r="J127" s="44">
        <v>0</v>
      </c>
      <c r="K127" s="44">
        <v>0</v>
      </c>
      <c r="L127" s="44">
        <v>0</v>
      </c>
      <c r="M127" s="44">
        <v>0</v>
      </c>
      <c r="N127" s="44">
        <v>0</v>
      </c>
      <c r="O127" s="44">
        <v>0</v>
      </c>
      <c r="P127" s="44">
        <v>0</v>
      </c>
      <c r="Q127" s="44">
        <v>0</v>
      </c>
      <c r="R127" s="44">
        <v>0</v>
      </c>
      <c r="S127" s="44">
        <v>0</v>
      </c>
      <c r="T127" s="44">
        <v>0</v>
      </c>
      <c r="U127" s="44">
        <v>0</v>
      </c>
      <c r="V127" s="44">
        <v>0</v>
      </c>
      <c r="W127" s="44">
        <v>0</v>
      </c>
      <c r="X127" s="44">
        <v>0</v>
      </c>
      <c r="Y127" s="43" t="s">
        <v>389</v>
      </c>
      <c r="Z127" s="45" t="s">
        <v>40</v>
      </c>
      <c r="AA127" s="46" t="s">
        <v>390</v>
      </c>
      <c r="AB127" s="46" t="s">
        <v>390</v>
      </c>
      <c r="AC127" s="47"/>
    </row>
    <row r="128" spans="1:29" ht="93" x14ac:dyDescent="0.25">
      <c r="A128" s="27" t="s">
        <v>391</v>
      </c>
      <c r="B128" s="28" t="s">
        <v>392</v>
      </c>
      <c r="C128" s="29" t="s">
        <v>383</v>
      </c>
      <c r="D128" s="29" t="s">
        <v>393</v>
      </c>
      <c r="E128" s="30">
        <f t="shared" ref="E128:X128" si="101">SUM(E129:E129)</f>
        <v>0</v>
      </c>
      <c r="F128" s="30">
        <f t="shared" si="101"/>
        <v>0</v>
      </c>
      <c r="G128" s="30">
        <f t="shared" si="101"/>
        <v>0</v>
      </c>
      <c r="H128" s="30">
        <f t="shared" si="101"/>
        <v>0</v>
      </c>
      <c r="I128" s="30">
        <f t="shared" si="101"/>
        <v>0</v>
      </c>
      <c r="J128" s="30">
        <f t="shared" si="101"/>
        <v>0</v>
      </c>
      <c r="K128" s="30">
        <f t="shared" si="101"/>
        <v>0</v>
      </c>
      <c r="L128" s="30">
        <f t="shared" si="101"/>
        <v>0</v>
      </c>
      <c r="M128" s="30">
        <f t="shared" si="101"/>
        <v>0</v>
      </c>
      <c r="N128" s="30">
        <f t="shared" si="101"/>
        <v>0</v>
      </c>
      <c r="O128" s="30">
        <f t="shared" si="101"/>
        <v>0</v>
      </c>
      <c r="P128" s="30">
        <f t="shared" si="101"/>
        <v>0</v>
      </c>
      <c r="Q128" s="30">
        <f t="shared" si="101"/>
        <v>0</v>
      </c>
      <c r="R128" s="30">
        <f t="shared" si="101"/>
        <v>0</v>
      </c>
      <c r="S128" s="30">
        <f t="shared" si="101"/>
        <v>0</v>
      </c>
      <c r="T128" s="30">
        <f t="shared" si="101"/>
        <v>0</v>
      </c>
      <c r="U128" s="30">
        <f t="shared" si="101"/>
        <v>0</v>
      </c>
      <c r="V128" s="30">
        <f t="shared" si="101"/>
        <v>0</v>
      </c>
      <c r="W128" s="30">
        <f t="shared" si="101"/>
        <v>0</v>
      </c>
      <c r="X128" s="30">
        <f t="shared" si="101"/>
        <v>0</v>
      </c>
      <c r="Y128" s="29" t="s">
        <v>394</v>
      </c>
      <c r="Z128" s="31" t="s">
        <v>374</v>
      </c>
      <c r="AA128" s="32" t="s">
        <v>395</v>
      </c>
      <c r="AB128" s="32" t="s">
        <v>395</v>
      </c>
      <c r="AC128" s="33"/>
    </row>
    <row r="129" spans="1:29" ht="116.25" x14ac:dyDescent="0.25">
      <c r="A129" s="34" t="s">
        <v>396</v>
      </c>
      <c r="B129" s="35" t="s">
        <v>397</v>
      </c>
      <c r="C129" s="36"/>
      <c r="D129" s="36"/>
      <c r="E129" s="37">
        <v>0</v>
      </c>
      <c r="F129" s="37">
        <v>0</v>
      </c>
      <c r="G129" s="37">
        <v>0</v>
      </c>
      <c r="H129" s="37">
        <v>0</v>
      </c>
      <c r="I129" s="37">
        <v>0</v>
      </c>
      <c r="J129" s="37">
        <v>0</v>
      </c>
      <c r="K129" s="37">
        <v>0</v>
      </c>
      <c r="L129" s="37">
        <v>0</v>
      </c>
      <c r="M129" s="37">
        <v>0</v>
      </c>
      <c r="N129" s="37">
        <v>0</v>
      </c>
      <c r="O129" s="37">
        <v>0</v>
      </c>
      <c r="P129" s="37">
        <v>0</v>
      </c>
      <c r="Q129" s="37">
        <v>0</v>
      </c>
      <c r="R129" s="37">
        <v>0</v>
      </c>
      <c r="S129" s="37">
        <v>0</v>
      </c>
      <c r="T129" s="37">
        <v>0</v>
      </c>
      <c r="U129" s="37">
        <v>0</v>
      </c>
      <c r="V129" s="37">
        <v>0</v>
      </c>
      <c r="W129" s="37">
        <v>0</v>
      </c>
      <c r="X129" s="37">
        <v>0</v>
      </c>
      <c r="Y129" s="36"/>
      <c r="Z129" s="38"/>
      <c r="AA129" s="39"/>
      <c r="AB129" s="39"/>
      <c r="AC129" s="40"/>
    </row>
    <row r="130" spans="1:29" ht="93" x14ac:dyDescent="0.25">
      <c r="A130" s="27" t="s">
        <v>398</v>
      </c>
      <c r="B130" s="28" t="s">
        <v>399</v>
      </c>
      <c r="C130" s="29" t="s">
        <v>383</v>
      </c>
      <c r="D130" s="29" t="s">
        <v>393</v>
      </c>
      <c r="E130" s="30">
        <f t="shared" ref="E130:X130" si="102">SUM(E131:E131)</f>
        <v>0</v>
      </c>
      <c r="F130" s="30">
        <f t="shared" si="102"/>
        <v>0</v>
      </c>
      <c r="G130" s="30">
        <f t="shared" si="102"/>
        <v>0</v>
      </c>
      <c r="H130" s="30">
        <f t="shared" si="102"/>
        <v>0</v>
      </c>
      <c r="I130" s="30">
        <f t="shared" si="102"/>
        <v>0</v>
      </c>
      <c r="J130" s="30">
        <f t="shared" si="102"/>
        <v>0</v>
      </c>
      <c r="K130" s="30">
        <f t="shared" si="102"/>
        <v>0</v>
      </c>
      <c r="L130" s="30">
        <f t="shared" si="102"/>
        <v>0</v>
      </c>
      <c r="M130" s="30">
        <f t="shared" si="102"/>
        <v>0</v>
      </c>
      <c r="N130" s="30">
        <f t="shared" si="102"/>
        <v>0</v>
      </c>
      <c r="O130" s="30">
        <f t="shared" si="102"/>
        <v>0</v>
      </c>
      <c r="P130" s="30">
        <f t="shared" si="102"/>
        <v>0</v>
      </c>
      <c r="Q130" s="30">
        <f t="shared" si="102"/>
        <v>0</v>
      </c>
      <c r="R130" s="30">
        <f t="shared" si="102"/>
        <v>0</v>
      </c>
      <c r="S130" s="30">
        <f t="shared" si="102"/>
        <v>0</v>
      </c>
      <c r="T130" s="30">
        <f t="shared" si="102"/>
        <v>0</v>
      </c>
      <c r="U130" s="30">
        <f t="shared" si="102"/>
        <v>0</v>
      </c>
      <c r="V130" s="30">
        <f t="shared" si="102"/>
        <v>0</v>
      </c>
      <c r="W130" s="30">
        <f t="shared" si="102"/>
        <v>0</v>
      </c>
      <c r="X130" s="30">
        <f t="shared" si="102"/>
        <v>0</v>
      </c>
      <c r="Y130" s="29" t="s">
        <v>394</v>
      </c>
      <c r="Z130" s="31" t="s">
        <v>374</v>
      </c>
      <c r="AA130" s="32" t="s">
        <v>400</v>
      </c>
      <c r="AB130" s="32" t="s">
        <v>400</v>
      </c>
      <c r="AC130" s="33"/>
    </row>
    <row r="131" spans="1:29" ht="116.25" x14ac:dyDescent="0.25">
      <c r="A131" s="34" t="s">
        <v>401</v>
      </c>
      <c r="B131" s="35" t="s">
        <v>402</v>
      </c>
      <c r="C131" s="36"/>
      <c r="D131" s="36"/>
      <c r="E131" s="37">
        <v>0</v>
      </c>
      <c r="F131" s="37">
        <v>0</v>
      </c>
      <c r="G131" s="37">
        <v>0</v>
      </c>
      <c r="H131" s="37">
        <v>0</v>
      </c>
      <c r="I131" s="37">
        <v>0</v>
      </c>
      <c r="J131" s="37">
        <v>0</v>
      </c>
      <c r="K131" s="37">
        <v>0</v>
      </c>
      <c r="L131" s="37">
        <v>0</v>
      </c>
      <c r="M131" s="37">
        <v>0</v>
      </c>
      <c r="N131" s="37">
        <v>0</v>
      </c>
      <c r="O131" s="37">
        <v>0</v>
      </c>
      <c r="P131" s="37">
        <v>0</v>
      </c>
      <c r="Q131" s="37">
        <v>0</v>
      </c>
      <c r="R131" s="37">
        <v>0</v>
      </c>
      <c r="S131" s="37">
        <v>0</v>
      </c>
      <c r="T131" s="37">
        <v>0</v>
      </c>
      <c r="U131" s="37">
        <v>0</v>
      </c>
      <c r="V131" s="37">
        <v>0</v>
      </c>
      <c r="W131" s="37">
        <v>0</v>
      </c>
      <c r="X131" s="37">
        <v>0</v>
      </c>
      <c r="Y131" s="36"/>
      <c r="Z131" s="38"/>
      <c r="AA131" s="39"/>
      <c r="AB131" s="39"/>
      <c r="AC131" s="40"/>
    </row>
    <row r="132" spans="1:29" ht="93" x14ac:dyDescent="0.25">
      <c r="A132" s="27" t="s">
        <v>403</v>
      </c>
      <c r="B132" s="28" t="s">
        <v>404</v>
      </c>
      <c r="C132" s="29" t="s">
        <v>383</v>
      </c>
      <c r="D132" s="29" t="s">
        <v>393</v>
      </c>
      <c r="E132" s="30">
        <f t="shared" ref="E132:X132" si="103">SUM(E133:E133)</f>
        <v>0</v>
      </c>
      <c r="F132" s="30">
        <f t="shared" si="103"/>
        <v>0</v>
      </c>
      <c r="G132" s="30">
        <f t="shared" si="103"/>
        <v>0</v>
      </c>
      <c r="H132" s="30">
        <f t="shared" si="103"/>
        <v>0</v>
      </c>
      <c r="I132" s="30">
        <f t="shared" si="103"/>
        <v>0</v>
      </c>
      <c r="J132" s="30">
        <f t="shared" si="103"/>
        <v>0</v>
      </c>
      <c r="K132" s="30">
        <f t="shared" si="103"/>
        <v>0</v>
      </c>
      <c r="L132" s="30">
        <f t="shared" si="103"/>
        <v>0</v>
      </c>
      <c r="M132" s="30">
        <f t="shared" si="103"/>
        <v>0</v>
      </c>
      <c r="N132" s="30">
        <f t="shared" si="103"/>
        <v>0</v>
      </c>
      <c r="O132" s="30">
        <f t="shared" si="103"/>
        <v>0</v>
      </c>
      <c r="P132" s="30">
        <f t="shared" si="103"/>
        <v>0</v>
      </c>
      <c r="Q132" s="30">
        <f t="shared" si="103"/>
        <v>0</v>
      </c>
      <c r="R132" s="30">
        <f t="shared" si="103"/>
        <v>0</v>
      </c>
      <c r="S132" s="30">
        <f t="shared" si="103"/>
        <v>0</v>
      </c>
      <c r="T132" s="30">
        <f t="shared" si="103"/>
        <v>0</v>
      </c>
      <c r="U132" s="30">
        <f t="shared" si="103"/>
        <v>0</v>
      </c>
      <c r="V132" s="30">
        <f t="shared" si="103"/>
        <v>0</v>
      </c>
      <c r="W132" s="30">
        <f t="shared" si="103"/>
        <v>0</v>
      </c>
      <c r="X132" s="30">
        <f t="shared" si="103"/>
        <v>0</v>
      </c>
      <c r="Y132" s="29" t="s">
        <v>394</v>
      </c>
      <c r="Z132" s="31" t="s">
        <v>374</v>
      </c>
      <c r="AA132" s="32" t="s">
        <v>405</v>
      </c>
      <c r="AB132" s="32" t="s">
        <v>405</v>
      </c>
      <c r="AC132" s="33"/>
    </row>
    <row r="133" spans="1:29" ht="116.25" x14ac:dyDescent="0.25">
      <c r="A133" s="34" t="s">
        <v>406</v>
      </c>
      <c r="B133" s="35" t="s">
        <v>407</v>
      </c>
      <c r="C133" s="36"/>
      <c r="D133" s="36"/>
      <c r="E133" s="37">
        <v>0</v>
      </c>
      <c r="F133" s="37">
        <v>0</v>
      </c>
      <c r="G133" s="37">
        <v>0</v>
      </c>
      <c r="H133" s="37">
        <v>0</v>
      </c>
      <c r="I133" s="37">
        <v>0</v>
      </c>
      <c r="J133" s="37">
        <v>0</v>
      </c>
      <c r="K133" s="37">
        <v>0</v>
      </c>
      <c r="L133" s="37">
        <v>0</v>
      </c>
      <c r="M133" s="37">
        <v>0</v>
      </c>
      <c r="N133" s="37">
        <v>0</v>
      </c>
      <c r="O133" s="37">
        <v>0</v>
      </c>
      <c r="P133" s="37">
        <v>0</v>
      </c>
      <c r="Q133" s="37">
        <v>0</v>
      </c>
      <c r="R133" s="37">
        <v>0</v>
      </c>
      <c r="S133" s="37">
        <v>0</v>
      </c>
      <c r="T133" s="37">
        <v>0</v>
      </c>
      <c r="U133" s="37">
        <v>0</v>
      </c>
      <c r="V133" s="37">
        <v>0</v>
      </c>
      <c r="W133" s="37">
        <v>0</v>
      </c>
      <c r="X133" s="37">
        <v>0</v>
      </c>
      <c r="Y133" s="36"/>
      <c r="Z133" s="38"/>
      <c r="AA133" s="39"/>
      <c r="AB133" s="39"/>
      <c r="AC133" s="40"/>
    </row>
    <row r="134" spans="1:29" ht="93" x14ac:dyDescent="0.25">
      <c r="A134" s="27" t="s">
        <v>408</v>
      </c>
      <c r="B134" s="28" t="s">
        <v>409</v>
      </c>
      <c r="C134" s="29" t="s">
        <v>383</v>
      </c>
      <c r="D134" s="29" t="s">
        <v>393</v>
      </c>
      <c r="E134" s="30">
        <f t="shared" ref="E134:X134" si="104">SUM(E135:E135)</f>
        <v>0</v>
      </c>
      <c r="F134" s="30">
        <f t="shared" si="104"/>
        <v>0</v>
      </c>
      <c r="G134" s="30">
        <f t="shared" si="104"/>
        <v>0</v>
      </c>
      <c r="H134" s="30">
        <f t="shared" si="104"/>
        <v>0</v>
      </c>
      <c r="I134" s="30">
        <f t="shared" si="104"/>
        <v>0</v>
      </c>
      <c r="J134" s="30">
        <f t="shared" si="104"/>
        <v>0</v>
      </c>
      <c r="K134" s="30">
        <f t="shared" si="104"/>
        <v>0</v>
      </c>
      <c r="L134" s="30">
        <f t="shared" si="104"/>
        <v>0</v>
      </c>
      <c r="M134" s="30">
        <f t="shared" si="104"/>
        <v>0</v>
      </c>
      <c r="N134" s="30">
        <f t="shared" si="104"/>
        <v>0</v>
      </c>
      <c r="O134" s="30">
        <f t="shared" si="104"/>
        <v>0</v>
      </c>
      <c r="P134" s="30">
        <f t="shared" si="104"/>
        <v>0</v>
      </c>
      <c r="Q134" s="30">
        <f t="shared" si="104"/>
        <v>0</v>
      </c>
      <c r="R134" s="30">
        <f t="shared" si="104"/>
        <v>0</v>
      </c>
      <c r="S134" s="30">
        <f t="shared" si="104"/>
        <v>0</v>
      </c>
      <c r="T134" s="30">
        <f t="shared" si="104"/>
        <v>0</v>
      </c>
      <c r="U134" s="30">
        <f t="shared" si="104"/>
        <v>0</v>
      </c>
      <c r="V134" s="30">
        <f t="shared" si="104"/>
        <v>0</v>
      </c>
      <c r="W134" s="30">
        <f t="shared" si="104"/>
        <v>0</v>
      </c>
      <c r="X134" s="30">
        <f t="shared" si="104"/>
        <v>0</v>
      </c>
      <c r="Y134" s="29" t="s">
        <v>394</v>
      </c>
      <c r="Z134" s="31" t="s">
        <v>374</v>
      </c>
      <c r="AA134" s="32" t="s">
        <v>410</v>
      </c>
      <c r="AB134" s="32" t="s">
        <v>410</v>
      </c>
      <c r="AC134" s="33"/>
    </row>
    <row r="135" spans="1:29" ht="116.25" x14ac:dyDescent="0.25">
      <c r="A135" s="34" t="s">
        <v>411</v>
      </c>
      <c r="B135" s="35" t="s">
        <v>412</v>
      </c>
      <c r="C135" s="36"/>
      <c r="D135" s="36"/>
      <c r="E135" s="37">
        <v>0</v>
      </c>
      <c r="F135" s="37">
        <v>0</v>
      </c>
      <c r="G135" s="37">
        <v>0</v>
      </c>
      <c r="H135" s="37">
        <v>0</v>
      </c>
      <c r="I135" s="37">
        <v>0</v>
      </c>
      <c r="J135" s="37">
        <v>0</v>
      </c>
      <c r="K135" s="37">
        <v>0</v>
      </c>
      <c r="L135" s="37">
        <v>0</v>
      </c>
      <c r="M135" s="37">
        <v>0</v>
      </c>
      <c r="N135" s="37">
        <v>0</v>
      </c>
      <c r="O135" s="37">
        <v>0</v>
      </c>
      <c r="P135" s="37">
        <v>0</v>
      </c>
      <c r="Q135" s="37">
        <v>0</v>
      </c>
      <c r="R135" s="37">
        <v>0</v>
      </c>
      <c r="S135" s="37">
        <v>0</v>
      </c>
      <c r="T135" s="37">
        <v>0</v>
      </c>
      <c r="U135" s="37">
        <v>0</v>
      </c>
      <c r="V135" s="37">
        <v>0</v>
      </c>
      <c r="W135" s="37">
        <v>0</v>
      </c>
      <c r="X135" s="37">
        <v>0</v>
      </c>
      <c r="Y135" s="36"/>
      <c r="Z135" s="38"/>
      <c r="AA135" s="39"/>
      <c r="AB135" s="39"/>
      <c r="AC135" s="40"/>
    </row>
    <row r="136" spans="1:29" ht="93" x14ac:dyDescent="0.25">
      <c r="A136" s="27" t="s">
        <v>413</v>
      </c>
      <c r="B136" s="28" t="s">
        <v>414</v>
      </c>
      <c r="C136" s="29" t="s">
        <v>383</v>
      </c>
      <c r="D136" s="29" t="s">
        <v>393</v>
      </c>
      <c r="E136" s="30">
        <f>SUM(E137:E139)+22910.32</f>
        <v>22910.32</v>
      </c>
      <c r="F136" s="30">
        <f>SUM(F137:F139)+5500</f>
        <v>5500</v>
      </c>
      <c r="G136" s="30">
        <f>SUM(G137:G139)</f>
        <v>0</v>
      </c>
      <c r="H136" s="30">
        <f>SUM(H137:H139)</f>
        <v>0</v>
      </c>
      <c r="I136" s="30">
        <f>SUM(I137:I139)</f>
        <v>0</v>
      </c>
      <c r="J136" s="30">
        <f>SUM(J137:J139)</f>
        <v>0</v>
      </c>
      <c r="K136" s="30">
        <f>SUM(K137:K139)+14798.77</f>
        <v>14798.77</v>
      </c>
      <c r="L136" s="30">
        <f>SUM(L137:L139)+2611.55</f>
        <v>2611.5500000000002</v>
      </c>
      <c r="M136" s="30">
        <f>SUM(M137:M139)</f>
        <v>0</v>
      </c>
      <c r="N136" s="30">
        <f>SUM(N137:N139)</f>
        <v>0</v>
      </c>
      <c r="O136" s="30">
        <f>SUM(O137:O139)+22909.95</f>
        <v>22909.95</v>
      </c>
      <c r="P136" s="30">
        <f>SUM(P137:P139)+5499.63</f>
        <v>5499.63</v>
      </c>
      <c r="Q136" s="30">
        <f>SUM(Q137:Q139)</f>
        <v>0</v>
      </c>
      <c r="R136" s="30">
        <f>SUM(R137:R139)</f>
        <v>0</v>
      </c>
      <c r="S136" s="30">
        <f>SUM(S137:S139)</f>
        <v>0</v>
      </c>
      <c r="T136" s="30">
        <f>SUM(T137:T139)</f>
        <v>0</v>
      </c>
      <c r="U136" s="30">
        <f>SUM(U137:U139)</f>
        <v>0</v>
      </c>
      <c r="V136" s="30">
        <f>SUM(V137:V139)+2611.55</f>
        <v>2611.5500000000002</v>
      </c>
      <c r="W136" s="30">
        <f>SUM(W137:W139)</f>
        <v>0</v>
      </c>
      <c r="X136" s="30">
        <f>SUM(X137:X139)</f>
        <v>0</v>
      </c>
      <c r="Y136" s="29" t="s">
        <v>415</v>
      </c>
      <c r="Z136" s="31" t="s">
        <v>374</v>
      </c>
      <c r="AA136" s="32" t="s">
        <v>416</v>
      </c>
      <c r="AB136" s="32" t="s">
        <v>416</v>
      </c>
      <c r="AC136" s="33"/>
    </row>
    <row r="137" spans="1:29" x14ac:dyDescent="0.25">
      <c r="A137" s="41"/>
      <c r="B137" s="42"/>
      <c r="C137" s="43"/>
      <c r="D137" s="43"/>
      <c r="E137" s="44">
        <v>0</v>
      </c>
      <c r="F137" s="44">
        <v>0</v>
      </c>
      <c r="G137" s="44">
        <v>0</v>
      </c>
      <c r="H137" s="44">
        <v>0</v>
      </c>
      <c r="I137" s="44">
        <v>0</v>
      </c>
      <c r="J137" s="44">
        <v>0</v>
      </c>
      <c r="K137" s="44">
        <v>0</v>
      </c>
      <c r="L137" s="44">
        <v>0</v>
      </c>
      <c r="M137" s="44">
        <v>0</v>
      </c>
      <c r="N137" s="44">
        <v>0</v>
      </c>
      <c r="O137" s="44">
        <v>0</v>
      </c>
      <c r="P137" s="44">
        <v>0</v>
      </c>
      <c r="Q137" s="44">
        <v>0</v>
      </c>
      <c r="R137" s="44">
        <v>0</v>
      </c>
      <c r="S137" s="44">
        <v>0</v>
      </c>
      <c r="T137" s="44">
        <v>0</v>
      </c>
      <c r="U137" s="44">
        <v>0</v>
      </c>
      <c r="V137" s="44">
        <v>0</v>
      </c>
      <c r="W137" s="44">
        <v>0</v>
      </c>
      <c r="X137" s="44">
        <v>0</v>
      </c>
      <c r="Y137" s="43" t="s">
        <v>417</v>
      </c>
      <c r="Z137" s="45" t="s">
        <v>40</v>
      </c>
      <c r="AA137" s="46" t="s">
        <v>54</v>
      </c>
      <c r="AB137" s="46" t="s">
        <v>54</v>
      </c>
      <c r="AC137" s="47"/>
    </row>
    <row r="138" spans="1:29" ht="46.5" x14ac:dyDescent="0.25">
      <c r="A138" s="34" t="s">
        <v>418</v>
      </c>
      <c r="B138" s="35" t="s">
        <v>419</v>
      </c>
      <c r="C138" s="36"/>
      <c r="D138" s="36"/>
      <c r="E138" s="37">
        <v>0</v>
      </c>
      <c r="F138" s="37">
        <v>0</v>
      </c>
      <c r="G138" s="37">
        <v>0</v>
      </c>
      <c r="H138" s="37">
        <v>0</v>
      </c>
      <c r="I138" s="37">
        <v>0</v>
      </c>
      <c r="J138" s="37">
        <v>0</v>
      </c>
      <c r="K138" s="37">
        <v>0</v>
      </c>
      <c r="L138" s="37">
        <v>0</v>
      </c>
      <c r="M138" s="37">
        <v>0</v>
      </c>
      <c r="N138" s="37">
        <v>0</v>
      </c>
      <c r="O138" s="37">
        <v>0</v>
      </c>
      <c r="P138" s="37">
        <v>0</v>
      </c>
      <c r="Q138" s="37">
        <v>0</v>
      </c>
      <c r="R138" s="37">
        <v>0</v>
      </c>
      <c r="S138" s="37">
        <v>0</v>
      </c>
      <c r="T138" s="37">
        <v>0</v>
      </c>
      <c r="U138" s="37">
        <v>0</v>
      </c>
      <c r="V138" s="37">
        <v>0</v>
      </c>
      <c r="W138" s="37">
        <v>0</v>
      </c>
      <c r="X138" s="37">
        <v>0</v>
      </c>
      <c r="Y138" s="36"/>
      <c r="Z138" s="38"/>
      <c r="AA138" s="39"/>
      <c r="AB138" s="39"/>
      <c r="AC138" s="40"/>
    </row>
    <row r="139" spans="1:29" ht="116.25" x14ac:dyDescent="0.25">
      <c r="A139" s="34" t="s">
        <v>420</v>
      </c>
      <c r="B139" s="35" t="s">
        <v>421</v>
      </c>
      <c r="C139" s="36"/>
      <c r="D139" s="36"/>
      <c r="E139" s="37">
        <v>0</v>
      </c>
      <c r="F139" s="37">
        <v>0</v>
      </c>
      <c r="G139" s="37">
        <v>0</v>
      </c>
      <c r="H139" s="37">
        <v>0</v>
      </c>
      <c r="I139" s="37">
        <v>0</v>
      </c>
      <c r="J139" s="37">
        <v>0</v>
      </c>
      <c r="K139" s="37">
        <v>0</v>
      </c>
      <c r="L139" s="37">
        <v>0</v>
      </c>
      <c r="M139" s="37">
        <v>0</v>
      </c>
      <c r="N139" s="37">
        <v>0</v>
      </c>
      <c r="O139" s="37">
        <v>0</v>
      </c>
      <c r="P139" s="37">
        <v>0</v>
      </c>
      <c r="Q139" s="37">
        <v>0</v>
      </c>
      <c r="R139" s="37">
        <v>0</v>
      </c>
      <c r="S139" s="37">
        <v>0</v>
      </c>
      <c r="T139" s="37">
        <v>0</v>
      </c>
      <c r="U139" s="37">
        <v>0</v>
      </c>
      <c r="V139" s="37">
        <v>0</v>
      </c>
      <c r="W139" s="37">
        <v>0</v>
      </c>
      <c r="X139" s="37">
        <v>0</v>
      </c>
      <c r="Y139" s="36"/>
      <c r="Z139" s="38"/>
      <c r="AA139" s="39"/>
      <c r="AB139" s="39"/>
      <c r="AC139" s="40"/>
    </row>
    <row r="140" spans="1:29" ht="93" x14ac:dyDescent="0.25">
      <c r="A140" s="27" t="s">
        <v>422</v>
      </c>
      <c r="B140" s="28" t="s">
        <v>423</v>
      </c>
      <c r="C140" s="29" t="s">
        <v>383</v>
      </c>
      <c r="D140" s="29" t="s">
        <v>393</v>
      </c>
      <c r="E140" s="30">
        <f>SUM(E141:E144)+16000</f>
        <v>16000</v>
      </c>
      <c r="F140" s="30">
        <f>SUM(F141:F144)+16000</f>
        <v>16000</v>
      </c>
      <c r="G140" s="30">
        <f t="shared" ref="G140:N140" si="105">SUM(G141:G144)</f>
        <v>0</v>
      </c>
      <c r="H140" s="30">
        <f t="shared" si="105"/>
        <v>0</v>
      </c>
      <c r="I140" s="30">
        <f t="shared" si="105"/>
        <v>0</v>
      </c>
      <c r="J140" s="30">
        <f t="shared" si="105"/>
        <v>0</v>
      </c>
      <c r="K140" s="30">
        <f t="shared" si="105"/>
        <v>0</v>
      </c>
      <c r="L140" s="30">
        <f t="shared" si="105"/>
        <v>0</v>
      </c>
      <c r="M140" s="30">
        <f t="shared" si="105"/>
        <v>0</v>
      </c>
      <c r="N140" s="30">
        <f t="shared" si="105"/>
        <v>0</v>
      </c>
      <c r="O140" s="30">
        <f>SUM(O141:O144)+16000</f>
        <v>16000</v>
      </c>
      <c r="P140" s="30">
        <f>SUM(P141:P144)+16000</f>
        <v>16000</v>
      </c>
      <c r="Q140" s="30">
        <f t="shared" ref="Q140:X140" si="106">SUM(Q141:Q144)</f>
        <v>0</v>
      </c>
      <c r="R140" s="30">
        <f t="shared" si="106"/>
        <v>0</v>
      </c>
      <c r="S140" s="30">
        <f t="shared" si="106"/>
        <v>0</v>
      </c>
      <c r="T140" s="30">
        <f t="shared" si="106"/>
        <v>0</v>
      </c>
      <c r="U140" s="30">
        <f t="shared" si="106"/>
        <v>0</v>
      </c>
      <c r="V140" s="30">
        <f t="shared" si="106"/>
        <v>0</v>
      </c>
      <c r="W140" s="30">
        <f t="shared" si="106"/>
        <v>0</v>
      </c>
      <c r="X140" s="30">
        <f t="shared" si="106"/>
        <v>0</v>
      </c>
      <c r="Y140" s="29" t="s">
        <v>424</v>
      </c>
      <c r="Z140" s="31" t="s">
        <v>40</v>
      </c>
      <c r="AA140" s="32" t="s">
        <v>54</v>
      </c>
      <c r="AB140" s="32" t="s">
        <v>54</v>
      </c>
      <c r="AC140" s="33"/>
    </row>
    <row r="141" spans="1:29" ht="46.5" x14ac:dyDescent="0.25">
      <c r="A141" s="41"/>
      <c r="B141" s="42"/>
      <c r="C141" s="43"/>
      <c r="D141" s="43"/>
      <c r="E141" s="44">
        <v>0</v>
      </c>
      <c r="F141" s="44">
        <v>0</v>
      </c>
      <c r="G141" s="44">
        <v>0</v>
      </c>
      <c r="H141" s="44">
        <v>0</v>
      </c>
      <c r="I141" s="44">
        <v>0</v>
      </c>
      <c r="J141" s="44">
        <v>0</v>
      </c>
      <c r="K141" s="44">
        <v>0</v>
      </c>
      <c r="L141" s="44">
        <v>0</v>
      </c>
      <c r="M141" s="44">
        <v>0</v>
      </c>
      <c r="N141" s="44">
        <v>0</v>
      </c>
      <c r="O141" s="44">
        <v>0</v>
      </c>
      <c r="P141" s="44">
        <v>0</v>
      </c>
      <c r="Q141" s="44">
        <v>0</v>
      </c>
      <c r="R141" s="44">
        <v>0</v>
      </c>
      <c r="S141" s="44">
        <v>0</v>
      </c>
      <c r="T141" s="44">
        <v>0</v>
      </c>
      <c r="U141" s="44">
        <v>0</v>
      </c>
      <c r="V141" s="44">
        <v>0</v>
      </c>
      <c r="W141" s="44">
        <v>0</v>
      </c>
      <c r="X141" s="44">
        <v>0</v>
      </c>
      <c r="Y141" s="43" t="s">
        <v>417</v>
      </c>
      <c r="Z141" s="45" t="s">
        <v>40</v>
      </c>
      <c r="AA141" s="46" t="s">
        <v>54</v>
      </c>
      <c r="AB141" s="46" t="s">
        <v>47</v>
      </c>
      <c r="AC141" s="47" t="s">
        <v>425</v>
      </c>
    </row>
    <row r="142" spans="1:29" ht="93" x14ac:dyDescent="0.25">
      <c r="A142" s="41"/>
      <c r="B142" s="42"/>
      <c r="C142" s="43"/>
      <c r="D142" s="43"/>
      <c r="E142" s="44">
        <v>0</v>
      </c>
      <c r="F142" s="44">
        <v>0</v>
      </c>
      <c r="G142" s="44">
        <v>0</v>
      </c>
      <c r="H142" s="44">
        <v>0</v>
      </c>
      <c r="I142" s="44">
        <v>0</v>
      </c>
      <c r="J142" s="44">
        <v>0</v>
      </c>
      <c r="K142" s="44">
        <v>0</v>
      </c>
      <c r="L142" s="44">
        <v>0</v>
      </c>
      <c r="M142" s="44">
        <v>0</v>
      </c>
      <c r="N142" s="44">
        <v>0</v>
      </c>
      <c r="O142" s="44">
        <v>0</v>
      </c>
      <c r="P142" s="44">
        <v>0</v>
      </c>
      <c r="Q142" s="44">
        <v>0</v>
      </c>
      <c r="R142" s="44">
        <v>0</v>
      </c>
      <c r="S142" s="44">
        <v>0</v>
      </c>
      <c r="T142" s="44">
        <v>0</v>
      </c>
      <c r="U142" s="44">
        <v>0</v>
      </c>
      <c r="V142" s="44">
        <v>0</v>
      </c>
      <c r="W142" s="44">
        <v>0</v>
      </c>
      <c r="X142" s="44">
        <v>0</v>
      </c>
      <c r="Y142" s="43" t="s">
        <v>426</v>
      </c>
      <c r="Z142" s="45" t="s">
        <v>374</v>
      </c>
      <c r="AA142" s="46" t="s">
        <v>427</v>
      </c>
      <c r="AB142" s="46" t="s">
        <v>47</v>
      </c>
      <c r="AC142" s="47" t="s">
        <v>428</v>
      </c>
    </row>
    <row r="143" spans="1:29" ht="93" x14ac:dyDescent="0.25">
      <c r="A143" s="34" t="s">
        <v>429</v>
      </c>
      <c r="B143" s="35" t="s">
        <v>430</v>
      </c>
      <c r="C143" s="36"/>
      <c r="D143" s="36"/>
      <c r="E143" s="37">
        <v>0</v>
      </c>
      <c r="F143" s="37">
        <v>0</v>
      </c>
      <c r="G143" s="37">
        <v>0</v>
      </c>
      <c r="H143" s="37">
        <v>0</v>
      </c>
      <c r="I143" s="37">
        <v>0</v>
      </c>
      <c r="J143" s="37">
        <v>0</v>
      </c>
      <c r="K143" s="37">
        <v>0</v>
      </c>
      <c r="L143" s="37">
        <v>0</v>
      </c>
      <c r="M143" s="37">
        <v>0</v>
      </c>
      <c r="N143" s="37">
        <v>0</v>
      </c>
      <c r="O143" s="37">
        <v>0</v>
      </c>
      <c r="P143" s="37">
        <v>0</v>
      </c>
      <c r="Q143" s="37">
        <v>0</v>
      </c>
      <c r="R143" s="37">
        <v>0</v>
      </c>
      <c r="S143" s="37">
        <v>0</v>
      </c>
      <c r="T143" s="37">
        <v>0</v>
      </c>
      <c r="U143" s="37">
        <v>0</v>
      </c>
      <c r="V143" s="37">
        <v>0</v>
      </c>
      <c r="W143" s="37">
        <v>0</v>
      </c>
      <c r="X143" s="37">
        <v>0</v>
      </c>
      <c r="Y143" s="36"/>
      <c r="Z143" s="38"/>
      <c r="AA143" s="39"/>
      <c r="AB143" s="39"/>
      <c r="AC143" s="40"/>
    </row>
    <row r="144" spans="1:29" ht="116.25" x14ac:dyDescent="0.25">
      <c r="A144" s="34" t="s">
        <v>431</v>
      </c>
      <c r="B144" s="35" t="s">
        <v>432</v>
      </c>
      <c r="C144" s="36"/>
      <c r="D144" s="36"/>
      <c r="E144" s="37">
        <v>0</v>
      </c>
      <c r="F144" s="37">
        <v>0</v>
      </c>
      <c r="G144" s="37">
        <v>0</v>
      </c>
      <c r="H144" s="37">
        <v>0</v>
      </c>
      <c r="I144" s="37">
        <v>0</v>
      </c>
      <c r="J144" s="37">
        <v>0</v>
      </c>
      <c r="K144" s="37">
        <v>0</v>
      </c>
      <c r="L144" s="37">
        <v>0</v>
      </c>
      <c r="M144" s="37">
        <v>0</v>
      </c>
      <c r="N144" s="37">
        <v>0</v>
      </c>
      <c r="O144" s="37">
        <v>0</v>
      </c>
      <c r="P144" s="37">
        <v>0</v>
      </c>
      <c r="Q144" s="37">
        <v>0</v>
      </c>
      <c r="R144" s="37">
        <v>0</v>
      </c>
      <c r="S144" s="37">
        <v>0</v>
      </c>
      <c r="T144" s="37">
        <v>0</v>
      </c>
      <c r="U144" s="37">
        <v>0</v>
      </c>
      <c r="V144" s="37">
        <v>0</v>
      </c>
      <c r="W144" s="37">
        <v>0</v>
      </c>
      <c r="X144" s="37">
        <v>0</v>
      </c>
      <c r="Y144" s="36"/>
      <c r="Z144" s="38"/>
      <c r="AA144" s="39"/>
      <c r="AB144" s="39"/>
      <c r="AC144" s="40"/>
    </row>
    <row r="145" spans="1:29" ht="67.5" x14ac:dyDescent="0.25">
      <c r="A145" s="13" t="s">
        <v>433</v>
      </c>
      <c r="B145" s="14" t="s">
        <v>434</v>
      </c>
      <c r="C145" s="15" t="s">
        <v>279</v>
      </c>
      <c r="D145" s="15" t="s">
        <v>282</v>
      </c>
      <c r="E145" s="16">
        <f t="shared" ref="E145:X145" si="107">E146+E151</f>
        <v>500475.02</v>
      </c>
      <c r="F145" s="16">
        <f t="shared" si="107"/>
        <v>2269.2799999999997</v>
      </c>
      <c r="G145" s="16">
        <f t="shared" si="107"/>
        <v>0</v>
      </c>
      <c r="H145" s="16">
        <f t="shared" si="107"/>
        <v>0</v>
      </c>
      <c r="I145" s="16">
        <f t="shared" si="107"/>
        <v>0</v>
      </c>
      <c r="J145" s="16">
        <f t="shared" si="107"/>
        <v>0</v>
      </c>
      <c r="K145" s="16">
        <f t="shared" si="107"/>
        <v>460913.46</v>
      </c>
      <c r="L145" s="16">
        <f t="shared" si="107"/>
        <v>37292.28</v>
      </c>
      <c r="M145" s="16">
        <f t="shared" si="107"/>
        <v>0</v>
      </c>
      <c r="N145" s="16">
        <f t="shared" si="107"/>
        <v>0</v>
      </c>
      <c r="O145" s="16">
        <f t="shared" si="107"/>
        <v>237375.9</v>
      </c>
      <c r="P145" s="16">
        <f t="shared" si="107"/>
        <v>867.9799999999999</v>
      </c>
      <c r="Q145" s="16">
        <f t="shared" si="107"/>
        <v>0</v>
      </c>
      <c r="R145" s="16">
        <f t="shared" si="107"/>
        <v>0</v>
      </c>
      <c r="S145" s="16">
        <f t="shared" si="107"/>
        <v>0</v>
      </c>
      <c r="T145" s="16">
        <f t="shared" si="107"/>
        <v>0</v>
      </c>
      <c r="U145" s="16">
        <f t="shared" si="107"/>
        <v>0</v>
      </c>
      <c r="V145" s="16">
        <f t="shared" si="107"/>
        <v>98.5</v>
      </c>
      <c r="W145" s="16">
        <f t="shared" si="107"/>
        <v>0</v>
      </c>
      <c r="X145" s="16">
        <f t="shared" si="107"/>
        <v>0</v>
      </c>
      <c r="Y145" s="15" t="s">
        <v>435</v>
      </c>
      <c r="Z145" s="17" t="s">
        <v>34</v>
      </c>
      <c r="AA145" s="18" t="s">
        <v>67</v>
      </c>
      <c r="AB145" s="18" t="s">
        <v>67</v>
      </c>
      <c r="AC145" s="19"/>
    </row>
    <row r="146" spans="1:29" ht="67.5" x14ac:dyDescent="0.25">
      <c r="A146" s="20" t="s">
        <v>436</v>
      </c>
      <c r="B146" s="21" t="s">
        <v>437</v>
      </c>
      <c r="C146" s="22" t="s">
        <v>279</v>
      </c>
      <c r="D146" s="22" t="s">
        <v>282</v>
      </c>
      <c r="E146" s="23">
        <f t="shared" ref="E146:X146" si="108">E147+E149</f>
        <v>499605.74</v>
      </c>
      <c r="F146" s="23">
        <f t="shared" si="108"/>
        <v>1400</v>
      </c>
      <c r="G146" s="23">
        <f t="shared" si="108"/>
        <v>0</v>
      </c>
      <c r="H146" s="23">
        <f t="shared" si="108"/>
        <v>0</v>
      </c>
      <c r="I146" s="23">
        <f t="shared" si="108"/>
        <v>0</v>
      </c>
      <c r="J146" s="23">
        <f t="shared" si="108"/>
        <v>0</v>
      </c>
      <c r="K146" s="23">
        <f t="shared" si="108"/>
        <v>460913.46</v>
      </c>
      <c r="L146" s="23">
        <f t="shared" si="108"/>
        <v>37292.28</v>
      </c>
      <c r="M146" s="23">
        <f t="shared" si="108"/>
        <v>0</v>
      </c>
      <c r="N146" s="23">
        <f t="shared" si="108"/>
        <v>0</v>
      </c>
      <c r="O146" s="23">
        <f t="shared" si="108"/>
        <v>236507.91999999998</v>
      </c>
      <c r="P146" s="23">
        <f t="shared" si="108"/>
        <v>0</v>
      </c>
      <c r="Q146" s="23">
        <f t="shared" si="108"/>
        <v>0</v>
      </c>
      <c r="R146" s="23">
        <f t="shared" si="108"/>
        <v>0</v>
      </c>
      <c r="S146" s="23">
        <f t="shared" si="108"/>
        <v>0</v>
      </c>
      <c r="T146" s="23">
        <f t="shared" si="108"/>
        <v>0</v>
      </c>
      <c r="U146" s="23">
        <f t="shared" si="108"/>
        <v>0</v>
      </c>
      <c r="V146" s="23">
        <f t="shared" si="108"/>
        <v>98.5</v>
      </c>
      <c r="W146" s="23">
        <f t="shared" si="108"/>
        <v>0</v>
      </c>
      <c r="X146" s="23">
        <f t="shared" si="108"/>
        <v>0</v>
      </c>
      <c r="Y146" s="22" t="s">
        <v>438</v>
      </c>
      <c r="Z146" s="24" t="s">
        <v>40</v>
      </c>
      <c r="AA146" s="25" t="s">
        <v>41</v>
      </c>
      <c r="AB146" s="25" t="s">
        <v>41</v>
      </c>
      <c r="AC146" s="26"/>
    </row>
    <row r="147" spans="1:29" ht="69.75" x14ac:dyDescent="0.25">
      <c r="A147" s="27" t="s">
        <v>439</v>
      </c>
      <c r="B147" s="28" t="s">
        <v>440</v>
      </c>
      <c r="C147" s="29" t="s">
        <v>279</v>
      </c>
      <c r="D147" s="29" t="s">
        <v>319</v>
      </c>
      <c r="E147" s="30">
        <f>SUM(E148:E148)+32610.02</f>
        <v>32610.02</v>
      </c>
      <c r="F147" s="30">
        <f>SUM(F148:F148)</f>
        <v>0</v>
      </c>
      <c r="G147" s="30">
        <f>SUM(G148:G148)</f>
        <v>0</v>
      </c>
      <c r="H147" s="30">
        <f>SUM(H148:H148)</f>
        <v>0</v>
      </c>
      <c r="I147" s="30">
        <f>SUM(I148:I148)</f>
        <v>0</v>
      </c>
      <c r="J147" s="30">
        <f>SUM(J148:J148)</f>
        <v>0</v>
      </c>
      <c r="K147" s="30">
        <f>SUM(K148:K148)+32610.01</f>
        <v>32610.01</v>
      </c>
      <c r="L147" s="30">
        <f>SUM(L148:L148)+0.01</f>
        <v>0.01</v>
      </c>
      <c r="M147" s="30">
        <f>SUM(M148:M148)</f>
        <v>0</v>
      </c>
      <c r="N147" s="30">
        <f>SUM(N148:N148)</f>
        <v>0</v>
      </c>
      <c r="O147" s="30">
        <f>SUM(O148:O148)+32610.02</f>
        <v>32610.02</v>
      </c>
      <c r="P147" s="30">
        <f t="shared" ref="P147:U147" si="109">SUM(P148:P148)</f>
        <v>0</v>
      </c>
      <c r="Q147" s="30">
        <f t="shared" si="109"/>
        <v>0</v>
      </c>
      <c r="R147" s="30">
        <f t="shared" si="109"/>
        <v>0</v>
      </c>
      <c r="S147" s="30">
        <f t="shared" si="109"/>
        <v>0</v>
      </c>
      <c r="T147" s="30">
        <f t="shared" si="109"/>
        <v>0</v>
      </c>
      <c r="U147" s="30">
        <f t="shared" si="109"/>
        <v>0</v>
      </c>
      <c r="V147" s="30">
        <f>SUM(V148:V148)+0.01</f>
        <v>0.01</v>
      </c>
      <c r="W147" s="30">
        <f>SUM(W148:W148)</f>
        <v>0</v>
      </c>
      <c r="X147" s="30">
        <f>SUM(X148:X148)</f>
        <v>0</v>
      </c>
      <c r="Y147" s="29" t="s">
        <v>441</v>
      </c>
      <c r="Z147" s="31" t="s">
        <v>40</v>
      </c>
      <c r="AA147" s="32" t="s">
        <v>54</v>
      </c>
      <c r="AB147" s="32" t="s">
        <v>54</v>
      </c>
      <c r="AC147" s="33"/>
    </row>
    <row r="148" spans="1:29" ht="46.5" x14ac:dyDescent="0.25">
      <c r="A148" s="34" t="s">
        <v>442</v>
      </c>
      <c r="B148" s="35" t="s">
        <v>443</v>
      </c>
      <c r="C148" s="36"/>
      <c r="D148" s="36"/>
      <c r="E148" s="37">
        <v>0</v>
      </c>
      <c r="F148" s="37">
        <v>0</v>
      </c>
      <c r="G148" s="37">
        <v>0</v>
      </c>
      <c r="H148" s="37">
        <v>0</v>
      </c>
      <c r="I148" s="37">
        <v>0</v>
      </c>
      <c r="J148" s="37">
        <v>0</v>
      </c>
      <c r="K148" s="37">
        <v>0</v>
      </c>
      <c r="L148" s="37">
        <v>0</v>
      </c>
      <c r="M148" s="37">
        <v>0</v>
      </c>
      <c r="N148" s="37">
        <v>0</v>
      </c>
      <c r="O148" s="37">
        <v>0</v>
      </c>
      <c r="P148" s="37">
        <v>0</v>
      </c>
      <c r="Q148" s="37">
        <v>0</v>
      </c>
      <c r="R148" s="37">
        <v>0</v>
      </c>
      <c r="S148" s="37">
        <v>0</v>
      </c>
      <c r="T148" s="37">
        <v>0</v>
      </c>
      <c r="U148" s="37">
        <v>0</v>
      </c>
      <c r="V148" s="37">
        <v>0</v>
      </c>
      <c r="W148" s="37">
        <v>0</v>
      </c>
      <c r="X148" s="37">
        <v>0</v>
      </c>
      <c r="Y148" s="36"/>
      <c r="Z148" s="38"/>
      <c r="AA148" s="39"/>
      <c r="AB148" s="39"/>
      <c r="AC148" s="40"/>
    </row>
    <row r="149" spans="1:29" ht="69.75" x14ac:dyDescent="0.25">
      <c r="A149" s="27" t="s">
        <v>444</v>
      </c>
      <c r="B149" s="28" t="s">
        <v>445</v>
      </c>
      <c r="C149" s="29" t="s">
        <v>279</v>
      </c>
      <c r="D149" s="29" t="s">
        <v>319</v>
      </c>
      <c r="E149" s="30">
        <f>SUM(E150:E150)+466995.72</f>
        <v>466995.72</v>
      </c>
      <c r="F149" s="30">
        <f>SUM(F150:F150)+1400</f>
        <v>1400</v>
      </c>
      <c r="G149" s="30">
        <f>SUM(G150:G150)</f>
        <v>0</v>
      </c>
      <c r="H149" s="30">
        <f>SUM(H150:H150)</f>
        <v>0</v>
      </c>
      <c r="I149" s="30">
        <f>SUM(I150:I150)</f>
        <v>0</v>
      </c>
      <c r="J149" s="30">
        <f>SUM(J150:J150)</f>
        <v>0</v>
      </c>
      <c r="K149" s="30">
        <f>SUM(K150:K150)+428303.45</f>
        <v>428303.45</v>
      </c>
      <c r="L149" s="30">
        <f>SUM(L150:L150)+37292.27</f>
        <v>37292.269999999997</v>
      </c>
      <c r="M149" s="30">
        <f>SUM(M150:M150)</f>
        <v>0</v>
      </c>
      <c r="N149" s="30">
        <f>SUM(N150:N150)</f>
        <v>0</v>
      </c>
      <c r="O149" s="30">
        <f>SUM(O150:O150)+203897.9</f>
        <v>203897.9</v>
      </c>
      <c r="P149" s="30">
        <f t="shared" ref="P149:U149" si="110">SUM(P150:P150)</f>
        <v>0</v>
      </c>
      <c r="Q149" s="30">
        <f t="shared" si="110"/>
        <v>0</v>
      </c>
      <c r="R149" s="30">
        <f t="shared" si="110"/>
        <v>0</v>
      </c>
      <c r="S149" s="30">
        <f t="shared" si="110"/>
        <v>0</v>
      </c>
      <c r="T149" s="30">
        <f t="shared" si="110"/>
        <v>0</v>
      </c>
      <c r="U149" s="30">
        <f t="shared" si="110"/>
        <v>0</v>
      </c>
      <c r="V149" s="30">
        <f>SUM(V150:V150)+98.49</f>
        <v>98.49</v>
      </c>
      <c r="W149" s="30">
        <f>SUM(W150:W150)</f>
        <v>0</v>
      </c>
      <c r="X149" s="30">
        <f>SUM(X150:X150)</f>
        <v>0</v>
      </c>
      <c r="Y149" s="29" t="s">
        <v>441</v>
      </c>
      <c r="Z149" s="31" t="s">
        <v>40</v>
      </c>
      <c r="AA149" s="32" t="s">
        <v>54</v>
      </c>
      <c r="AB149" s="32" t="s">
        <v>54</v>
      </c>
      <c r="AC149" s="33" t="s">
        <v>446</v>
      </c>
    </row>
    <row r="150" spans="1:29" ht="46.5" x14ac:dyDescent="0.25">
      <c r="A150" s="34" t="s">
        <v>447</v>
      </c>
      <c r="B150" s="35" t="s">
        <v>443</v>
      </c>
      <c r="C150" s="36"/>
      <c r="D150" s="36"/>
      <c r="E150" s="37">
        <v>0</v>
      </c>
      <c r="F150" s="37">
        <v>0</v>
      </c>
      <c r="G150" s="37">
        <v>0</v>
      </c>
      <c r="H150" s="37">
        <v>0</v>
      </c>
      <c r="I150" s="37">
        <v>0</v>
      </c>
      <c r="J150" s="37">
        <v>0</v>
      </c>
      <c r="K150" s="37">
        <v>0</v>
      </c>
      <c r="L150" s="37">
        <v>0</v>
      </c>
      <c r="M150" s="37">
        <v>0</v>
      </c>
      <c r="N150" s="37">
        <v>0</v>
      </c>
      <c r="O150" s="37">
        <v>0</v>
      </c>
      <c r="P150" s="37">
        <v>0</v>
      </c>
      <c r="Q150" s="37">
        <v>0</v>
      </c>
      <c r="R150" s="37">
        <v>0</v>
      </c>
      <c r="S150" s="37">
        <v>0</v>
      </c>
      <c r="T150" s="37">
        <v>0</v>
      </c>
      <c r="U150" s="37">
        <v>0</v>
      </c>
      <c r="V150" s="37">
        <v>0</v>
      </c>
      <c r="W150" s="37">
        <v>0</v>
      </c>
      <c r="X150" s="37">
        <v>0</v>
      </c>
      <c r="Y150" s="36"/>
      <c r="Z150" s="38"/>
      <c r="AA150" s="39"/>
      <c r="AB150" s="39"/>
      <c r="AC150" s="40"/>
    </row>
    <row r="151" spans="1:29" ht="67.5" x14ac:dyDescent="0.25">
      <c r="A151" s="20" t="s">
        <v>448</v>
      </c>
      <c r="B151" s="21" t="s">
        <v>449</v>
      </c>
      <c r="C151" s="22" t="s">
        <v>279</v>
      </c>
      <c r="D151" s="22" t="s">
        <v>282</v>
      </c>
      <c r="E151" s="23">
        <f t="shared" ref="E151:X151" si="111">E152+E154+E156+E158+E160</f>
        <v>869.28</v>
      </c>
      <c r="F151" s="23">
        <f t="shared" si="111"/>
        <v>869.28</v>
      </c>
      <c r="G151" s="23">
        <f t="shared" si="111"/>
        <v>0</v>
      </c>
      <c r="H151" s="23">
        <f t="shared" si="111"/>
        <v>0</v>
      </c>
      <c r="I151" s="23">
        <f t="shared" si="111"/>
        <v>0</v>
      </c>
      <c r="J151" s="23">
        <f t="shared" si="111"/>
        <v>0</v>
      </c>
      <c r="K151" s="23">
        <f t="shared" si="111"/>
        <v>0</v>
      </c>
      <c r="L151" s="23">
        <f t="shared" si="111"/>
        <v>0</v>
      </c>
      <c r="M151" s="23">
        <f t="shared" si="111"/>
        <v>0</v>
      </c>
      <c r="N151" s="23">
        <f t="shared" si="111"/>
        <v>0</v>
      </c>
      <c r="O151" s="23">
        <f t="shared" si="111"/>
        <v>867.9799999999999</v>
      </c>
      <c r="P151" s="23">
        <f t="shared" si="111"/>
        <v>867.9799999999999</v>
      </c>
      <c r="Q151" s="23">
        <f t="shared" si="111"/>
        <v>0</v>
      </c>
      <c r="R151" s="23">
        <f t="shared" si="111"/>
        <v>0</v>
      </c>
      <c r="S151" s="23">
        <f t="shared" si="111"/>
        <v>0</v>
      </c>
      <c r="T151" s="23">
        <f t="shared" si="111"/>
        <v>0</v>
      </c>
      <c r="U151" s="23">
        <f t="shared" si="111"/>
        <v>0</v>
      </c>
      <c r="V151" s="23">
        <f t="shared" si="111"/>
        <v>0</v>
      </c>
      <c r="W151" s="23">
        <f t="shared" si="111"/>
        <v>0</v>
      </c>
      <c r="X151" s="23">
        <f t="shared" si="111"/>
        <v>0</v>
      </c>
      <c r="Y151" s="22" t="s">
        <v>438</v>
      </c>
      <c r="Z151" s="24" t="s">
        <v>40</v>
      </c>
      <c r="AA151" s="25" t="s">
        <v>47</v>
      </c>
      <c r="AB151" s="25" t="s">
        <v>47</v>
      </c>
      <c r="AC151" s="26"/>
    </row>
    <row r="152" spans="1:29" ht="69.75" x14ac:dyDescent="0.25">
      <c r="A152" s="27" t="s">
        <v>450</v>
      </c>
      <c r="B152" s="28" t="s">
        <v>451</v>
      </c>
      <c r="C152" s="29" t="s">
        <v>279</v>
      </c>
      <c r="D152" s="29" t="s">
        <v>304</v>
      </c>
      <c r="E152" s="30">
        <f>SUM(E153:E153)+235</f>
        <v>235</v>
      </c>
      <c r="F152" s="30">
        <f>SUM(F153:F153)+235</f>
        <v>235</v>
      </c>
      <c r="G152" s="30">
        <f t="shared" ref="G152:N152" si="112">SUM(G153:G153)</f>
        <v>0</v>
      </c>
      <c r="H152" s="30">
        <f t="shared" si="112"/>
        <v>0</v>
      </c>
      <c r="I152" s="30">
        <f t="shared" si="112"/>
        <v>0</v>
      </c>
      <c r="J152" s="30">
        <f t="shared" si="112"/>
        <v>0</v>
      </c>
      <c r="K152" s="30">
        <f t="shared" si="112"/>
        <v>0</v>
      </c>
      <c r="L152" s="30">
        <f t="shared" si="112"/>
        <v>0</v>
      </c>
      <c r="M152" s="30">
        <f t="shared" si="112"/>
        <v>0</v>
      </c>
      <c r="N152" s="30">
        <f t="shared" si="112"/>
        <v>0</v>
      </c>
      <c r="O152" s="30">
        <f>SUM(O153:O153)+234.55</f>
        <v>234.55</v>
      </c>
      <c r="P152" s="30">
        <f>SUM(P153:P153)+234.55</f>
        <v>234.55</v>
      </c>
      <c r="Q152" s="30">
        <f t="shared" ref="Q152:X152" si="113">SUM(Q153:Q153)</f>
        <v>0</v>
      </c>
      <c r="R152" s="30">
        <f t="shared" si="113"/>
        <v>0</v>
      </c>
      <c r="S152" s="30">
        <f t="shared" si="113"/>
        <v>0</v>
      </c>
      <c r="T152" s="30">
        <f t="shared" si="113"/>
        <v>0</v>
      </c>
      <c r="U152" s="30">
        <f t="shared" si="113"/>
        <v>0</v>
      </c>
      <c r="V152" s="30">
        <f t="shared" si="113"/>
        <v>0</v>
      </c>
      <c r="W152" s="30">
        <f t="shared" si="113"/>
        <v>0</v>
      </c>
      <c r="X152" s="30">
        <f t="shared" si="113"/>
        <v>0</v>
      </c>
      <c r="Y152" s="29" t="s">
        <v>452</v>
      </c>
      <c r="Z152" s="31" t="s">
        <v>40</v>
      </c>
      <c r="AA152" s="32" t="s">
        <v>54</v>
      </c>
      <c r="AB152" s="32" t="s">
        <v>54</v>
      </c>
      <c r="AC152" s="33"/>
    </row>
    <row r="153" spans="1:29" ht="46.5" x14ac:dyDescent="0.25">
      <c r="A153" s="34" t="s">
        <v>453</v>
      </c>
      <c r="B153" s="35" t="s">
        <v>454</v>
      </c>
      <c r="C153" s="36"/>
      <c r="D153" s="36"/>
      <c r="E153" s="37">
        <v>0</v>
      </c>
      <c r="F153" s="37">
        <v>0</v>
      </c>
      <c r="G153" s="37">
        <v>0</v>
      </c>
      <c r="H153" s="37">
        <v>0</v>
      </c>
      <c r="I153" s="37">
        <v>0</v>
      </c>
      <c r="J153" s="37">
        <v>0</v>
      </c>
      <c r="K153" s="37">
        <v>0</v>
      </c>
      <c r="L153" s="37">
        <v>0</v>
      </c>
      <c r="M153" s="37">
        <v>0</v>
      </c>
      <c r="N153" s="37">
        <v>0</v>
      </c>
      <c r="O153" s="37">
        <v>0</v>
      </c>
      <c r="P153" s="37">
        <v>0</v>
      </c>
      <c r="Q153" s="37">
        <v>0</v>
      </c>
      <c r="R153" s="37">
        <v>0</v>
      </c>
      <c r="S153" s="37">
        <v>0</v>
      </c>
      <c r="T153" s="37">
        <v>0</v>
      </c>
      <c r="U153" s="37">
        <v>0</v>
      </c>
      <c r="V153" s="37">
        <v>0</v>
      </c>
      <c r="W153" s="37">
        <v>0</v>
      </c>
      <c r="X153" s="37">
        <v>0</v>
      </c>
      <c r="Y153" s="36"/>
      <c r="Z153" s="38"/>
      <c r="AA153" s="39"/>
      <c r="AB153" s="39"/>
      <c r="AC153" s="40"/>
    </row>
    <row r="154" spans="1:29" ht="69.75" x14ac:dyDescent="0.25">
      <c r="A154" s="27" t="s">
        <v>455</v>
      </c>
      <c r="B154" s="28" t="s">
        <v>456</v>
      </c>
      <c r="C154" s="29" t="s">
        <v>279</v>
      </c>
      <c r="D154" s="29" t="s">
        <v>319</v>
      </c>
      <c r="E154" s="30">
        <f>SUM(E155:E155)+204</f>
        <v>204</v>
      </c>
      <c r="F154" s="30">
        <f>SUM(F155:F155)+204</f>
        <v>204</v>
      </c>
      <c r="G154" s="30">
        <f t="shared" ref="G154:N154" si="114">SUM(G155:G155)</f>
        <v>0</v>
      </c>
      <c r="H154" s="30">
        <f t="shared" si="114"/>
        <v>0</v>
      </c>
      <c r="I154" s="30">
        <f t="shared" si="114"/>
        <v>0</v>
      </c>
      <c r="J154" s="30">
        <f t="shared" si="114"/>
        <v>0</v>
      </c>
      <c r="K154" s="30">
        <f t="shared" si="114"/>
        <v>0</v>
      </c>
      <c r="L154" s="30">
        <f t="shared" si="114"/>
        <v>0</v>
      </c>
      <c r="M154" s="30">
        <f t="shared" si="114"/>
        <v>0</v>
      </c>
      <c r="N154" s="30">
        <f t="shared" si="114"/>
        <v>0</v>
      </c>
      <c r="O154" s="30">
        <f>SUM(O155:O155)+203.85</f>
        <v>203.85</v>
      </c>
      <c r="P154" s="30">
        <f>SUM(P155:P155)+203.85</f>
        <v>203.85</v>
      </c>
      <c r="Q154" s="30">
        <f t="shared" ref="Q154:X154" si="115">SUM(Q155:Q155)</f>
        <v>0</v>
      </c>
      <c r="R154" s="30">
        <f t="shared" si="115"/>
        <v>0</v>
      </c>
      <c r="S154" s="30">
        <f t="shared" si="115"/>
        <v>0</v>
      </c>
      <c r="T154" s="30">
        <f t="shared" si="115"/>
        <v>0</v>
      </c>
      <c r="U154" s="30">
        <f t="shared" si="115"/>
        <v>0</v>
      </c>
      <c r="V154" s="30">
        <f t="shared" si="115"/>
        <v>0</v>
      </c>
      <c r="W154" s="30">
        <f t="shared" si="115"/>
        <v>0</v>
      </c>
      <c r="X154" s="30">
        <f t="shared" si="115"/>
        <v>0</v>
      </c>
      <c r="Y154" s="29" t="s">
        <v>452</v>
      </c>
      <c r="Z154" s="31" t="s">
        <v>40</v>
      </c>
      <c r="AA154" s="32" t="s">
        <v>54</v>
      </c>
      <c r="AB154" s="32" t="s">
        <v>54</v>
      </c>
      <c r="AC154" s="33"/>
    </row>
    <row r="155" spans="1:29" ht="46.5" x14ac:dyDescent="0.25">
      <c r="A155" s="34" t="s">
        <v>457</v>
      </c>
      <c r="B155" s="35" t="s">
        <v>458</v>
      </c>
      <c r="C155" s="36"/>
      <c r="D155" s="36"/>
      <c r="E155" s="37">
        <v>0</v>
      </c>
      <c r="F155" s="37">
        <v>0</v>
      </c>
      <c r="G155" s="37">
        <v>0</v>
      </c>
      <c r="H155" s="37">
        <v>0</v>
      </c>
      <c r="I155" s="37">
        <v>0</v>
      </c>
      <c r="J155" s="37">
        <v>0</v>
      </c>
      <c r="K155" s="37">
        <v>0</v>
      </c>
      <c r="L155" s="37">
        <v>0</v>
      </c>
      <c r="M155" s="37">
        <v>0</v>
      </c>
      <c r="N155" s="37">
        <v>0</v>
      </c>
      <c r="O155" s="37">
        <v>0</v>
      </c>
      <c r="P155" s="37">
        <v>0</v>
      </c>
      <c r="Q155" s="37">
        <v>0</v>
      </c>
      <c r="R155" s="37">
        <v>0</v>
      </c>
      <c r="S155" s="37">
        <v>0</v>
      </c>
      <c r="T155" s="37">
        <v>0</v>
      </c>
      <c r="U155" s="37">
        <v>0</v>
      </c>
      <c r="V155" s="37">
        <v>0</v>
      </c>
      <c r="W155" s="37">
        <v>0</v>
      </c>
      <c r="X155" s="37">
        <v>0</v>
      </c>
      <c r="Y155" s="36"/>
      <c r="Z155" s="38"/>
      <c r="AA155" s="39"/>
      <c r="AB155" s="39"/>
      <c r="AC155" s="40"/>
    </row>
    <row r="156" spans="1:29" ht="69.75" x14ac:dyDescent="0.25">
      <c r="A156" s="27" t="s">
        <v>459</v>
      </c>
      <c r="B156" s="28" t="s">
        <v>460</v>
      </c>
      <c r="C156" s="29" t="s">
        <v>279</v>
      </c>
      <c r="D156" s="29" t="s">
        <v>319</v>
      </c>
      <c r="E156" s="30">
        <f>SUM(E157:E157)+183.39</f>
        <v>183.39</v>
      </c>
      <c r="F156" s="30">
        <f>SUM(F157:F157)+183.39</f>
        <v>183.39</v>
      </c>
      <c r="G156" s="30">
        <f t="shared" ref="G156:N156" si="116">SUM(G157:G157)</f>
        <v>0</v>
      </c>
      <c r="H156" s="30">
        <f t="shared" si="116"/>
        <v>0</v>
      </c>
      <c r="I156" s="30">
        <f t="shared" si="116"/>
        <v>0</v>
      </c>
      <c r="J156" s="30">
        <f t="shared" si="116"/>
        <v>0</v>
      </c>
      <c r="K156" s="30">
        <f t="shared" si="116"/>
        <v>0</v>
      </c>
      <c r="L156" s="30">
        <f t="shared" si="116"/>
        <v>0</v>
      </c>
      <c r="M156" s="30">
        <f t="shared" si="116"/>
        <v>0</v>
      </c>
      <c r="N156" s="30">
        <f t="shared" si="116"/>
        <v>0</v>
      </c>
      <c r="O156" s="30">
        <f>SUM(O157:O157)+183.39</f>
        <v>183.39</v>
      </c>
      <c r="P156" s="30">
        <f>SUM(P157:P157)+183.39</f>
        <v>183.39</v>
      </c>
      <c r="Q156" s="30">
        <f t="shared" ref="Q156:X156" si="117">SUM(Q157:Q157)</f>
        <v>0</v>
      </c>
      <c r="R156" s="30">
        <f t="shared" si="117"/>
        <v>0</v>
      </c>
      <c r="S156" s="30">
        <f t="shared" si="117"/>
        <v>0</v>
      </c>
      <c r="T156" s="30">
        <f t="shared" si="117"/>
        <v>0</v>
      </c>
      <c r="U156" s="30">
        <f t="shared" si="117"/>
        <v>0</v>
      </c>
      <c r="V156" s="30">
        <f t="shared" si="117"/>
        <v>0</v>
      </c>
      <c r="W156" s="30">
        <f t="shared" si="117"/>
        <v>0</v>
      </c>
      <c r="X156" s="30">
        <f t="shared" si="117"/>
        <v>0</v>
      </c>
      <c r="Y156" s="29" t="s">
        <v>452</v>
      </c>
      <c r="Z156" s="31" t="s">
        <v>40</v>
      </c>
      <c r="AA156" s="32" t="s">
        <v>54</v>
      </c>
      <c r="AB156" s="32" t="s">
        <v>54</v>
      </c>
      <c r="AC156" s="33"/>
    </row>
    <row r="157" spans="1:29" ht="46.5" x14ac:dyDescent="0.25">
      <c r="A157" s="34" t="s">
        <v>461</v>
      </c>
      <c r="B157" s="35" t="s">
        <v>462</v>
      </c>
      <c r="C157" s="36"/>
      <c r="D157" s="36"/>
      <c r="E157" s="37">
        <v>0</v>
      </c>
      <c r="F157" s="37">
        <v>0</v>
      </c>
      <c r="G157" s="37">
        <v>0</v>
      </c>
      <c r="H157" s="37">
        <v>0</v>
      </c>
      <c r="I157" s="37">
        <v>0</v>
      </c>
      <c r="J157" s="37">
        <v>0</v>
      </c>
      <c r="K157" s="37">
        <v>0</v>
      </c>
      <c r="L157" s="37">
        <v>0</v>
      </c>
      <c r="M157" s="37">
        <v>0</v>
      </c>
      <c r="N157" s="37">
        <v>0</v>
      </c>
      <c r="O157" s="37">
        <v>0</v>
      </c>
      <c r="P157" s="37">
        <v>0</v>
      </c>
      <c r="Q157" s="37">
        <v>0</v>
      </c>
      <c r="R157" s="37">
        <v>0</v>
      </c>
      <c r="S157" s="37">
        <v>0</v>
      </c>
      <c r="T157" s="37">
        <v>0</v>
      </c>
      <c r="U157" s="37">
        <v>0</v>
      </c>
      <c r="V157" s="37">
        <v>0</v>
      </c>
      <c r="W157" s="37">
        <v>0</v>
      </c>
      <c r="X157" s="37">
        <v>0</v>
      </c>
      <c r="Y157" s="36"/>
      <c r="Z157" s="38"/>
      <c r="AA157" s="39"/>
      <c r="AB157" s="39"/>
      <c r="AC157" s="40"/>
    </row>
    <row r="158" spans="1:29" ht="69.75" x14ac:dyDescent="0.25">
      <c r="A158" s="27" t="s">
        <v>463</v>
      </c>
      <c r="B158" s="28" t="s">
        <v>464</v>
      </c>
      <c r="C158" s="29" t="s">
        <v>279</v>
      </c>
      <c r="D158" s="29" t="s">
        <v>319</v>
      </c>
      <c r="E158" s="30">
        <f>SUM(E159:E159)+156</f>
        <v>156</v>
      </c>
      <c r="F158" s="30">
        <f>SUM(F159:F159)+156</f>
        <v>156</v>
      </c>
      <c r="G158" s="30">
        <f t="shared" ref="G158:N158" si="118">SUM(G159:G159)</f>
        <v>0</v>
      </c>
      <c r="H158" s="30">
        <f t="shared" si="118"/>
        <v>0</v>
      </c>
      <c r="I158" s="30">
        <f t="shared" si="118"/>
        <v>0</v>
      </c>
      <c r="J158" s="30">
        <f t="shared" si="118"/>
        <v>0</v>
      </c>
      <c r="K158" s="30">
        <f t="shared" si="118"/>
        <v>0</v>
      </c>
      <c r="L158" s="30">
        <f t="shared" si="118"/>
        <v>0</v>
      </c>
      <c r="M158" s="30">
        <f t="shared" si="118"/>
        <v>0</v>
      </c>
      <c r="N158" s="30">
        <f t="shared" si="118"/>
        <v>0</v>
      </c>
      <c r="O158" s="30">
        <f>SUM(O159:O159)+155.3</f>
        <v>155.30000000000001</v>
      </c>
      <c r="P158" s="30">
        <f>SUM(P159:P159)+155.3</f>
        <v>155.30000000000001</v>
      </c>
      <c r="Q158" s="30">
        <f t="shared" ref="Q158:X158" si="119">SUM(Q159:Q159)</f>
        <v>0</v>
      </c>
      <c r="R158" s="30">
        <f t="shared" si="119"/>
        <v>0</v>
      </c>
      <c r="S158" s="30">
        <f t="shared" si="119"/>
        <v>0</v>
      </c>
      <c r="T158" s="30">
        <f t="shared" si="119"/>
        <v>0</v>
      </c>
      <c r="U158" s="30">
        <f t="shared" si="119"/>
        <v>0</v>
      </c>
      <c r="V158" s="30">
        <f t="shared" si="119"/>
        <v>0</v>
      </c>
      <c r="W158" s="30">
        <f t="shared" si="119"/>
        <v>0</v>
      </c>
      <c r="X158" s="30">
        <f t="shared" si="119"/>
        <v>0</v>
      </c>
      <c r="Y158" s="29" t="s">
        <v>452</v>
      </c>
      <c r="Z158" s="31" t="s">
        <v>40</v>
      </c>
      <c r="AA158" s="32" t="s">
        <v>54</v>
      </c>
      <c r="AB158" s="32" t="s">
        <v>54</v>
      </c>
      <c r="AC158" s="33"/>
    </row>
    <row r="159" spans="1:29" ht="46.5" x14ac:dyDescent="0.25">
      <c r="A159" s="34" t="s">
        <v>465</v>
      </c>
      <c r="B159" s="35" t="s">
        <v>466</v>
      </c>
      <c r="C159" s="36"/>
      <c r="D159" s="36"/>
      <c r="E159" s="37">
        <v>0</v>
      </c>
      <c r="F159" s="37">
        <v>0</v>
      </c>
      <c r="G159" s="37">
        <v>0</v>
      </c>
      <c r="H159" s="37">
        <v>0</v>
      </c>
      <c r="I159" s="37">
        <v>0</v>
      </c>
      <c r="J159" s="37">
        <v>0</v>
      </c>
      <c r="K159" s="37">
        <v>0</v>
      </c>
      <c r="L159" s="37">
        <v>0</v>
      </c>
      <c r="M159" s="37">
        <v>0</v>
      </c>
      <c r="N159" s="37">
        <v>0</v>
      </c>
      <c r="O159" s="37">
        <v>0</v>
      </c>
      <c r="P159" s="37">
        <v>0</v>
      </c>
      <c r="Q159" s="37">
        <v>0</v>
      </c>
      <c r="R159" s="37">
        <v>0</v>
      </c>
      <c r="S159" s="37">
        <v>0</v>
      </c>
      <c r="T159" s="37">
        <v>0</v>
      </c>
      <c r="U159" s="37">
        <v>0</v>
      </c>
      <c r="V159" s="37">
        <v>0</v>
      </c>
      <c r="W159" s="37">
        <v>0</v>
      </c>
      <c r="X159" s="37">
        <v>0</v>
      </c>
      <c r="Y159" s="36"/>
      <c r="Z159" s="38"/>
      <c r="AA159" s="39"/>
      <c r="AB159" s="39"/>
      <c r="AC159" s="40"/>
    </row>
    <row r="160" spans="1:29" ht="69.75" x14ac:dyDescent="0.25">
      <c r="A160" s="27" t="s">
        <v>467</v>
      </c>
      <c r="B160" s="28" t="s">
        <v>468</v>
      </c>
      <c r="C160" s="29" t="s">
        <v>279</v>
      </c>
      <c r="D160" s="29" t="s">
        <v>469</v>
      </c>
      <c r="E160" s="30">
        <f>SUM(E161:E161)+90.89</f>
        <v>90.89</v>
      </c>
      <c r="F160" s="30">
        <f>SUM(F161:F161)+90.89</f>
        <v>90.89</v>
      </c>
      <c r="G160" s="30">
        <f t="shared" ref="G160:N160" si="120">SUM(G161:G161)</f>
        <v>0</v>
      </c>
      <c r="H160" s="30">
        <f t="shared" si="120"/>
        <v>0</v>
      </c>
      <c r="I160" s="30">
        <f t="shared" si="120"/>
        <v>0</v>
      </c>
      <c r="J160" s="30">
        <f t="shared" si="120"/>
        <v>0</v>
      </c>
      <c r="K160" s="30">
        <f t="shared" si="120"/>
        <v>0</v>
      </c>
      <c r="L160" s="30">
        <f t="shared" si="120"/>
        <v>0</v>
      </c>
      <c r="M160" s="30">
        <f t="shared" si="120"/>
        <v>0</v>
      </c>
      <c r="N160" s="30">
        <f t="shared" si="120"/>
        <v>0</v>
      </c>
      <c r="O160" s="30">
        <f>SUM(O161:O161)+90.89</f>
        <v>90.89</v>
      </c>
      <c r="P160" s="30">
        <f>SUM(P161:P161)+90.89</f>
        <v>90.89</v>
      </c>
      <c r="Q160" s="30">
        <f t="shared" ref="Q160:X160" si="121">SUM(Q161:Q161)</f>
        <v>0</v>
      </c>
      <c r="R160" s="30">
        <f t="shared" si="121"/>
        <v>0</v>
      </c>
      <c r="S160" s="30">
        <f t="shared" si="121"/>
        <v>0</v>
      </c>
      <c r="T160" s="30">
        <f t="shared" si="121"/>
        <v>0</v>
      </c>
      <c r="U160" s="30">
        <f t="shared" si="121"/>
        <v>0</v>
      </c>
      <c r="V160" s="30">
        <f t="shared" si="121"/>
        <v>0</v>
      </c>
      <c r="W160" s="30">
        <f t="shared" si="121"/>
        <v>0</v>
      </c>
      <c r="X160" s="30">
        <f t="shared" si="121"/>
        <v>0</v>
      </c>
      <c r="Y160" s="29" t="s">
        <v>452</v>
      </c>
      <c r="Z160" s="31" t="s">
        <v>40</v>
      </c>
      <c r="AA160" s="32" t="s">
        <v>54</v>
      </c>
      <c r="AB160" s="32" t="s">
        <v>54</v>
      </c>
      <c r="AC160" s="33"/>
    </row>
    <row r="161" spans="1:29" ht="69.75" x14ac:dyDescent="0.25">
      <c r="A161" s="34" t="s">
        <v>470</v>
      </c>
      <c r="B161" s="35" t="s">
        <v>471</v>
      </c>
      <c r="C161" s="36"/>
      <c r="D161" s="36"/>
      <c r="E161" s="37">
        <v>0</v>
      </c>
      <c r="F161" s="37">
        <v>0</v>
      </c>
      <c r="G161" s="37">
        <v>0</v>
      </c>
      <c r="H161" s="37">
        <v>0</v>
      </c>
      <c r="I161" s="37">
        <v>0</v>
      </c>
      <c r="J161" s="37">
        <v>0</v>
      </c>
      <c r="K161" s="37">
        <v>0</v>
      </c>
      <c r="L161" s="37">
        <v>0</v>
      </c>
      <c r="M161" s="37">
        <v>0</v>
      </c>
      <c r="N161" s="37">
        <v>0</v>
      </c>
      <c r="O161" s="37">
        <v>0</v>
      </c>
      <c r="P161" s="37">
        <v>0</v>
      </c>
      <c r="Q161" s="37">
        <v>0</v>
      </c>
      <c r="R161" s="37">
        <v>0</v>
      </c>
      <c r="S161" s="37">
        <v>0</v>
      </c>
      <c r="T161" s="37">
        <v>0</v>
      </c>
      <c r="U161" s="37">
        <v>0</v>
      </c>
      <c r="V161" s="37">
        <v>0</v>
      </c>
      <c r="W161" s="37">
        <v>0</v>
      </c>
      <c r="X161" s="37">
        <v>0</v>
      </c>
      <c r="Y161" s="36"/>
      <c r="Z161" s="38"/>
      <c r="AA161" s="39"/>
      <c r="AB161" s="39"/>
      <c r="AC161" s="40"/>
    </row>
    <row r="162" spans="1:29" ht="67.5" x14ac:dyDescent="0.25">
      <c r="A162" s="13" t="s">
        <v>472</v>
      </c>
      <c r="B162" s="14" t="s">
        <v>473</v>
      </c>
      <c r="C162" s="15" t="s">
        <v>279</v>
      </c>
      <c r="D162" s="15" t="s">
        <v>282</v>
      </c>
      <c r="E162" s="16">
        <f t="shared" ref="E162:N163" si="122">SUM(E163:E163)</f>
        <v>4235</v>
      </c>
      <c r="F162" s="16">
        <f t="shared" si="122"/>
        <v>4235</v>
      </c>
      <c r="G162" s="16">
        <f t="shared" si="122"/>
        <v>0</v>
      </c>
      <c r="H162" s="16">
        <f t="shared" si="122"/>
        <v>0</v>
      </c>
      <c r="I162" s="16">
        <f t="shared" si="122"/>
        <v>0</v>
      </c>
      <c r="J162" s="16">
        <f t="shared" si="122"/>
        <v>0</v>
      </c>
      <c r="K162" s="16">
        <f t="shared" si="122"/>
        <v>0</v>
      </c>
      <c r="L162" s="16">
        <f t="shared" si="122"/>
        <v>0</v>
      </c>
      <c r="M162" s="16">
        <f t="shared" si="122"/>
        <v>0</v>
      </c>
      <c r="N162" s="16">
        <f t="shared" si="122"/>
        <v>0</v>
      </c>
      <c r="O162" s="16">
        <f t="shared" ref="O162:X163" si="123">SUM(O163:O163)</f>
        <v>4235</v>
      </c>
      <c r="P162" s="16">
        <f t="shared" si="123"/>
        <v>4235</v>
      </c>
      <c r="Q162" s="16">
        <f t="shared" si="123"/>
        <v>0</v>
      </c>
      <c r="R162" s="16">
        <f t="shared" si="123"/>
        <v>0</v>
      </c>
      <c r="S162" s="16">
        <f t="shared" si="123"/>
        <v>0</v>
      </c>
      <c r="T162" s="16">
        <f t="shared" si="123"/>
        <v>0</v>
      </c>
      <c r="U162" s="16">
        <f t="shared" si="123"/>
        <v>0</v>
      </c>
      <c r="V162" s="16">
        <f t="shared" si="123"/>
        <v>0</v>
      </c>
      <c r="W162" s="16">
        <f t="shared" si="123"/>
        <v>0</v>
      </c>
      <c r="X162" s="16">
        <f t="shared" si="123"/>
        <v>0</v>
      </c>
      <c r="Y162" s="15" t="s">
        <v>474</v>
      </c>
      <c r="Z162" s="17" t="s">
        <v>34</v>
      </c>
      <c r="AA162" s="18" t="s">
        <v>67</v>
      </c>
      <c r="AB162" s="18" t="s">
        <v>67</v>
      </c>
      <c r="AC162" s="19"/>
    </row>
    <row r="163" spans="1:29" ht="67.5" x14ac:dyDescent="0.25">
      <c r="A163" s="20" t="s">
        <v>475</v>
      </c>
      <c r="B163" s="21" t="s">
        <v>476</v>
      </c>
      <c r="C163" s="22" t="s">
        <v>279</v>
      </c>
      <c r="D163" s="22" t="s">
        <v>282</v>
      </c>
      <c r="E163" s="23">
        <f t="shared" si="122"/>
        <v>4235</v>
      </c>
      <c r="F163" s="23">
        <f t="shared" si="122"/>
        <v>4235</v>
      </c>
      <c r="G163" s="23">
        <f t="shared" si="122"/>
        <v>0</v>
      </c>
      <c r="H163" s="23">
        <f t="shared" si="122"/>
        <v>0</v>
      </c>
      <c r="I163" s="23">
        <f t="shared" si="122"/>
        <v>0</v>
      </c>
      <c r="J163" s="23">
        <f t="shared" si="122"/>
        <v>0</v>
      </c>
      <c r="K163" s="23">
        <f t="shared" si="122"/>
        <v>0</v>
      </c>
      <c r="L163" s="23">
        <f t="shared" si="122"/>
        <v>0</v>
      </c>
      <c r="M163" s="23">
        <f t="shared" si="122"/>
        <v>0</v>
      </c>
      <c r="N163" s="23">
        <f t="shared" si="122"/>
        <v>0</v>
      </c>
      <c r="O163" s="23">
        <f t="shared" si="123"/>
        <v>4235</v>
      </c>
      <c r="P163" s="23">
        <f t="shared" si="123"/>
        <v>4235</v>
      </c>
      <c r="Q163" s="23">
        <f t="shared" si="123"/>
        <v>0</v>
      </c>
      <c r="R163" s="23">
        <f t="shared" si="123"/>
        <v>0</v>
      </c>
      <c r="S163" s="23">
        <f t="shared" si="123"/>
        <v>0</v>
      </c>
      <c r="T163" s="23">
        <f t="shared" si="123"/>
        <v>0</v>
      </c>
      <c r="U163" s="23">
        <f t="shared" si="123"/>
        <v>0</v>
      </c>
      <c r="V163" s="23">
        <f t="shared" si="123"/>
        <v>0</v>
      </c>
      <c r="W163" s="23">
        <f t="shared" si="123"/>
        <v>0</v>
      </c>
      <c r="X163" s="23">
        <f t="shared" si="123"/>
        <v>0</v>
      </c>
      <c r="Y163" s="22" t="s">
        <v>477</v>
      </c>
      <c r="Z163" s="24" t="s">
        <v>40</v>
      </c>
      <c r="AA163" s="25" t="s">
        <v>54</v>
      </c>
      <c r="AB163" s="25" t="s">
        <v>47</v>
      </c>
      <c r="AC163" s="26" t="s">
        <v>478</v>
      </c>
    </row>
    <row r="164" spans="1:29" ht="69.75" x14ac:dyDescent="0.25">
      <c r="A164" s="27" t="s">
        <v>479</v>
      </c>
      <c r="B164" s="28" t="s">
        <v>480</v>
      </c>
      <c r="C164" s="29" t="s">
        <v>279</v>
      </c>
      <c r="D164" s="29" t="s">
        <v>469</v>
      </c>
      <c r="E164" s="30">
        <f>SUM(E165:E165)+4235</f>
        <v>4235</v>
      </c>
      <c r="F164" s="30">
        <f>SUM(F165:F165)+4235</f>
        <v>4235</v>
      </c>
      <c r="G164" s="30">
        <f t="shared" ref="G164:N164" si="124">SUM(G165:G165)</f>
        <v>0</v>
      </c>
      <c r="H164" s="30">
        <f t="shared" si="124"/>
        <v>0</v>
      </c>
      <c r="I164" s="30">
        <f t="shared" si="124"/>
        <v>0</v>
      </c>
      <c r="J164" s="30">
        <f t="shared" si="124"/>
        <v>0</v>
      </c>
      <c r="K164" s="30">
        <f t="shared" si="124"/>
        <v>0</v>
      </c>
      <c r="L164" s="30">
        <f t="shared" si="124"/>
        <v>0</v>
      </c>
      <c r="M164" s="30">
        <f t="shared" si="124"/>
        <v>0</v>
      </c>
      <c r="N164" s="30">
        <f t="shared" si="124"/>
        <v>0</v>
      </c>
      <c r="O164" s="30">
        <f>SUM(O165:O165)+4235</f>
        <v>4235</v>
      </c>
      <c r="P164" s="30">
        <f>SUM(P165:P165)+4235</f>
        <v>4235</v>
      </c>
      <c r="Q164" s="30">
        <f t="shared" ref="Q164:X164" si="125">SUM(Q165:Q165)</f>
        <v>0</v>
      </c>
      <c r="R164" s="30">
        <f t="shared" si="125"/>
        <v>0</v>
      </c>
      <c r="S164" s="30">
        <f t="shared" si="125"/>
        <v>0</v>
      </c>
      <c r="T164" s="30">
        <f t="shared" si="125"/>
        <v>0</v>
      </c>
      <c r="U164" s="30">
        <f t="shared" si="125"/>
        <v>0</v>
      </c>
      <c r="V164" s="30">
        <f t="shared" si="125"/>
        <v>0</v>
      </c>
      <c r="W164" s="30">
        <f t="shared" si="125"/>
        <v>0</v>
      </c>
      <c r="X164" s="30">
        <f t="shared" si="125"/>
        <v>0</v>
      </c>
      <c r="Y164" s="29" t="s">
        <v>327</v>
      </c>
      <c r="Z164" s="31" t="s">
        <v>40</v>
      </c>
      <c r="AA164" s="32" t="s">
        <v>54</v>
      </c>
      <c r="AB164" s="32" t="s">
        <v>47</v>
      </c>
      <c r="AC164" s="33" t="s">
        <v>478</v>
      </c>
    </row>
    <row r="165" spans="1:29" ht="46.5" x14ac:dyDescent="0.25">
      <c r="A165" s="34" t="s">
        <v>481</v>
      </c>
      <c r="B165" s="35" t="s">
        <v>482</v>
      </c>
      <c r="C165" s="36"/>
      <c r="D165" s="36"/>
      <c r="E165" s="37">
        <v>0</v>
      </c>
      <c r="F165" s="37">
        <v>0</v>
      </c>
      <c r="G165" s="37">
        <v>0</v>
      </c>
      <c r="H165" s="37">
        <v>0</v>
      </c>
      <c r="I165" s="37">
        <v>0</v>
      </c>
      <c r="J165" s="37">
        <v>0</v>
      </c>
      <c r="K165" s="37">
        <v>0</v>
      </c>
      <c r="L165" s="37">
        <v>0</v>
      </c>
      <c r="M165" s="37">
        <v>0</v>
      </c>
      <c r="N165" s="37">
        <v>0</v>
      </c>
      <c r="O165" s="37">
        <v>0</v>
      </c>
      <c r="P165" s="37">
        <v>0</v>
      </c>
      <c r="Q165" s="37">
        <v>0</v>
      </c>
      <c r="R165" s="37">
        <v>0</v>
      </c>
      <c r="S165" s="37">
        <v>0</v>
      </c>
      <c r="T165" s="37">
        <v>0</v>
      </c>
      <c r="U165" s="37">
        <v>0</v>
      </c>
      <c r="V165" s="37">
        <v>0</v>
      </c>
      <c r="W165" s="37">
        <v>0</v>
      </c>
      <c r="X165" s="37">
        <v>0</v>
      </c>
      <c r="Y165" s="36"/>
      <c r="Z165" s="38"/>
      <c r="AA165" s="39"/>
      <c r="AB165" s="39"/>
      <c r="AC165" s="40"/>
    </row>
    <row r="166" spans="1:29" ht="67.5" x14ac:dyDescent="0.25">
      <c r="A166" s="13" t="s">
        <v>483</v>
      </c>
      <c r="B166" s="14" t="s">
        <v>484</v>
      </c>
      <c r="C166" s="15" t="s">
        <v>279</v>
      </c>
      <c r="D166" s="15" t="s">
        <v>282</v>
      </c>
      <c r="E166" s="16">
        <f t="shared" ref="E166:X166" si="126">E167+E170</f>
        <v>194742.82</v>
      </c>
      <c r="F166" s="16">
        <f t="shared" si="126"/>
        <v>194742.82</v>
      </c>
      <c r="G166" s="16">
        <f t="shared" si="126"/>
        <v>0</v>
      </c>
      <c r="H166" s="16">
        <f t="shared" si="126"/>
        <v>0</v>
      </c>
      <c r="I166" s="16">
        <f t="shared" si="126"/>
        <v>0</v>
      </c>
      <c r="J166" s="16">
        <f t="shared" si="126"/>
        <v>0</v>
      </c>
      <c r="K166" s="16">
        <f t="shared" si="126"/>
        <v>0</v>
      </c>
      <c r="L166" s="16">
        <f t="shared" si="126"/>
        <v>0</v>
      </c>
      <c r="M166" s="16">
        <f t="shared" si="126"/>
        <v>0</v>
      </c>
      <c r="N166" s="16">
        <f t="shared" si="126"/>
        <v>0</v>
      </c>
      <c r="O166" s="16">
        <f t="shared" si="126"/>
        <v>178188.28</v>
      </c>
      <c r="P166" s="16">
        <f t="shared" si="126"/>
        <v>178188.28</v>
      </c>
      <c r="Q166" s="16">
        <f t="shared" si="126"/>
        <v>0</v>
      </c>
      <c r="R166" s="16">
        <f t="shared" si="126"/>
        <v>0</v>
      </c>
      <c r="S166" s="16">
        <f t="shared" si="126"/>
        <v>0</v>
      </c>
      <c r="T166" s="16">
        <f t="shared" si="126"/>
        <v>0</v>
      </c>
      <c r="U166" s="16">
        <f t="shared" si="126"/>
        <v>0</v>
      </c>
      <c r="V166" s="16">
        <f t="shared" si="126"/>
        <v>0</v>
      </c>
      <c r="W166" s="16">
        <f t="shared" si="126"/>
        <v>0</v>
      </c>
      <c r="X166" s="16">
        <f t="shared" si="126"/>
        <v>0</v>
      </c>
      <c r="Y166" s="15" t="s">
        <v>485</v>
      </c>
      <c r="Z166" s="17" t="s">
        <v>40</v>
      </c>
      <c r="AA166" s="18" t="s">
        <v>70</v>
      </c>
      <c r="AB166" s="18" t="s">
        <v>54</v>
      </c>
      <c r="AC166" s="19"/>
    </row>
    <row r="167" spans="1:29" ht="67.5" x14ac:dyDescent="0.25">
      <c r="A167" s="20" t="s">
        <v>486</v>
      </c>
      <c r="B167" s="21" t="s">
        <v>487</v>
      </c>
      <c r="C167" s="22" t="s">
        <v>279</v>
      </c>
      <c r="D167" s="22" t="s">
        <v>282</v>
      </c>
      <c r="E167" s="23">
        <f t="shared" ref="E167:X167" si="127">SUM(E168:E168)</f>
        <v>191282.82</v>
      </c>
      <c r="F167" s="23">
        <f t="shared" si="127"/>
        <v>191282.82</v>
      </c>
      <c r="G167" s="23">
        <f t="shared" si="127"/>
        <v>0</v>
      </c>
      <c r="H167" s="23">
        <f t="shared" si="127"/>
        <v>0</v>
      </c>
      <c r="I167" s="23">
        <f t="shared" si="127"/>
        <v>0</v>
      </c>
      <c r="J167" s="23">
        <f t="shared" si="127"/>
        <v>0</v>
      </c>
      <c r="K167" s="23">
        <f t="shared" si="127"/>
        <v>0</v>
      </c>
      <c r="L167" s="23">
        <f t="shared" si="127"/>
        <v>0</v>
      </c>
      <c r="M167" s="23">
        <f t="shared" si="127"/>
        <v>0</v>
      </c>
      <c r="N167" s="23">
        <f t="shared" si="127"/>
        <v>0</v>
      </c>
      <c r="O167" s="23">
        <f t="shared" si="127"/>
        <v>174732.52</v>
      </c>
      <c r="P167" s="23">
        <f t="shared" si="127"/>
        <v>174732.52</v>
      </c>
      <c r="Q167" s="23">
        <f t="shared" si="127"/>
        <v>0</v>
      </c>
      <c r="R167" s="23">
        <f t="shared" si="127"/>
        <v>0</v>
      </c>
      <c r="S167" s="23">
        <f t="shared" si="127"/>
        <v>0</v>
      </c>
      <c r="T167" s="23">
        <f t="shared" si="127"/>
        <v>0</v>
      </c>
      <c r="U167" s="23">
        <f t="shared" si="127"/>
        <v>0</v>
      </c>
      <c r="V167" s="23">
        <f t="shared" si="127"/>
        <v>0</v>
      </c>
      <c r="W167" s="23">
        <f t="shared" si="127"/>
        <v>0</v>
      </c>
      <c r="X167" s="23">
        <f t="shared" si="127"/>
        <v>0</v>
      </c>
      <c r="Y167" s="22" t="s">
        <v>488</v>
      </c>
      <c r="Z167" s="24" t="s">
        <v>40</v>
      </c>
      <c r="AA167" s="25" t="s">
        <v>70</v>
      </c>
      <c r="AB167" s="25" t="s">
        <v>69</v>
      </c>
      <c r="AC167" s="26"/>
    </row>
    <row r="168" spans="1:29" ht="69.75" x14ac:dyDescent="0.25">
      <c r="A168" s="27" t="s">
        <v>489</v>
      </c>
      <c r="B168" s="28" t="s">
        <v>490</v>
      </c>
      <c r="C168" s="29" t="s">
        <v>279</v>
      </c>
      <c r="D168" s="29" t="s">
        <v>282</v>
      </c>
      <c r="E168" s="30">
        <f>SUM(E169:E169)+191282.82</f>
        <v>191282.82</v>
      </c>
      <c r="F168" s="30">
        <f>SUM(F169:F169)+191282.82</f>
        <v>191282.82</v>
      </c>
      <c r="G168" s="30">
        <f t="shared" ref="G168:N168" si="128">SUM(G169:G169)</f>
        <v>0</v>
      </c>
      <c r="H168" s="30">
        <f t="shared" si="128"/>
        <v>0</v>
      </c>
      <c r="I168" s="30">
        <f t="shared" si="128"/>
        <v>0</v>
      </c>
      <c r="J168" s="30">
        <f t="shared" si="128"/>
        <v>0</v>
      </c>
      <c r="K168" s="30">
        <f t="shared" si="128"/>
        <v>0</v>
      </c>
      <c r="L168" s="30">
        <f t="shared" si="128"/>
        <v>0</v>
      </c>
      <c r="M168" s="30">
        <f t="shared" si="128"/>
        <v>0</v>
      </c>
      <c r="N168" s="30">
        <f t="shared" si="128"/>
        <v>0</v>
      </c>
      <c r="O168" s="30">
        <f>SUM(O169:O169)+174732.52</f>
        <v>174732.52</v>
      </c>
      <c r="P168" s="30">
        <f>SUM(P169:P169)+174732.52</f>
        <v>174732.52</v>
      </c>
      <c r="Q168" s="30">
        <f t="shared" ref="Q168:X168" si="129">SUM(Q169:Q169)</f>
        <v>0</v>
      </c>
      <c r="R168" s="30">
        <f t="shared" si="129"/>
        <v>0</v>
      </c>
      <c r="S168" s="30">
        <f t="shared" si="129"/>
        <v>0</v>
      </c>
      <c r="T168" s="30">
        <f t="shared" si="129"/>
        <v>0</v>
      </c>
      <c r="U168" s="30">
        <f t="shared" si="129"/>
        <v>0</v>
      </c>
      <c r="V168" s="30">
        <f t="shared" si="129"/>
        <v>0</v>
      </c>
      <c r="W168" s="30">
        <f t="shared" si="129"/>
        <v>0</v>
      </c>
      <c r="X168" s="30">
        <f t="shared" si="129"/>
        <v>0</v>
      </c>
      <c r="Y168" s="29" t="s">
        <v>491</v>
      </c>
      <c r="Z168" s="31" t="s">
        <v>40</v>
      </c>
      <c r="AA168" s="32" t="s">
        <v>70</v>
      </c>
      <c r="AB168" s="32" t="s">
        <v>69</v>
      </c>
      <c r="AC168" s="33"/>
    </row>
    <row r="169" spans="1:29" ht="46.5" x14ac:dyDescent="0.25">
      <c r="A169" s="34" t="s">
        <v>492</v>
      </c>
      <c r="B169" s="35" t="s">
        <v>493</v>
      </c>
      <c r="C169" s="36"/>
      <c r="D169" s="36"/>
      <c r="E169" s="37">
        <v>0</v>
      </c>
      <c r="F169" s="37">
        <v>0</v>
      </c>
      <c r="G169" s="37">
        <v>0</v>
      </c>
      <c r="H169" s="37">
        <v>0</v>
      </c>
      <c r="I169" s="37">
        <v>0</v>
      </c>
      <c r="J169" s="37">
        <v>0</v>
      </c>
      <c r="K169" s="37">
        <v>0</v>
      </c>
      <c r="L169" s="37">
        <v>0</v>
      </c>
      <c r="M169" s="37">
        <v>0</v>
      </c>
      <c r="N169" s="37">
        <v>0</v>
      </c>
      <c r="O169" s="37">
        <v>0</v>
      </c>
      <c r="P169" s="37">
        <v>0</v>
      </c>
      <c r="Q169" s="37">
        <v>0</v>
      </c>
      <c r="R169" s="37">
        <v>0</v>
      </c>
      <c r="S169" s="37">
        <v>0</v>
      </c>
      <c r="T169" s="37">
        <v>0</v>
      </c>
      <c r="U169" s="37">
        <v>0</v>
      </c>
      <c r="V169" s="37">
        <v>0</v>
      </c>
      <c r="W169" s="37">
        <v>0</v>
      </c>
      <c r="X169" s="37">
        <v>0</v>
      </c>
      <c r="Y169" s="36"/>
      <c r="Z169" s="38"/>
      <c r="AA169" s="39"/>
      <c r="AB169" s="39"/>
      <c r="AC169" s="40"/>
    </row>
    <row r="170" spans="1:29" ht="90" x14ac:dyDescent="0.25">
      <c r="A170" s="20" t="s">
        <v>494</v>
      </c>
      <c r="B170" s="21" t="s">
        <v>495</v>
      </c>
      <c r="C170" s="22" t="s">
        <v>279</v>
      </c>
      <c r="D170" s="22" t="s">
        <v>282</v>
      </c>
      <c r="E170" s="23">
        <f t="shared" ref="E170:X170" si="130">SUM(E171:E171)</f>
        <v>3460</v>
      </c>
      <c r="F170" s="23">
        <f t="shared" si="130"/>
        <v>3460</v>
      </c>
      <c r="G170" s="23">
        <f t="shared" si="130"/>
        <v>0</v>
      </c>
      <c r="H170" s="23">
        <f t="shared" si="130"/>
        <v>0</v>
      </c>
      <c r="I170" s="23">
        <f t="shared" si="130"/>
        <v>0</v>
      </c>
      <c r="J170" s="23">
        <f t="shared" si="130"/>
        <v>0</v>
      </c>
      <c r="K170" s="23">
        <f t="shared" si="130"/>
        <v>0</v>
      </c>
      <c r="L170" s="23">
        <f t="shared" si="130"/>
        <v>0</v>
      </c>
      <c r="M170" s="23">
        <f t="shared" si="130"/>
        <v>0</v>
      </c>
      <c r="N170" s="23">
        <f t="shared" si="130"/>
        <v>0</v>
      </c>
      <c r="O170" s="23">
        <f t="shared" si="130"/>
        <v>3455.76</v>
      </c>
      <c r="P170" s="23">
        <f t="shared" si="130"/>
        <v>3455.76</v>
      </c>
      <c r="Q170" s="23">
        <f t="shared" si="130"/>
        <v>0</v>
      </c>
      <c r="R170" s="23">
        <f t="shared" si="130"/>
        <v>0</v>
      </c>
      <c r="S170" s="23">
        <f t="shared" si="130"/>
        <v>0</v>
      </c>
      <c r="T170" s="23">
        <f t="shared" si="130"/>
        <v>0</v>
      </c>
      <c r="U170" s="23">
        <f t="shared" si="130"/>
        <v>0</v>
      </c>
      <c r="V170" s="23">
        <f t="shared" si="130"/>
        <v>0</v>
      </c>
      <c r="W170" s="23">
        <f t="shared" si="130"/>
        <v>0</v>
      </c>
      <c r="X170" s="23">
        <f t="shared" si="130"/>
        <v>0</v>
      </c>
      <c r="Y170" s="22" t="s">
        <v>496</v>
      </c>
      <c r="Z170" s="24" t="s">
        <v>40</v>
      </c>
      <c r="AA170" s="25" t="s">
        <v>47</v>
      </c>
      <c r="AB170" s="25" t="s">
        <v>47</v>
      </c>
      <c r="AC170" s="26"/>
    </row>
    <row r="171" spans="1:29" ht="69.75" x14ac:dyDescent="0.25">
      <c r="A171" s="27" t="s">
        <v>497</v>
      </c>
      <c r="B171" s="28" t="s">
        <v>498</v>
      </c>
      <c r="C171" s="29" t="s">
        <v>279</v>
      </c>
      <c r="D171" s="29" t="s">
        <v>282</v>
      </c>
      <c r="E171" s="30">
        <f>SUM(E172:E172)+3460</f>
        <v>3460</v>
      </c>
      <c r="F171" s="30">
        <f>SUM(F172:F172)+3460</f>
        <v>3460</v>
      </c>
      <c r="G171" s="30">
        <f t="shared" ref="G171:N171" si="131">SUM(G172:G172)</f>
        <v>0</v>
      </c>
      <c r="H171" s="30">
        <f t="shared" si="131"/>
        <v>0</v>
      </c>
      <c r="I171" s="30">
        <f t="shared" si="131"/>
        <v>0</v>
      </c>
      <c r="J171" s="30">
        <f t="shared" si="131"/>
        <v>0</v>
      </c>
      <c r="K171" s="30">
        <f t="shared" si="131"/>
        <v>0</v>
      </c>
      <c r="L171" s="30">
        <f t="shared" si="131"/>
        <v>0</v>
      </c>
      <c r="M171" s="30">
        <f t="shared" si="131"/>
        <v>0</v>
      </c>
      <c r="N171" s="30">
        <f t="shared" si="131"/>
        <v>0</v>
      </c>
      <c r="O171" s="30">
        <f>SUM(O172:O172)+3455.76</f>
        <v>3455.76</v>
      </c>
      <c r="P171" s="30">
        <f>SUM(P172:P172)+3455.76</f>
        <v>3455.76</v>
      </c>
      <c r="Q171" s="30">
        <f t="shared" ref="Q171:X171" si="132">SUM(Q172:Q172)</f>
        <v>0</v>
      </c>
      <c r="R171" s="30">
        <f t="shared" si="132"/>
        <v>0</v>
      </c>
      <c r="S171" s="30">
        <f t="shared" si="132"/>
        <v>0</v>
      </c>
      <c r="T171" s="30">
        <f t="shared" si="132"/>
        <v>0</v>
      </c>
      <c r="U171" s="30">
        <f t="shared" si="132"/>
        <v>0</v>
      </c>
      <c r="V171" s="30">
        <f t="shared" si="132"/>
        <v>0</v>
      </c>
      <c r="W171" s="30">
        <f t="shared" si="132"/>
        <v>0</v>
      </c>
      <c r="X171" s="30">
        <f t="shared" si="132"/>
        <v>0</v>
      </c>
      <c r="Y171" s="29" t="s">
        <v>491</v>
      </c>
      <c r="Z171" s="31" t="s">
        <v>40</v>
      </c>
      <c r="AA171" s="32" t="s">
        <v>54</v>
      </c>
      <c r="AB171" s="32" t="s">
        <v>54</v>
      </c>
      <c r="AC171" s="33"/>
    </row>
    <row r="172" spans="1:29" ht="69.75" x14ac:dyDescent="0.25">
      <c r="A172" s="34" t="s">
        <v>499</v>
      </c>
      <c r="B172" s="35" t="s">
        <v>500</v>
      </c>
      <c r="C172" s="36"/>
      <c r="D172" s="36"/>
      <c r="E172" s="37">
        <v>0</v>
      </c>
      <c r="F172" s="37">
        <v>0</v>
      </c>
      <c r="G172" s="37">
        <v>0</v>
      </c>
      <c r="H172" s="37">
        <v>0</v>
      </c>
      <c r="I172" s="37">
        <v>0</v>
      </c>
      <c r="J172" s="37">
        <v>0</v>
      </c>
      <c r="K172" s="37">
        <v>0</v>
      </c>
      <c r="L172" s="37">
        <v>0</v>
      </c>
      <c r="M172" s="37">
        <v>0</v>
      </c>
      <c r="N172" s="37">
        <v>0</v>
      </c>
      <c r="O172" s="37">
        <v>0</v>
      </c>
      <c r="P172" s="37">
        <v>0</v>
      </c>
      <c r="Q172" s="37">
        <v>0</v>
      </c>
      <c r="R172" s="37">
        <v>0</v>
      </c>
      <c r="S172" s="37">
        <v>0</v>
      </c>
      <c r="T172" s="37">
        <v>0</v>
      </c>
      <c r="U172" s="37">
        <v>0</v>
      </c>
      <c r="V172" s="37">
        <v>0</v>
      </c>
      <c r="W172" s="37">
        <v>0</v>
      </c>
      <c r="X172" s="37">
        <v>0</v>
      </c>
      <c r="Y172" s="36"/>
      <c r="Z172" s="38"/>
      <c r="AA172" s="39"/>
      <c r="AB172" s="39"/>
      <c r="AC172" s="40"/>
    </row>
    <row r="173" spans="1:29" ht="45" x14ac:dyDescent="0.25">
      <c r="A173" s="13" t="s">
        <v>501</v>
      </c>
      <c r="B173" s="14" t="s">
        <v>502</v>
      </c>
      <c r="C173" s="15" t="s">
        <v>279</v>
      </c>
      <c r="D173" s="15" t="s">
        <v>282</v>
      </c>
      <c r="E173" s="16">
        <f t="shared" ref="E173:N174" si="133">SUM(E174:E174)</f>
        <v>3560.28</v>
      </c>
      <c r="F173" s="16">
        <f t="shared" si="133"/>
        <v>3560.28</v>
      </c>
      <c r="G173" s="16">
        <f t="shared" si="133"/>
        <v>0</v>
      </c>
      <c r="H173" s="16">
        <f t="shared" si="133"/>
        <v>0</v>
      </c>
      <c r="I173" s="16">
        <f t="shared" si="133"/>
        <v>0</v>
      </c>
      <c r="J173" s="16">
        <f t="shared" si="133"/>
        <v>0</v>
      </c>
      <c r="K173" s="16">
        <f t="shared" si="133"/>
        <v>0</v>
      </c>
      <c r="L173" s="16">
        <f t="shared" si="133"/>
        <v>0</v>
      </c>
      <c r="M173" s="16">
        <f t="shared" si="133"/>
        <v>0</v>
      </c>
      <c r="N173" s="16">
        <f t="shared" si="133"/>
        <v>0</v>
      </c>
      <c r="O173" s="16">
        <f t="shared" ref="O173:X174" si="134">SUM(O174:O174)</f>
        <v>3560.16</v>
      </c>
      <c r="P173" s="16">
        <f t="shared" si="134"/>
        <v>3560.16</v>
      </c>
      <c r="Q173" s="16">
        <f t="shared" si="134"/>
        <v>0</v>
      </c>
      <c r="R173" s="16">
        <f t="shared" si="134"/>
        <v>0</v>
      </c>
      <c r="S173" s="16">
        <f t="shared" si="134"/>
        <v>0</v>
      </c>
      <c r="T173" s="16">
        <f t="shared" si="134"/>
        <v>0</v>
      </c>
      <c r="U173" s="16">
        <f t="shared" si="134"/>
        <v>0</v>
      </c>
      <c r="V173" s="16">
        <f t="shared" si="134"/>
        <v>0</v>
      </c>
      <c r="W173" s="16">
        <f t="shared" si="134"/>
        <v>0</v>
      </c>
      <c r="X173" s="16">
        <f t="shared" si="134"/>
        <v>0</v>
      </c>
      <c r="Y173" s="15" t="s">
        <v>503</v>
      </c>
      <c r="Z173" s="17" t="s">
        <v>34</v>
      </c>
      <c r="AA173" s="18" t="s">
        <v>504</v>
      </c>
      <c r="AB173" s="18" t="s">
        <v>504</v>
      </c>
      <c r="AC173" s="19"/>
    </row>
    <row r="174" spans="1:29" ht="45" x14ac:dyDescent="0.25">
      <c r="A174" s="20" t="s">
        <v>505</v>
      </c>
      <c r="B174" s="21" t="s">
        <v>506</v>
      </c>
      <c r="C174" s="22" t="s">
        <v>279</v>
      </c>
      <c r="D174" s="22" t="s">
        <v>282</v>
      </c>
      <c r="E174" s="23">
        <f t="shared" si="133"/>
        <v>3560.28</v>
      </c>
      <c r="F174" s="23">
        <f t="shared" si="133"/>
        <v>3560.28</v>
      </c>
      <c r="G174" s="23">
        <f t="shared" si="133"/>
        <v>0</v>
      </c>
      <c r="H174" s="23">
        <f t="shared" si="133"/>
        <v>0</v>
      </c>
      <c r="I174" s="23">
        <f t="shared" si="133"/>
        <v>0</v>
      </c>
      <c r="J174" s="23">
        <f t="shared" si="133"/>
        <v>0</v>
      </c>
      <c r="K174" s="23">
        <f t="shared" si="133"/>
        <v>0</v>
      </c>
      <c r="L174" s="23">
        <f t="shared" si="133"/>
        <v>0</v>
      </c>
      <c r="M174" s="23">
        <f t="shared" si="133"/>
        <v>0</v>
      </c>
      <c r="N174" s="23">
        <f t="shared" si="133"/>
        <v>0</v>
      </c>
      <c r="O174" s="23">
        <f t="shared" si="134"/>
        <v>3560.16</v>
      </c>
      <c r="P174" s="23">
        <f t="shared" si="134"/>
        <v>3560.16</v>
      </c>
      <c r="Q174" s="23">
        <f t="shared" si="134"/>
        <v>0</v>
      </c>
      <c r="R174" s="23">
        <f t="shared" si="134"/>
        <v>0</v>
      </c>
      <c r="S174" s="23">
        <f t="shared" si="134"/>
        <v>0</v>
      </c>
      <c r="T174" s="23">
        <f t="shared" si="134"/>
        <v>0</v>
      </c>
      <c r="U174" s="23">
        <f t="shared" si="134"/>
        <v>0</v>
      </c>
      <c r="V174" s="23">
        <f t="shared" si="134"/>
        <v>0</v>
      </c>
      <c r="W174" s="23">
        <f t="shared" si="134"/>
        <v>0</v>
      </c>
      <c r="X174" s="23">
        <f t="shared" si="134"/>
        <v>0</v>
      </c>
      <c r="Y174" s="22" t="s">
        <v>507</v>
      </c>
      <c r="Z174" s="24" t="s">
        <v>40</v>
      </c>
      <c r="AA174" s="25" t="s">
        <v>54</v>
      </c>
      <c r="AB174" s="25" t="s">
        <v>54</v>
      </c>
      <c r="AC174" s="26"/>
    </row>
    <row r="175" spans="1:29" ht="46.5" x14ac:dyDescent="0.25">
      <c r="A175" s="27" t="s">
        <v>508</v>
      </c>
      <c r="B175" s="28" t="s">
        <v>509</v>
      </c>
      <c r="C175" s="29" t="s">
        <v>279</v>
      </c>
      <c r="D175" s="29" t="s">
        <v>282</v>
      </c>
      <c r="E175" s="30">
        <f>SUM(E176:E176)+3560.28</f>
        <v>3560.28</v>
      </c>
      <c r="F175" s="30">
        <f>SUM(F176:F176)+3560.28</f>
        <v>3560.28</v>
      </c>
      <c r="G175" s="30">
        <f t="shared" ref="G175:N175" si="135">SUM(G176:G176)</f>
        <v>0</v>
      </c>
      <c r="H175" s="30">
        <f t="shared" si="135"/>
        <v>0</v>
      </c>
      <c r="I175" s="30">
        <f t="shared" si="135"/>
        <v>0</v>
      </c>
      <c r="J175" s="30">
        <f t="shared" si="135"/>
        <v>0</v>
      </c>
      <c r="K175" s="30">
        <f t="shared" si="135"/>
        <v>0</v>
      </c>
      <c r="L175" s="30">
        <f t="shared" si="135"/>
        <v>0</v>
      </c>
      <c r="M175" s="30">
        <f t="shared" si="135"/>
        <v>0</v>
      </c>
      <c r="N175" s="30">
        <f t="shared" si="135"/>
        <v>0</v>
      </c>
      <c r="O175" s="30">
        <f>SUM(O176:O176)+3560.16</f>
        <v>3560.16</v>
      </c>
      <c r="P175" s="30">
        <f>SUM(P176:P176)+3560.16</f>
        <v>3560.16</v>
      </c>
      <c r="Q175" s="30">
        <f t="shared" ref="Q175:X175" si="136">SUM(Q176:Q176)</f>
        <v>0</v>
      </c>
      <c r="R175" s="30">
        <f t="shared" si="136"/>
        <v>0</v>
      </c>
      <c r="S175" s="30">
        <f t="shared" si="136"/>
        <v>0</v>
      </c>
      <c r="T175" s="30">
        <f t="shared" si="136"/>
        <v>0</v>
      </c>
      <c r="U175" s="30">
        <f t="shared" si="136"/>
        <v>0</v>
      </c>
      <c r="V175" s="30">
        <f t="shared" si="136"/>
        <v>0</v>
      </c>
      <c r="W175" s="30">
        <f t="shared" si="136"/>
        <v>0</v>
      </c>
      <c r="X175" s="30">
        <f t="shared" si="136"/>
        <v>0</v>
      </c>
      <c r="Y175" s="29" t="s">
        <v>292</v>
      </c>
      <c r="Z175" s="31" t="s">
        <v>40</v>
      </c>
      <c r="AA175" s="32" t="s">
        <v>54</v>
      </c>
      <c r="AB175" s="32" t="s">
        <v>54</v>
      </c>
      <c r="AC175" s="33"/>
    </row>
    <row r="176" spans="1:29" ht="46.5" x14ac:dyDescent="0.25">
      <c r="A176" s="34" t="s">
        <v>510</v>
      </c>
      <c r="B176" s="35" t="s">
        <v>511</v>
      </c>
      <c r="C176" s="36"/>
      <c r="D176" s="36"/>
      <c r="E176" s="37">
        <v>0</v>
      </c>
      <c r="F176" s="37">
        <v>0</v>
      </c>
      <c r="G176" s="37">
        <v>0</v>
      </c>
      <c r="H176" s="37">
        <v>0</v>
      </c>
      <c r="I176" s="37">
        <v>0</v>
      </c>
      <c r="J176" s="37">
        <v>0</v>
      </c>
      <c r="K176" s="37">
        <v>0</v>
      </c>
      <c r="L176" s="37">
        <v>0</v>
      </c>
      <c r="M176" s="37">
        <v>0</v>
      </c>
      <c r="N176" s="37">
        <v>0</v>
      </c>
      <c r="O176" s="37">
        <v>0</v>
      </c>
      <c r="P176" s="37">
        <v>0</v>
      </c>
      <c r="Q176" s="37">
        <v>0</v>
      </c>
      <c r="R176" s="37">
        <v>0</v>
      </c>
      <c r="S176" s="37">
        <v>0</v>
      </c>
      <c r="T176" s="37">
        <v>0</v>
      </c>
      <c r="U176" s="37">
        <v>0</v>
      </c>
      <c r="V176" s="37">
        <v>0</v>
      </c>
      <c r="W176" s="37">
        <v>0</v>
      </c>
      <c r="X176" s="37">
        <v>0</v>
      </c>
      <c r="Y176" s="36"/>
      <c r="Z176" s="38"/>
      <c r="AA176" s="39"/>
      <c r="AB176" s="39"/>
      <c r="AC176" s="40"/>
    </row>
    <row r="177" spans="1:29" ht="112.5" x14ac:dyDescent="0.25">
      <c r="A177" s="13" t="s">
        <v>512</v>
      </c>
      <c r="B177" s="14" t="s">
        <v>513</v>
      </c>
      <c r="C177" s="15" t="s">
        <v>279</v>
      </c>
      <c r="D177" s="15" t="s">
        <v>282</v>
      </c>
      <c r="E177" s="16">
        <f t="shared" ref="E177:N178" si="137">SUM(E178:E178)</f>
        <v>1900</v>
      </c>
      <c r="F177" s="16">
        <f t="shared" si="137"/>
        <v>1900</v>
      </c>
      <c r="G177" s="16">
        <f t="shared" si="137"/>
        <v>0</v>
      </c>
      <c r="H177" s="16">
        <f t="shared" si="137"/>
        <v>0</v>
      </c>
      <c r="I177" s="16">
        <f t="shared" si="137"/>
        <v>0</v>
      </c>
      <c r="J177" s="16">
        <f t="shared" si="137"/>
        <v>0</v>
      </c>
      <c r="K177" s="16">
        <f t="shared" si="137"/>
        <v>0</v>
      </c>
      <c r="L177" s="16">
        <f t="shared" si="137"/>
        <v>0</v>
      </c>
      <c r="M177" s="16">
        <f t="shared" si="137"/>
        <v>0</v>
      </c>
      <c r="N177" s="16">
        <f t="shared" si="137"/>
        <v>0</v>
      </c>
      <c r="O177" s="16">
        <f t="shared" ref="O177:X178" si="138">SUM(O178:O178)</f>
        <v>1883.9</v>
      </c>
      <c r="P177" s="16">
        <f t="shared" si="138"/>
        <v>1883.9</v>
      </c>
      <c r="Q177" s="16">
        <f t="shared" si="138"/>
        <v>0</v>
      </c>
      <c r="R177" s="16">
        <f t="shared" si="138"/>
        <v>0</v>
      </c>
      <c r="S177" s="16">
        <f t="shared" si="138"/>
        <v>0</v>
      </c>
      <c r="T177" s="16">
        <f t="shared" si="138"/>
        <v>0</v>
      </c>
      <c r="U177" s="16">
        <f t="shared" si="138"/>
        <v>0</v>
      </c>
      <c r="V177" s="16">
        <f t="shared" si="138"/>
        <v>0</v>
      </c>
      <c r="W177" s="16">
        <f t="shared" si="138"/>
        <v>0</v>
      </c>
      <c r="X177" s="16">
        <f t="shared" si="138"/>
        <v>0</v>
      </c>
      <c r="Y177" s="15" t="s">
        <v>514</v>
      </c>
      <c r="Z177" s="17" t="s">
        <v>34</v>
      </c>
      <c r="AA177" s="18" t="s">
        <v>515</v>
      </c>
      <c r="AB177" s="18" t="s">
        <v>515</v>
      </c>
      <c r="AC177" s="19"/>
    </row>
    <row r="178" spans="1:29" ht="67.5" x14ac:dyDescent="0.25">
      <c r="A178" s="20" t="s">
        <v>516</v>
      </c>
      <c r="B178" s="21" t="s">
        <v>517</v>
      </c>
      <c r="C178" s="22" t="s">
        <v>279</v>
      </c>
      <c r="D178" s="22" t="s">
        <v>282</v>
      </c>
      <c r="E178" s="23">
        <f t="shared" si="137"/>
        <v>1900</v>
      </c>
      <c r="F178" s="23">
        <f t="shared" si="137"/>
        <v>1900</v>
      </c>
      <c r="G178" s="23">
        <f t="shared" si="137"/>
        <v>0</v>
      </c>
      <c r="H178" s="23">
        <f t="shared" si="137"/>
        <v>0</v>
      </c>
      <c r="I178" s="23">
        <f t="shared" si="137"/>
        <v>0</v>
      </c>
      <c r="J178" s="23">
        <f t="shared" si="137"/>
        <v>0</v>
      </c>
      <c r="K178" s="23">
        <f t="shared" si="137"/>
        <v>0</v>
      </c>
      <c r="L178" s="23">
        <f t="shared" si="137"/>
        <v>0</v>
      </c>
      <c r="M178" s="23">
        <f t="shared" si="137"/>
        <v>0</v>
      </c>
      <c r="N178" s="23">
        <f t="shared" si="137"/>
        <v>0</v>
      </c>
      <c r="O178" s="23">
        <f t="shared" si="138"/>
        <v>1883.9</v>
      </c>
      <c r="P178" s="23">
        <f t="shared" si="138"/>
        <v>1883.9</v>
      </c>
      <c r="Q178" s="23">
        <f t="shared" si="138"/>
        <v>0</v>
      </c>
      <c r="R178" s="23">
        <f t="shared" si="138"/>
        <v>0</v>
      </c>
      <c r="S178" s="23">
        <f t="shared" si="138"/>
        <v>0</v>
      </c>
      <c r="T178" s="23">
        <f t="shared" si="138"/>
        <v>0</v>
      </c>
      <c r="U178" s="23">
        <f t="shared" si="138"/>
        <v>0</v>
      </c>
      <c r="V178" s="23">
        <f t="shared" si="138"/>
        <v>0</v>
      </c>
      <c r="W178" s="23">
        <f t="shared" si="138"/>
        <v>0</v>
      </c>
      <c r="X178" s="23">
        <f t="shared" si="138"/>
        <v>0</v>
      </c>
      <c r="Y178" s="22" t="s">
        <v>518</v>
      </c>
      <c r="Z178" s="24" t="s">
        <v>40</v>
      </c>
      <c r="AA178" s="25" t="s">
        <v>54</v>
      </c>
      <c r="AB178" s="25" t="s">
        <v>47</v>
      </c>
      <c r="AC178" s="26"/>
    </row>
    <row r="179" spans="1:29" ht="93" x14ac:dyDescent="0.25">
      <c r="A179" s="27" t="s">
        <v>519</v>
      </c>
      <c r="B179" s="28" t="s">
        <v>520</v>
      </c>
      <c r="C179" s="29" t="s">
        <v>279</v>
      </c>
      <c r="D179" s="29" t="s">
        <v>319</v>
      </c>
      <c r="E179" s="30">
        <f>SUM(E180:E180)+1900</f>
        <v>1900</v>
      </c>
      <c r="F179" s="30">
        <f>SUM(F180:F180)+1900</f>
        <v>1900</v>
      </c>
      <c r="G179" s="30">
        <f t="shared" ref="G179:N179" si="139">SUM(G180:G180)</f>
        <v>0</v>
      </c>
      <c r="H179" s="30">
        <f t="shared" si="139"/>
        <v>0</v>
      </c>
      <c r="I179" s="30">
        <f t="shared" si="139"/>
        <v>0</v>
      </c>
      <c r="J179" s="30">
        <f t="shared" si="139"/>
        <v>0</v>
      </c>
      <c r="K179" s="30">
        <f t="shared" si="139"/>
        <v>0</v>
      </c>
      <c r="L179" s="30">
        <f t="shared" si="139"/>
        <v>0</v>
      </c>
      <c r="M179" s="30">
        <f t="shared" si="139"/>
        <v>0</v>
      </c>
      <c r="N179" s="30">
        <f t="shared" si="139"/>
        <v>0</v>
      </c>
      <c r="O179" s="30">
        <f>SUM(O180:O180)+1883.9</f>
        <v>1883.9</v>
      </c>
      <c r="P179" s="30">
        <f>SUM(P180:P180)+1883.9</f>
        <v>1883.9</v>
      </c>
      <c r="Q179" s="30">
        <f t="shared" ref="Q179:X179" si="140">SUM(Q180:Q180)</f>
        <v>0</v>
      </c>
      <c r="R179" s="30">
        <f t="shared" si="140"/>
        <v>0</v>
      </c>
      <c r="S179" s="30">
        <f t="shared" si="140"/>
        <v>0</v>
      </c>
      <c r="T179" s="30">
        <f t="shared" si="140"/>
        <v>0</v>
      </c>
      <c r="U179" s="30">
        <f t="shared" si="140"/>
        <v>0</v>
      </c>
      <c r="V179" s="30">
        <f t="shared" si="140"/>
        <v>0</v>
      </c>
      <c r="W179" s="30">
        <f t="shared" si="140"/>
        <v>0</v>
      </c>
      <c r="X179" s="30">
        <f t="shared" si="140"/>
        <v>0</v>
      </c>
      <c r="Y179" s="29" t="s">
        <v>521</v>
      </c>
      <c r="Z179" s="31" t="s">
        <v>40</v>
      </c>
      <c r="AA179" s="32" t="s">
        <v>54</v>
      </c>
      <c r="AB179" s="32" t="s">
        <v>54</v>
      </c>
      <c r="AC179" s="33" t="s">
        <v>522</v>
      </c>
    </row>
    <row r="180" spans="1:29" ht="69.75" x14ac:dyDescent="0.25">
      <c r="A180" s="34" t="s">
        <v>523</v>
      </c>
      <c r="B180" s="35" t="s">
        <v>524</v>
      </c>
      <c r="C180" s="36"/>
      <c r="D180" s="36"/>
      <c r="E180" s="37">
        <v>0</v>
      </c>
      <c r="F180" s="37">
        <v>0</v>
      </c>
      <c r="G180" s="37">
        <v>0</v>
      </c>
      <c r="H180" s="37">
        <v>0</v>
      </c>
      <c r="I180" s="37">
        <v>0</v>
      </c>
      <c r="J180" s="37">
        <v>0</v>
      </c>
      <c r="K180" s="37">
        <v>0</v>
      </c>
      <c r="L180" s="37">
        <v>0</v>
      </c>
      <c r="M180" s="37">
        <v>0</v>
      </c>
      <c r="N180" s="37">
        <v>0</v>
      </c>
      <c r="O180" s="37">
        <v>0</v>
      </c>
      <c r="P180" s="37">
        <v>0</v>
      </c>
      <c r="Q180" s="37">
        <v>0</v>
      </c>
      <c r="R180" s="37">
        <v>0</v>
      </c>
      <c r="S180" s="37">
        <v>0</v>
      </c>
      <c r="T180" s="37">
        <v>0</v>
      </c>
      <c r="U180" s="37">
        <v>0</v>
      </c>
      <c r="V180" s="37">
        <v>0</v>
      </c>
      <c r="W180" s="37">
        <v>0</v>
      </c>
      <c r="X180" s="37">
        <v>0</v>
      </c>
      <c r="Y180" s="36"/>
      <c r="Z180" s="38"/>
      <c r="AA180" s="39"/>
      <c r="AB180" s="39"/>
      <c r="AC180" s="40"/>
    </row>
    <row r="181" spans="1:29" ht="67.5" x14ac:dyDescent="0.25">
      <c r="A181" s="13" t="s">
        <v>525</v>
      </c>
      <c r="B181" s="14" t="s">
        <v>526</v>
      </c>
      <c r="C181" s="15" t="s">
        <v>279</v>
      </c>
      <c r="D181" s="15" t="s">
        <v>282</v>
      </c>
      <c r="E181" s="16">
        <f t="shared" ref="E181:X181" si="141">E182+E198</f>
        <v>498458.89</v>
      </c>
      <c r="F181" s="16">
        <f t="shared" si="141"/>
        <v>23550</v>
      </c>
      <c r="G181" s="16">
        <f t="shared" si="141"/>
        <v>0</v>
      </c>
      <c r="H181" s="16">
        <f t="shared" si="141"/>
        <v>0</v>
      </c>
      <c r="I181" s="16">
        <f t="shared" si="141"/>
        <v>0</v>
      </c>
      <c r="J181" s="16">
        <f t="shared" si="141"/>
        <v>0</v>
      </c>
      <c r="K181" s="16">
        <f t="shared" si="141"/>
        <v>406248.56</v>
      </c>
      <c r="L181" s="16">
        <f t="shared" si="141"/>
        <v>68660.33</v>
      </c>
      <c r="M181" s="16">
        <f t="shared" si="141"/>
        <v>0</v>
      </c>
      <c r="N181" s="16">
        <f t="shared" si="141"/>
        <v>0</v>
      </c>
      <c r="O181" s="16">
        <f t="shared" si="141"/>
        <v>273803.59000000003</v>
      </c>
      <c r="P181" s="16">
        <f t="shared" si="141"/>
        <v>20762.16</v>
      </c>
      <c r="Q181" s="16">
        <f t="shared" si="141"/>
        <v>0</v>
      </c>
      <c r="R181" s="16">
        <f t="shared" si="141"/>
        <v>0</v>
      </c>
      <c r="S181" s="16">
        <f t="shared" si="141"/>
        <v>0</v>
      </c>
      <c r="T181" s="16">
        <f t="shared" si="141"/>
        <v>0</v>
      </c>
      <c r="U181" s="16">
        <f t="shared" si="141"/>
        <v>0</v>
      </c>
      <c r="V181" s="16">
        <f t="shared" si="141"/>
        <v>30878.12</v>
      </c>
      <c r="W181" s="16">
        <f t="shared" si="141"/>
        <v>0</v>
      </c>
      <c r="X181" s="16">
        <f t="shared" si="141"/>
        <v>0</v>
      </c>
      <c r="Y181" s="15" t="s">
        <v>527</v>
      </c>
      <c r="Z181" s="17" t="s">
        <v>34</v>
      </c>
      <c r="AA181" s="18" t="s">
        <v>370</v>
      </c>
      <c r="AB181" s="18" t="s">
        <v>370</v>
      </c>
      <c r="AC181" s="19"/>
    </row>
    <row r="182" spans="1:29" ht="135" x14ac:dyDescent="0.25">
      <c r="A182" s="20" t="s">
        <v>528</v>
      </c>
      <c r="B182" s="21" t="s">
        <v>529</v>
      </c>
      <c r="C182" s="22" t="s">
        <v>279</v>
      </c>
      <c r="D182" s="22" t="s">
        <v>282</v>
      </c>
      <c r="E182" s="23">
        <f t="shared" ref="E182:X182" si="142">E183+E185+E187+E189+E191+E193+E195</f>
        <v>18150</v>
      </c>
      <c r="F182" s="23">
        <f t="shared" si="142"/>
        <v>18150</v>
      </c>
      <c r="G182" s="23">
        <f t="shared" si="142"/>
        <v>0</v>
      </c>
      <c r="H182" s="23">
        <f t="shared" si="142"/>
        <v>0</v>
      </c>
      <c r="I182" s="23">
        <f t="shared" si="142"/>
        <v>0</v>
      </c>
      <c r="J182" s="23">
        <f t="shared" si="142"/>
        <v>0</v>
      </c>
      <c r="K182" s="23">
        <f t="shared" si="142"/>
        <v>0</v>
      </c>
      <c r="L182" s="23">
        <f t="shared" si="142"/>
        <v>0</v>
      </c>
      <c r="M182" s="23">
        <f t="shared" si="142"/>
        <v>0</v>
      </c>
      <c r="N182" s="23">
        <f t="shared" si="142"/>
        <v>0</v>
      </c>
      <c r="O182" s="23">
        <f t="shared" si="142"/>
        <v>15362.16</v>
      </c>
      <c r="P182" s="23">
        <f t="shared" si="142"/>
        <v>15362.16</v>
      </c>
      <c r="Q182" s="23">
        <f t="shared" si="142"/>
        <v>0</v>
      </c>
      <c r="R182" s="23">
        <f t="shared" si="142"/>
        <v>0</v>
      </c>
      <c r="S182" s="23">
        <f t="shared" si="142"/>
        <v>0</v>
      </c>
      <c r="T182" s="23">
        <f t="shared" si="142"/>
        <v>0</v>
      </c>
      <c r="U182" s="23">
        <f t="shared" si="142"/>
        <v>0</v>
      </c>
      <c r="V182" s="23">
        <f t="shared" si="142"/>
        <v>0</v>
      </c>
      <c r="W182" s="23">
        <f t="shared" si="142"/>
        <v>0</v>
      </c>
      <c r="X182" s="23">
        <f t="shared" si="142"/>
        <v>0</v>
      </c>
      <c r="Y182" s="22" t="s">
        <v>530</v>
      </c>
      <c r="Z182" s="24" t="s">
        <v>34</v>
      </c>
      <c r="AA182" s="25" t="s">
        <v>370</v>
      </c>
      <c r="AB182" s="25" t="s">
        <v>370</v>
      </c>
      <c r="AC182" s="26"/>
    </row>
    <row r="183" spans="1:29" ht="93" x14ac:dyDescent="0.25">
      <c r="A183" s="27" t="s">
        <v>531</v>
      </c>
      <c r="B183" s="28" t="s">
        <v>532</v>
      </c>
      <c r="C183" s="29" t="s">
        <v>279</v>
      </c>
      <c r="D183" s="29" t="s">
        <v>319</v>
      </c>
      <c r="E183" s="30">
        <f t="shared" ref="E183:X183" si="143">SUM(E184:E184)</f>
        <v>0</v>
      </c>
      <c r="F183" s="30">
        <f t="shared" si="143"/>
        <v>0</v>
      </c>
      <c r="G183" s="30">
        <f t="shared" si="143"/>
        <v>0</v>
      </c>
      <c r="H183" s="30">
        <f t="shared" si="143"/>
        <v>0</v>
      </c>
      <c r="I183" s="30">
        <f t="shared" si="143"/>
        <v>0</v>
      </c>
      <c r="J183" s="30">
        <f t="shared" si="143"/>
        <v>0</v>
      </c>
      <c r="K183" s="30">
        <f t="shared" si="143"/>
        <v>0</v>
      </c>
      <c r="L183" s="30">
        <f t="shared" si="143"/>
        <v>0</v>
      </c>
      <c r="M183" s="30">
        <f t="shared" si="143"/>
        <v>0</v>
      </c>
      <c r="N183" s="30">
        <f t="shared" si="143"/>
        <v>0</v>
      </c>
      <c r="O183" s="30">
        <f t="shared" si="143"/>
        <v>0</v>
      </c>
      <c r="P183" s="30">
        <f t="shared" si="143"/>
        <v>0</v>
      </c>
      <c r="Q183" s="30">
        <f t="shared" si="143"/>
        <v>0</v>
      </c>
      <c r="R183" s="30">
        <f t="shared" si="143"/>
        <v>0</v>
      </c>
      <c r="S183" s="30">
        <f t="shared" si="143"/>
        <v>0</v>
      </c>
      <c r="T183" s="30">
        <f t="shared" si="143"/>
        <v>0</v>
      </c>
      <c r="U183" s="30">
        <f t="shared" si="143"/>
        <v>0</v>
      </c>
      <c r="V183" s="30">
        <f t="shared" si="143"/>
        <v>0</v>
      </c>
      <c r="W183" s="30">
        <f t="shared" si="143"/>
        <v>0</v>
      </c>
      <c r="X183" s="30">
        <f t="shared" si="143"/>
        <v>0</v>
      </c>
      <c r="Y183" s="29"/>
      <c r="Z183" s="31"/>
      <c r="AA183" s="32"/>
      <c r="AB183" s="32"/>
      <c r="AC183" s="33"/>
    </row>
    <row r="184" spans="1:29" ht="46.5" x14ac:dyDescent="0.25">
      <c r="A184" s="34" t="s">
        <v>533</v>
      </c>
      <c r="B184" s="35" t="s">
        <v>482</v>
      </c>
      <c r="C184" s="36"/>
      <c r="D184" s="36"/>
      <c r="E184" s="37">
        <v>0</v>
      </c>
      <c r="F184" s="37">
        <v>0</v>
      </c>
      <c r="G184" s="37">
        <v>0</v>
      </c>
      <c r="H184" s="37">
        <v>0</v>
      </c>
      <c r="I184" s="37">
        <v>0</v>
      </c>
      <c r="J184" s="37">
        <v>0</v>
      </c>
      <c r="K184" s="37">
        <v>0</v>
      </c>
      <c r="L184" s="37">
        <v>0</v>
      </c>
      <c r="M184" s="37">
        <v>0</v>
      </c>
      <c r="N184" s="37">
        <v>0</v>
      </c>
      <c r="O184" s="37">
        <v>0</v>
      </c>
      <c r="P184" s="37">
        <v>0</v>
      </c>
      <c r="Q184" s="37">
        <v>0</v>
      </c>
      <c r="R184" s="37">
        <v>0</v>
      </c>
      <c r="S184" s="37">
        <v>0</v>
      </c>
      <c r="T184" s="37">
        <v>0</v>
      </c>
      <c r="U184" s="37">
        <v>0</v>
      </c>
      <c r="V184" s="37">
        <v>0</v>
      </c>
      <c r="W184" s="37">
        <v>0</v>
      </c>
      <c r="X184" s="37">
        <v>0</v>
      </c>
      <c r="Y184" s="36"/>
      <c r="Z184" s="38"/>
      <c r="AA184" s="39"/>
      <c r="AB184" s="39"/>
      <c r="AC184" s="40"/>
    </row>
    <row r="185" spans="1:29" ht="69.75" x14ac:dyDescent="0.25">
      <c r="A185" s="27" t="s">
        <v>534</v>
      </c>
      <c r="B185" s="28" t="s">
        <v>535</v>
      </c>
      <c r="C185" s="29" t="s">
        <v>279</v>
      </c>
      <c r="D185" s="29" t="s">
        <v>319</v>
      </c>
      <c r="E185" s="30">
        <f t="shared" ref="E185:X185" si="144">SUM(E186:E186)</f>
        <v>0</v>
      </c>
      <c r="F185" s="30">
        <f t="shared" si="144"/>
        <v>0</v>
      </c>
      <c r="G185" s="30">
        <f t="shared" si="144"/>
        <v>0</v>
      </c>
      <c r="H185" s="30">
        <f t="shared" si="144"/>
        <v>0</v>
      </c>
      <c r="I185" s="30">
        <f t="shared" si="144"/>
        <v>0</v>
      </c>
      <c r="J185" s="30">
        <f t="shared" si="144"/>
        <v>0</v>
      </c>
      <c r="K185" s="30">
        <f t="shared" si="144"/>
        <v>0</v>
      </c>
      <c r="L185" s="30">
        <f t="shared" si="144"/>
        <v>0</v>
      </c>
      <c r="M185" s="30">
        <f t="shared" si="144"/>
        <v>0</v>
      </c>
      <c r="N185" s="30">
        <f t="shared" si="144"/>
        <v>0</v>
      </c>
      <c r="O185" s="30">
        <f t="shared" si="144"/>
        <v>0</v>
      </c>
      <c r="P185" s="30">
        <f t="shared" si="144"/>
        <v>0</v>
      </c>
      <c r="Q185" s="30">
        <f t="shared" si="144"/>
        <v>0</v>
      </c>
      <c r="R185" s="30">
        <f t="shared" si="144"/>
        <v>0</v>
      </c>
      <c r="S185" s="30">
        <f t="shared" si="144"/>
        <v>0</v>
      </c>
      <c r="T185" s="30">
        <f t="shared" si="144"/>
        <v>0</v>
      </c>
      <c r="U185" s="30">
        <f t="shared" si="144"/>
        <v>0</v>
      </c>
      <c r="V185" s="30">
        <f t="shared" si="144"/>
        <v>0</v>
      </c>
      <c r="W185" s="30">
        <f t="shared" si="144"/>
        <v>0</v>
      </c>
      <c r="X185" s="30">
        <f t="shared" si="144"/>
        <v>0</v>
      </c>
      <c r="Y185" s="29"/>
      <c r="Z185" s="31"/>
      <c r="AA185" s="32"/>
      <c r="AB185" s="32"/>
      <c r="AC185" s="33"/>
    </row>
    <row r="186" spans="1:29" ht="46.5" x14ac:dyDescent="0.25">
      <c r="A186" s="34" t="s">
        <v>536</v>
      </c>
      <c r="B186" s="35" t="s">
        <v>482</v>
      </c>
      <c r="C186" s="36"/>
      <c r="D186" s="36"/>
      <c r="E186" s="37">
        <v>0</v>
      </c>
      <c r="F186" s="37">
        <v>0</v>
      </c>
      <c r="G186" s="37">
        <v>0</v>
      </c>
      <c r="H186" s="37">
        <v>0</v>
      </c>
      <c r="I186" s="37">
        <v>0</v>
      </c>
      <c r="J186" s="37">
        <v>0</v>
      </c>
      <c r="K186" s="37">
        <v>0</v>
      </c>
      <c r="L186" s="37">
        <v>0</v>
      </c>
      <c r="M186" s="37">
        <v>0</v>
      </c>
      <c r="N186" s="37">
        <v>0</v>
      </c>
      <c r="O186" s="37">
        <v>0</v>
      </c>
      <c r="P186" s="37">
        <v>0</v>
      </c>
      <c r="Q186" s="37">
        <v>0</v>
      </c>
      <c r="R186" s="37">
        <v>0</v>
      </c>
      <c r="S186" s="37">
        <v>0</v>
      </c>
      <c r="T186" s="37">
        <v>0</v>
      </c>
      <c r="U186" s="37">
        <v>0</v>
      </c>
      <c r="V186" s="37">
        <v>0</v>
      </c>
      <c r="W186" s="37">
        <v>0</v>
      </c>
      <c r="X186" s="37">
        <v>0</v>
      </c>
      <c r="Y186" s="36"/>
      <c r="Z186" s="38"/>
      <c r="AA186" s="39"/>
      <c r="AB186" s="39"/>
      <c r="AC186" s="40"/>
    </row>
    <row r="187" spans="1:29" ht="46.5" x14ac:dyDescent="0.25">
      <c r="A187" s="27" t="s">
        <v>537</v>
      </c>
      <c r="B187" s="28" t="s">
        <v>538</v>
      </c>
      <c r="C187" s="29" t="s">
        <v>279</v>
      </c>
      <c r="D187" s="29" t="s">
        <v>319</v>
      </c>
      <c r="E187" s="30">
        <f t="shared" ref="E187:X187" si="145">SUM(E188:E188)</f>
        <v>0</v>
      </c>
      <c r="F187" s="30">
        <f t="shared" si="145"/>
        <v>0</v>
      </c>
      <c r="G187" s="30">
        <f t="shared" si="145"/>
        <v>0</v>
      </c>
      <c r="H187" s="30">
        <f t="shared" si="145"/>
        <v>0</v>
      </c>
      <c r="I187" s="30">
        <f t="shared" si="145"/>
        <v>0</v>
      </c>
      <c r="J187" s="30">
        <f t="shared" si="145"/>
        <v>0</v>
      </c>
      <c r="K187" s="30">
        <f t="shared" si="145"/>
        <v>0</v>
      </c>
      <c r="L187" s="30">
        <f t="shared" si="145"/>
        <v>0</v>
      </c>
      <c r="M187" s="30">
        <f t="shared" si="145"/>
        <v>0</v>
      </c>
      <c r="N187" s="30">
        <f t="shared" si="145"/>
        <v>0</v>
      </c>
      <c r="O187" s="30">
        <f t="shared" si="145"/>
        <v>0</v>
      </c>
      <c r="P187" s="30">
        <f t="shared" si="145"/>
        <v>0</v>
      </c>
      <c r="Q187" s="30">
        <f t="shared" si="145"/>
        <v>0</v>
      </c>
      <c r="R187" s="30">
        <f t="shared" si="145"/>
        <v>0</v>
      </c>
      <c r="S187" s="30">
        <f t="shared" si="145"/>
        <v>0</v>
      </c>
      <c r="T187" s="30">
        <f t="shared" si="145"/>
        <v>0</v>
      </c>
      <c r="U187" s="30">
        <f t="shared" si="145"/>
        <v>0</v>
      </c>
      <c r="V187" s="30">
        <f t="shared" si="145"/>
        <v>0</v>
      </c>
      <c r="W187" s="30">
        <f t="shared" si="145"/>
        <v>0</v>
      </c>
      <c r="X187" s="30">
        <f t="shared" si="145"/>
        <v>0</v>
      </c>
      <c r="Y187" s="29" t="s">
        <v>327</v>
      </c>
      <c r="Z187" s="31" t="s">
        <v>40</v>
      </c>
      <c r="AA187" s="32" t="s">
        <v>54</v>
      </c>
      <c r="AB187" s="32" t="s">
        <v>47</v>
      </c>
      <c r="AC187" s="33" t="s">
        <v>539</v>
      </c>
    </row>
    <row r="188" spans="1:29" ht="46.5" x14ac:dyDescent="0.25">
      <c r="A188" s="34" t="s">
        <v>540</v>
      </c>
      <c r="B188" s="35" t="s">
        <v>482</v>
      </c>
      <c r="C188" s="36"/>
      <c r="D188" s="36"/>
      <c r="E188" s="37">
        <v>0</v>
      </c>
      <c r="F188" s="37">
        <v>0</v>
      </c>
      <c r="G188" s="37">
        <v>0</v>
      </c>
      <c r="H188" s="37">
        <v>0</v>
      </c>
      <c r="I188" s="37">
        <v>0</v>
      </c>
      <c r="J188" s="37">
        <v>0</v>
      </c>
      <c r="K188" s="37">
        <v>0</v>
      </c>
      <c r="L188" s="37">
        <v>0</v>
      </c>
      <c r="M188" s="37">
        <v>0</v>
      </c>
      <c r="N188" s="37">
        <v>0</v>
      </c>
      <c r="O188" s="37">
        <v>0</v>
      </c>
      <c r="P188" s="37">
        <v>0</v>
      </c>
      <c r="Q188" s="37">
        <v>0</v>
      </c>
      <c r="R188" s="37">
        <v>0</v>
      </c>
      <c r="S188" s="37">
        <v>0</v>
      </c>
      <c r="T188" s="37">
        <v>0</v>
      </c>
      <c r="U188" s="37">
        <v>0</v>
      </c>
      <c r="V188" s="37">
        <v>0</v>
      </c>
      <c r="W188" s="37">
        <v>0</v>
      </c>
      <c r="X188" s="37">
        <v>0</v>
      </c>
      <c r="Y188" s="36"/>
      <c r="Z188" s="38"/>
      <c r="AA188" s="39"/>
      <c r="AB188" s="39"/>
      <c r="AC188" s="40"/>
    </row>
    <row r="189" spans="1:29" ht="69.75" x14ac:dyDescent="0.25">
      <c r="A189" s="27" t="s">
        <v>541</v>
      </c>
      <c r="B189" s="28" t="s">
        <v>542</v>
      </c>
      <c r="C189" s="29" t="s">
        <v>279</v>
      </c>
      <c r="D189" s="29" t="s">
        <v>290</v>
      </c>
      <c r="E189" s="30">
        <f t="shared" ref="E189:X189" si="146">SUM(E190:E190)</f>
        <v>0</v>
      </c>
      <c r="F189" s="30">
        <f t="shared" si="146"/>
        <v>0</v>
      </c>
      <c r="G189" s="30">
        <f t="shared" si="146"/>
        <v>0</v>
      </c>
      <c r="H189" s="30">
        <f t="shared" si="146"/>
        <v>0</v>
      </c>
      <c r="I189" s="30">
        <f t="shared" si="146"/>
        <v>0</v>
      </c>
      <c r="J189" s="30">
        <f t="shared" si="146"/>
        <v>0</v>
      </c>
      <c r="K189" s="30">
        <f t="shared" si="146"/>
        <v>0</v>
      </c>
      <c r="L189" s="30">
        <f t="shared" si="146"/>
        <v>0</v>
      </c>
      <c r="M189" s="30">
        <f t="shared" si="146"/>
        <v>0</v>
      </c>
      <c r="N189" s="30">
        <f t="shared" si="146"/>
        <v>0</v>
      </c>
      <c r="O189" s="30">
        <f t="shared" si="146"/>
        <v>0</v>
      </c>
      <c r="P189" s="30">
        <f t="shared" si="146"/>
        <v>0</v>
      </c>
      <c r="Q189" s="30">
        <f t="shared" si="146"/>
        <v>0</v>
      </c>
      <c r="R189" s="30">
        <f t="shared" si="146"/>
        <v>0</v>
      </c>
      <c r="S189" s="30">
        <f t="shared" si="146"/>
        <v>0</v>
      </c>
      <c r="T189" s="30">
        <f t="shared" si="146"/>
        <v>0</v>
      </c>
      <c r="U189" s="30">
        <f t="shared" si="146"/>
        <v>0</v>
      </c>
      <c r="V189" s="30">
        <f t="shared" si="146"/>
        <v>0</v>
      </c>
      <c r="W189" s="30">
        <f t="shared" si="146"/>
        <v>0</v>
      </c>
      <c r="X189" s="30">
        <f t="shared" si="146"/>
        <v>0</v>
      </c>
      <c r="Y189" s="29" t="s">
        <v>543</v>
      </c>
      <c r="Z189" s="31" t="s">
        <v>40</v>
      </c>
      <c r="AA189" s="32" t="s">
        <v>54</v>
      </c>
      <c r="AB189" s="32" t="s">
        <v>54</v>
      </c>
      <c r="AC189" s="33"/>
    </row>
    <row r="190" spans="1:29" ht="69.75" x14ac:dyDescent="0.25">
      <c r="A190" s="34" t="s">
        <v>544</v>
      </c>
      <c r="B190" s="35" t="s">
        <v>545</v>
      </c>
      <c r="C190" s="36"/>
      <c r="D190" s="36"/>
      <c r="E190" s="37">
        <v>0</v>
      </c>
      <c r="F190" s="37">
        <v>0</v>
      </c>
      <c r="G190" s="37">
        <v>0</v>
      </c>
      <c r="H190" s="37">
        <v>0</v>
      </c>
      <c r="I190" s="37">
        <v>0</v>
      </c>
      <c r="J190" s="37">
        <v>0</v>
      </c>
      <c r="K190" s="37">
        <v>0</v>
      </c>
      <c r="L190" s="37">
        <v>0</v>
      </c>
      <c r="M190" s="37">
        <v>0</v>
      </c>
      <c r="N190" s="37">
        <v>0</v>
      </c>
      <c r="O190" s="37">
        <v>0</v>
      </c>
      <c r="P190" s="37">
        <v>0</v>
      </c>
      <c r="Q190" s="37">
        <v>0</v>
      </c>
      <c r="R190" s="37">
        <v>0</v>
      </c>
      <c r="S190" s="37">
        <v>0</v>
      </c>
      <c r="T190" s="37">
        <v>0</v>
      </c>
      <c r="U190" s="37">
        <v>0</v>
      </c>
      <c r="V190" s="37">
        <v>0</v>
      </c>
      <c r="W190" s="37">
        <v>0</v>
      </c>
      <c r="X190" s="37">
        <v>0</v>
      </c>
      <c r="Y190" s="36"/>
      <c r="Z190" s="38"/>
      <c r="AA190" s="39"/>
      <c r="AB190" s="39"/>
      <c r="AC190" s="40"/>
    </row>
    <row r="191" spans="1:29" ht="69.75" x14ac:dyDescent="0.25">
      <c r="A191" s="27" t="s">
        <v>546</v>
      </c>
      <c r="B191" s="28" t="s">
        <v>547</v>
      </c>
      <c r="C191" s="29" t="s">
        <v>279</v>
      </c>
      <c r="D191" s="29" t="s">
        <v>290</v>
      </c>
      <c r="E191" s="30">
        <f t="shared" ref="E191:X191" si="147">SUM(E192:E192)</f>
        <v>0</v>
      </c>
      <c r="F191" s="30">
        <f t="shared" si="147"/>
        <v>0</v>
      </c>
      <c r="G191" s="30">
        <f t="shared" si="147"/>
        <v>0</v>
      </c>
      <c r="H191" s="30">
        <f t="shared" si="147"/>
        <v>0</v>
      </c>
      <c r="I191" s="30">
        <f t="shared" si="147"/>
        <v>0</v>
      </c>
      <c r="J191" s="30">
        <f t="shared" si="147"/>
        <v>0</v>
      </c>
      <c r="K191" s="30">
        <f t="shared" si="147"/>
        <v>0</v>
      </c>
      <c r="L191" s="30">
        <f t="shared" si="147"/>
        <v>0</v>
      </c>
      <c r="M191" s="30">
        <f t="shared" si="147"/>
        <v>0</v>
      </c>
      <c r="N191" s="30">
        <f t="shared" si="147"/>
        <v>0</v>
      </c>
      <c r="O191" s="30">
        <f t="shared" si="147"/>
        <v>0</v>
      </c>
      <c r="P191" s="30">
        <f t="shared" si="147"/>
        <v>0</v>
      </c>
      <c r="Q191" s="30">
        <f t="shared" si="147"/>
        <v>0</v>
      </c>
      <c r="R191" s="30">
        <f t="shared" si="147"/>
        <v>0</v>
      </c>
      <c r="S191" s="30">
        <f t="shared" si="147"/>
        <v>0</v>
      </c>
      <c r="T191" s="30">
        <f t="shared" si="147"/>
        <v>0</v>
      </c>
      <c r="U191" s="30">
        <f t="shared" si="147"/>
        <v>0</v>
      </c>
      <c r="V191" s="30">
        <f t="shared" si="147"/>
        <v>0</v>
      </c>
      <c r="W191" s="30">
        <f t="shared" si="147"/>
        <v>0</v>
      </c>
      <c r="X191" s="30">
        <f t="shared" si="147"/>
        <v>0</v>
      </c>
      <c r="Y191" s="29" t="s">
        <v>548</v>
      </c>
      <c r="Z191" s="31" t="s">
        <v>40</v>
      </c>
      <c r="AA191" s="32" t="s">
        <v>54</v>
      </c>
      <c r="AB191" s="32" t="s">
        <v>47</v>
      </c>
      <c r="AC191" s="33" t="s">
        <v>549</v>
      </c>
    </row>
    <row r="192" spans="1:29" ht="46.5" x14ac:dyDescent="0.25">
      <c r="A192" s="34" t="s">
        <v>550</v>
      </c>
      <c r="B192" s="35" t="s">
        <v>551</v>
      </c>
      <c r="C192" s="36"/>
      <c r="D192" s="36"/>
      <c r="E192" s="37">
        <v>0</v>
      </c>
      <c r="F192" s="37">
        <v>0</v>
      </c>
      <c r="G192" s="37">
        <v>0</v>
      </c>
      <c r="H192" s="37">
        <v>0</v>
      </c>
      <c r="I192" s="37">
        <v>0</v>
      </c>
      <c r="J192" s="37">
        <v>0</v>
      </c>
      <c r="K192" s="37">
        <v>0</v>
      </c>
      <c r="L192" s="37">
        <v>0</v>
      </c>
      <c r="M192" s="37">
        <v>0</v>
      </c>
      <c r="N192" s="37">
        <v>0</v>
      </c>
      <c r="O192" s="37">
        <v>0</v>
      </c>
      <c r="P192" s="37">
        <v>0</v>
      </c>
      <c r="Q192" s="37">
        <v>0</v>
      </c>
      <c r="R192" s="37">
        <v>0</v>
      </c>
      <c r="S192" s="37">
        <v>0</v>
      </c>
      <c r="T192" s="37">
        <v>0</v>
      </c>
      <c r="U192" s="37">
        <v>0</v>
      </c>
      <c r="V192" s="37">
        <v>0</v>
      </c>
      <c r="W192" s="37">
        <v>0</v>
      </c>
      <c r="X192" s="37">
        <v>0</v>
      </c>
      <c r="Y192" s="36"/>
      <c r="Z192" s="38"/>
      <c r="AA192" s="39"/>
      <c r="AB192" s="39"/>
      <c r="AC192" s="40"/>
    </row>
    <row r="193" spans="1:29" ht="69.75" x14ac:dyDescent="0.25">
      <c r="A193" s="27" t="s">
        <v>552</v>
      </c>
      <c r="B193" s="28" t="s">
        <v>553</v>
      </c>
      <c r="C193" s="29" t="s">
        <v>279</v>
      </c>
      <c r="D193" s="29" t="s">
        <v>290</v>
      </c>
      <c r="E193" s="30">
        <f t="shared" ref="E193:X193" si="148">SUM(E194:E194)</f>
        <v>0</v>
      </c>
      <c r="F193" s="30">
        <f t="shared" si="148"/>
        <v>0</v>
      </c>
      <c r="G193" s="30">
        <f t="shared" si="148"/>
        <v>0</v>
      </c>
      <c r="H193" s="30">
        <f t="shared" si="148"/>
        <v>0</v>
      </c>
      <c r="I193" s="30">
        <f t="shared" si="148"/>
        <v>0</v>
      </c>
      <c r="J193" s="30">
        <f t="shared" si="148"/>
        <v>0</v>
      </c>
      <c r="K193" s="30">
        <f t="shared" si="148"/>
        <v>0</v>
      </c>
      <c r="L193" s="30">
        <f t="shared" si="148"/>
        <v>0</v>
      </c>
      <c r="M193" s="30">
        <f t="shared" si="148"/>
        <v>0</v>
      </c>
      <c r="N193" s="30">
        <f t="shared" si="148"/>
        <v>0</v>
      </c>
      <c r="O193" s="30">
        <f t="shared" si="148"/>
        <v>0</v>
      </c>
      <c r="P193" s="30">
        <f t="shared" si="148"/>
        <v>0</v>
      </c>
      <c r="Q193" s="30">
        <f t="shared" si="148"/>
        <v>0</v>
      </c>
      <c r="R193" s="30">
        <f t="shared" si="148"/>
        <v>0</v>
      </c>
      <c r="S193" s="30">
        <f t="shared" si="148"/>
        <v>0</v>
      </c>
      <c r="T193" s="30">
        <f t="shared" si="148"/>
        <v>0</v>
      </c>
      <c r="U193" s="30">
        <f t="shared" si="148"/>
        <v>0</v>
      </c>
      <c r="V193" s="30">
        <f t="shared" si="148"/>
        <v>0</v>
      </c>
      <c r="W193" s="30">
        <f t="shared" si="148"/>
        <v>0</v>
      </c>
      <c r="X193" s="30">
        <f t="shared" si="148"/>
        <v>0</v>
      </c>
      <c r="Y193" s="29" t="s">
        <v>554</v>
      </c>
      <c r="Z193" s="31" t="s">
        <v>40</v>
      </c>
      <c r="AA193" s="32" t="s">
        <v>54</v>
      </c>
      <c r="AB193" s="32" t="s">
        <v>47</v>
      </c>
      <c r="AC193" s="33" t="s">
        <v>549</v>
      </c>
    </row>
    <row r="194" spans="1:29" ht="46.5" x14ac:dyDescent="0.25">
      <c r="A194" s="34" t="s">
        <v>555</v>
      </c>
      <c r="B194" s="35" t="s">
        <v>556</v>
      </c>
      <c r="C194" s="36"/>
      <c r="D194" s="36"/>
      <c r="E194" s="37">
        <v>0</v>
      </c>
      <c r="F194" s="37">
        <v>0</v>
      </c>
      <c r="G194" s="37">
        <v>0</v>
      </c>
      <c r="H194" s="37">
        <v>0</v>
      </c>
      <c r="I194" s="37">
        <v>0</v>
      </c>
      <c r="J194" s="37">
        <v>0</v>
      </c>
      <c r="K194" s="37">
        <v>0</v>
      </c>
      <c r="L194" s="37">
        <v>0</v>
      </c>
      <c r="M194" s="37">
        <v>0</v>
      </c>
      <c r="N194" s="37">
        <v>0</v>
      </c>
      <c r="O194" s="37">
        <v>0</v>
      </c>
      <c r="P194" s="37">
        <v>0</v>
      </c>
      <c r="Q194" s="37">
        <v>0</v>
      </c>
      <c r="R194" s="37">
        <v>0</v>
      </c>
      <c r="S194" s="37">
        <v>0</v>
      </c>
      <c r="T194" s="37">
        <v>0</v>
      </c>
      <c r="U194" s="37">
        <v>0</v>
      </c>
      <c r="V194" s="37">
        <v>0</v>
      </c>
      <c r="W194" s="37">
        <v>0</v>
      </c>
      <c r="X194" s="37">
        <v>0</v>
      </c>
      <c r="Y194" s="36"/>
      <c r="Z194" s="38"/>
      <c r="AA194" s="39"/>
      <c r="AB194" s="39"/>
      <c r="AC194" s="40"/>
    </row>
    <row r="195" spans="1:29" ht="116.25" x14ac:dyDescent="0.25">
      <c r="A195" s="27" t="s">
        <v>557</v>
      </c>
      <c r="B195" s="28" t="s">
        <v>558</v>
      </c>
      <c r="C195" s="29" t="s">
        <v>279</v>
      </c>
      <c r="D195" s="29" t="s">
        <v>319</v>
      </c>
      <c r="E195" s="30">
        <f>SUM(E196:E197)+18150</f>
        <v>18150</v>
      </c>
      <c r="F195" s="30">
        <f>SUM(F196:F197)+18150</f>
        <v>18150</v>
      </c>
      <c r="G195" s="30">
        <f t="shared" ref="G195:N195" si="149">SUM(G196:G197)</f>
        <v>0</v>
      </c>
      <c r="H195" s="30">
        <f t="shared" si="149"/>
        <v>0</v>
      </c>
      <c r="I195" s="30">
        <f t="shared" si="149"/>
        <v>0</v>
      </c>
      <c r="J195" s="30">
        <f t="shared" si="149"/>
        <v>0</v>
      </c>
      <c r="K195" s="30">
        <f t="shared" si="149"/>
        <v>0</v>
      </c>
      <c r="L195" s="30">
        <f t="shared" si="149"/>
        <v>0</v>
      </c>
      <c r="M195" s="30">
        <f t="shared" si="149"/>
        <v>0</v>
      </c>
      <c r="N195" s="30">
        <f t="shared" si="149"/>
        <v>0</v>
      </c>
      <c r="O195" s="30">
        <f>SUM(O196:O197)+15362.16</f>
        <v>15362.16</v>
      </c>
      <c r="P195" s="30">
        <f>SUM(P196:P197)+15362.16</f>
        <v>15362.16</v>
      </c>
      <c r="Q195" s="30">
        <f t="shared" ref="Q195:X195" si="150">SUM(Q196:Q197)</f>
        <v>0</v>
      </c>
      <c r="R195" s="30">
        <f t="shared" si="150"/>
        <v>0</v>
      </c>
      <c r="S195" s="30">
        <f t="shared" si="150"/>
        <v>0</v>
      </c>
      <c r="T195" s="30">
        <f t="shared" si="150"/>
        <v>0</v>
      </c>
      <c r="U195" s="30">
        <f t="shared" si="150"/>
        <v>0</v>
      </c>
      <c r="V195" s="30">
        <f t="shared" si="150"/>
        <v>0</v>
      </c>
      <c r="W195" s="30">
        <f t="shared" si="150"/>
        <v>0</v>
      </c>
      <c r="X195" s="30">
        <f t="shared" si="150"/>
        <v>0</v>
      </c>
      <c r="Y195" s="29" t="s">
        <v>559</v>
      </c>
      <c r="Z195" s="31" t="s">
        <v>40</v>
      </c>
      <c r="AA195" s="32" t="s">
        <v>54</v>
      </c>
      <c r="AB195" s="32" t="s">
        <v>54</v>
      </c>
      <c r="AC195" s="33"/>
    </row>
    <row r="196" spans="1:29" ht="46.5" x14ac:dyDescent="0.25">
      <c r="A196" s="34" t="s">
        <v>560</v>
      </c>
      <c r="B196" s="35" t="s">
        <v>561</v>
      </c>
      <c r="C196" s="36"/>
      <c r="D196" s="36"/>
      <c r="E196" s="37">
        <v>0</v>
      </c>
      <c r="F196" s="37">
        <v>0</v>
      </c>
      <c r="G196" s="37">
        <v>0</v>
      </c>
      <c r="H196" s="37">
        <v>0</v>
      </c>
      <c r="I196" s="37">
        <v>0</v>
      </c>
      <c r="J196" s="37">
        <v>0</v>
      </c>
      <c r="K196" s="37">
        <v>0</v>
      </c>
      <c r="L196" s="37">
        <v>0</v>
      </c>
      <c r="M196" s="37">
        <v>0</v>
      </c>
      <c r="N196" s="37">
        <v>0</v>
      </c>
      <c r="O196" s="37">
        <v>0</v>
      </c>
      <c r="P196" s="37">
        <v>0</v>
      </c>
      <c r="Q196" s="37">
        <v>0</v>
      </c>
      <c r="R196" s="37">
        <v>0</v>
      </c>
      <c r="S196" s="37">
        <v>0</v>
      </c>
      <c r="T196" s="37">
        <v>0</v>
      </c>
      <c r="U196" s="37">
        <v>0</v>
      </c>
      <c r="V196" s="37">
        <v>0</v>
      </c>
      <c r="W196" s="37">
        <v>0</v>
      </c>
      <c r="X196" s="37">
        <v>0</v>
      </c>
      <c r="Y196" s="36"/>
      <c r="Z196" s="38"/>
      <c r="AA196" s="39"/>
      <c r="AB196" s="39"/>
      <c r="AC196" s="40"/>
    </row>
    <row r="197" spans="1:29" ht="46.5" x14ac:dyDescent="0.25">
      <c r="A197" s="34" t="s">
        <v>562</v>
      </c>
      <c r="B197" s="35" t="s">
        <v>563</v>
      </c>
      <c r="C197" s="36"/>
      <c r="D197" s="36"/>
      <c r="E197" s="37">
        <v>0</v>
      </c>
      <c r="F197" s="37">
        <v>0</v>
      </c>
      <c r="G197" s="37">
        <v>0</v>
      </c>
      <c r="H197" s="37">
        <v>0</v>
      </c>
      <c r="I197" s="37">
        <v>0</v>
      </c>
      <c r="J197" s="37">
        <v>0</v>
      </c>
      <c r="K197" s="37">
        <v>0</v>
      </c>
      <c r="L197" s="37">
        <v>0</v>
      </c>
      <c r="M197" s="37">
        <v>0</v>
      </c>
      <c r="N197" s="37">
        <v>0</v>
      </c>
      <c r="O197" s="37">
        <v>0</v>
      </c>
      <c r="P197" s="37">
        <v>0</v>
      </c>
      <c r="Q197" s="37">
        <v>0</v>
      </c>
      <c r="R197" s="37">
        <v>0</v>
      </c>
      <c r="S197" s="37">
        <v>0</v>
      </c>
      <c r="T197" s="37">
        <v>0</v>
      </c>
      <c r="U197" s="37">
        <v>0</v>
      </c>
      <c r="V197" s="37">
        <v>0</v>
      </c>
      <c r="W197" s="37">
        <v>0</v>
      </c>
      <c r="X197" s="37">
        <v>0</v>
      </c>
      <c r="Y197" s="36"/>
      <c r="Z197" s="38"/>
      <c r="AA197" s="39"/>
      <c r="AB197" s="39"/>
      <c r="AC197" s="40"/>
    </row>
    <row r="198" spans="1:29" ht="90" x14ac:dyDescent="0.25">
      <c r="A198" s="20" t="s">
        <v>564</v>
      </c>
      <c r="B198" s="21" t="s">
        <v>565</v>
      </c>
      <c r="C198" s="22" t="s">
        <v>279</v>
      </c>
      <c r="D198" s="22" t="s">
        <v>282</v>
      </c>
      <c r="E198" s="23">
        <f t="shared" ref="E198:X198" si="151">E199+E201+E203+E205</f>
        <v>480308.89</v>
      </c>
      <c r="F198" s="23">
        <f t="shared" si="151"/>
        <v>5400</v>
      </c>
      <c r="G198" s="23">
        <f t="shared" si="151"/>
        <v>0</v>
      </c>
      <c r="H198" s="23">
        <f t="shared" si="151"/>
        <v>0</v>
      </c>
      <c r="I198" s="23">
        <f t="shared" si="151"/>
        <v>0</v>
      </c>
      <c r="J198" s="23">
        <f t="shared" si="151"/>
        <v>0</v>
      </c>
      <c r="K198" s="23">
        <f t="shared" si="151"/>
        <v>406248.56</v>
      </c>
      <c r="L198" s="23">
        <f t="shared" si="151"/>
        <v>68660.33</v>
      </c>
      <c r="M198" s="23">
        <f t="shared" si="151"/>
        <v>0</v>
      </c>
      <c r="N198" s="23">
        <f t="shared" si="151"/>
        <v>0</v>
      </c>
      <c r="O198" s="23">
        <f t="shared" si="151"/>
        <v>258441.43000000002</v>
      </c>
      <c r="P198" s="23">
        <f t="shared" si="151"/>
        <v>5400</v>
      </c>
      <c r="Q198" s="23">
        <f t="shared" si="151"/>
        <v>0</v>
      </c>
      <c r="R198" s="23">
        <f t="shared" si="151"/>
        <v>0</v>
      </c>
      <c r="S198" s="23">
        <f t="shared" si="151"/>
        <v>0</v>
      </c>
      <c r="T198" s="23">
        <f t="shared" si="151"/>
        <v>0</v>
      </c>
      <c r="U198" s="23">
        <f t="shared" si="151"/>
        <v>0</v>
      </c>
      <c r="V198" s="23">
        <f t="shared" si="151"/>
        <v>30878.12</v>
      </c>
      <c r="W198" s="23">
        <f t="shared" si="151"/>
        <v>0</v>
      </c>
      <c r="X198" s="23">
        <f t="shared" si="151"/>
        <v>0</v>
      </c>
      <c r="Y198" s="22" t="s">
        <v>566</v>
      </c>
      <c r="Z198" s="24" t="s">
        <v>34</v>
      </c>
      <c r="AA198" s="25" t="s">
        <v>567</v>
      </c>
      <c r="AB198" s="25" t="s">
        <v>568</v>
      </c>
      <c r="AC198" s="26"/>
    </row>
    <row r="199" spans="1:29" ht="93" x14ac:dyDescent="0.25">
      <c r="A199" s="27" t="s">
        <v>569</v>
      </c>
      <c r="B199" s="28" t="s">
        <v>570</v>
      </c>
      <c r="C199" s="29" t="s">
        <v>279</v>
      </c>
      <c r="D199" s="29" t="s">
        <v>469</v>
      </c>
      <c r="E199" s="30">
        <f>SUM(E200:E200)+36000</f>
        <v>36000</v>
      </c>
      <c r="F199" s="30">
        <f>SUM(F200:F200)+5400</f>
        <v>5400</v>
      </c>
      <c r="G199" s="30">
        <f>SUM(G200:G200)</f>
        <v>0</v>
      </c>
      <c r="H199" s="30">
        <f>SUM(H200:H200)</f>
        <v>0</v>
      </c>
      <c r="I199" s="30">
        <f>SUM(I200:I200)</f>
        <v>0</v>
      </c>
      <c r="J199" s="30">
        <f>SUM(J200:J200)</f>
        <v>0</v>
      </c>
      <c r="K199" s="30">
        <f>SUM(K200:K200)+30600</f>
        <v>30600</v>
      </c>
      <c r="L199" s="30">
        <f>SUM(L200:L200)</f>
        <v>0</v>
      </c>
      <c r="M199" s="30">
        <f>SUM(M200:M200)</f>
        <v>0</v>
      </c>
      <c r="N199" s="30">
        <f>SUM(N200:N200)</f>
        <v>0</v>
      </c>
      <c r="O199" s="30">
        <f>SUM(O200:O200)+36000</f>
        <v>36000</v>
      </c>
      <c r="P199" s="30">
        <f>SUM(P200:P200)+5400</f>
        <v>5400</v>
      </c>
      <c r="Q199" s="30">
        <f t="shared" ref="Q199:X199" si="152">SUM(Q200:Q200)</f>
        <v>0</v>
      </c>
      <c r="R199" s="30">
        <f t="shared" si="152"/>
        <v>0</v>
      </c>
      <c r="S199" s="30">
        <f t="shared" si="152"/>
        <v>0</v>
      </c>
      <c r="T199" s="30">
        <f t="shared" si="152"/>
        <v>0</v>
      </c>
      <c r="U199" s="30">
        <f t="shared" si="152"/>
        <v>0</v>
      </c>
      <c r="V199" s="30">
        <f t="shared" si="152"/>
        <v>0</v>
      </c>
      <c r="W199" s="30">
        <f t="shared" si="152"/>
        <v>0</v>
      </c>
      <c r="X199" s="30">
        <f t="shared" si="152"/>
        <v>0</v>
      </c>
      <c r="Y199" s="29" t="s">
        <v>571</v>
      </c>
      <c r="Z199" s="31" t="s">
        <v>40</v>
      </c>
      <c r="AA199" s="32" t="s">
        <v>47</v>
      </c>
      <c r="AB199" s="32" t="s">
        <v>47</v>
      </c>
      <c r="AC199" s="33"/>
    </row>
    <row r="200" spans="1:29" ht="46.5" x14ac:dyDescent="0.25">
      <c r="A200" s="34" t="s">
        <v>572</v>
      </c>
      <c r="B200" s="35" t="s">
        <v>573</v>
      </c>
      <c r="C200" s="36"/>
      <c r="D200" s="36"/>
      <c r="E200" s="37">
        <v>0</v>
      </c>
      <c r="F200" s="37">
        <v>0</v>
      </c>
      <c r="G200" s="37">
        <v>0</v>
      </c>
      <c r="H200" s="37">
        <v>0</v>
      </c>
      <c r="I200" s="37">
        <v>0</v>
      </c>
      <c r="J200" s="37">
        <v>0</v>
      </c>
      <c r="K200" s="37">
        <v>0</v>
      </c>
      <c r="L200" s="37">
        <v>0</v>
      </c>
      <c r="M200" s="37">
        <v>0</v>
      </c>
      <c r="N200" s="37">
        <v>0</v>
      </c>
      <c r="O200" s="37">
        <v>0</v>
      </c>
      <c r="P200" s="37">
        <v>0</v>
      </c>
      <c r="Q200" s="37">
        <v>0</v>
      </c>
      <c r="R200" s="37">
        <v>0</v>
      </c>
      <c r="S200" s="37">
        <v>0</v>
      </c>
      <c r="T200" s="37">
        <v>0</v>
      </c>
      <c r="U200" s="37">
        <v>0</v>
      </c>
      <c r="V200" s="37">
        <v>0</v>
      </c>
      <c r="W200" s="37">
        <v>0</v>
      </c>
      <c r="X200" s="37">
        <v>0</v>
      </c>
      <c r="Y200" s="36"/>
      <c r="Z200" s="38"/>
      <c r="AA200" s="39"/>
      <c r="AB200" s="39"/>
      <c r="AC200" s="40"/>
    </row>
    <row r="201" spans="1:29" ht="93" x14ac:dyDescent="0.25">
      <c r="A201" s="27" t="s">
        <v>574</v>
      </c>
      <c r="B201" s="28" t="s">
        <v>575</v>
      </c>
      <c r="C201" s="29" t="s">
        <v>279</v>
      </c>
      <c r="D201" s="29" t="s">
        <v>469</v>
      </c>
      <c r="E201" s="30">
        <f>SUM(E202:E202)+20431.24</f>
        <v>20431.240000000002</v>
      </c>
      <c r="F201" s="30">
        <f>SUM(F202:F202)</f>
        <v>0</v>
      </c>
      <c r="G201" s="30">
        <f>SUM(G202:G202)</f>
        <v>0</v>
      </c>
      <c r="H201" s="30">
        <f>SUM(H202:H202)</f>
        <v>0</v>
      </c>
      <c r="I201" s="30">
        <f>SUM(I202:I202)</f>
        <v>0</v>
      </c>
      <c r="J201" s="30">
        <f>SUM(J202:J202)</f>
        <v>0</v>
      </c>
      <c r="K201" s="30">
        <f>SUM(K202:K202)+20431.24</f>
        <v>20431.240000000002</v>
      </c>
      <c r="L201" s="30">
        <f>SUM(L202:L202)</f>
        <v>0</v>
      </c>
      <c r="M201" s="30">
        <f>SUM(M202:M202)</f>
        <v>0</v>
      </c>
      <c r="N201" s="30">
        <f>SUM(N202:N202)</f>
        <v>0</v>
      </c>
      <c r="O201" s="30">
        <f>SUM(O202:O202)+16587.29</f>
        <v>16587.29</v>
      </c>
      <c r="P201" s="30">
        <f t="shared" ref="P201:X201" si="153">SUM(P202:P202)</f>
        <v>0</v>
      </c>
      <c r="Q201" s="30">
        <f t="shared" si="153"/>
        <v>0</v>
      </c>
      <c r="R201" s="30">
        <f t="shared" si="153"/>
        <v>0</v>
      </c>
      <c r="S201" s="30">
        <f t="shared" si="153"/>
        <v>0</v>
      </c>
      <c r="T201" s="30">
        <f t="shared" si="153"/>
        <v>0</v>
      </c>
      <c r="U201" s="30">
        <f t="shared" si="153"/>
        <v>0</v>
      </c>
      <c r="V201" s="30">
        <f t="shared" si="153"/>
        <v>0</v>
      </c>
      <c r="W201" s="30">
        <f t="shared" si="153"/>
        <v>0</v>
      </c>
      <c r="X201" s="30">
        <f t="shared" si="153"/>
        <v>0</v>
      </c>
      <c r="Y201" s="29" t="s">
        <v>576</v>
      </c>
      <c r="Z201" s="31" t="s">
        <v>40</v>
      </c>
      <c r="AA201" s="32" t="s">
        <v>54</v>
      </c>
      <c r="AB201" s="32" t="s">
        <v>54</v>
      </c>
      <c r="AC201" s="33"/>
    </row>
    <row r="202" spans="1:29" ht="46.5" x14ac:dyDescent="0.25">
      <c r="A202" s="34" t="s">
        <v>577</v>
      </c>
      <c r="B202" s="35" t="s">
        <v>573</v>
      </c>
      <c r="C202" s="36"/>
      <c r="D202" s="36"/>
      <c r="E202" s="37">
        <v>0</v>
      </c>
      <c r="F202" s="37">
        <v>0</v>
      </c>
      <c r="G202" s="37">
        <v>0</v>
      </c>
      <c r="H202" s="37">
        <v>0</v>
      </c>
      <c r="I202" s="37">
        <v>0</v>
      </c>
      <c r="J202" s="37">
        <v>0</v>
      </c>
      <c r="K202" s="37">
        <v>0</v>
      </c>
      <c r="L202" s="37">
        <v>0</v>
      </c>
      <c r="M202" s="37">
        <v>0</v>
      </c>
      <c r="N202" s="37">
        <v>0</v>
      </c>
      <c r="O202" s="37">
        <v>0</v>
      </c>
      <c r="P202" s="37">
        <v>0</v>
      </c>
      <c r="Q202" s="37">
        <v>0</v>
      </c>
      <c r="R202" s="37">
        <v>0</v>
      </c>
      <c r="S202" s="37">
        <v>0</v>
      </c>
      <c r="T202" s="37">
        <v>0</v>
      </c>
      <c r="U202" s="37">
        <v>0</v>
      </c>
      <c r="V202" s="37">
        <v>0</v>
      </c>
      <c r="W202" s="37">
        <v>0</v>
      </c>
      <c r="X202" s="37">
        <v>0</v>
      </c>
      <c r="Y202" s="36"/>
      <c r="Z202" s="38"/>
      <c r="AA202" s="39"/>
      <c r="AB202" s="39"/>
      <c r="AC202" s="40"/>
    </row>
    <row r="203" spans="1:29" ht="116.25" x14ac:dyDescent="0.25">
      <c r="A203" s="27" t="s">
        <v>578</v>
      </c>
      <c r="B203" s="28" t="s">
        <v>579</v>
      </c>
      <c r="C203" s="29" t="s">
        <v>279</v>
      </c>
      <c r="D203" s="29" t="s">
        <v>469</v>
      </c>
      <c r="E203" s="30">
        <f>SUM(E204:E204)+423877.65</f>
        <v>423877.65</v>
      </c>
      <c r="F203" s="30">
        <f>SUM(F204:F204)</f>
        <v>0</v>
      </c>
      <c r="G203" s="30">
        <f>SUM(G204:G204)</f>
        <v>0</v>
      </c>
      <c r="H203" s="30">
        <f>SUM(H204:H204)</f>
        <v>0</v>
      </c>
      <c r="I203" s="30">
        <f>SUM(I204:I204)</f>
        <v>0</v>
      </c>
      <c r="J203" s="30">
        <f>SUM(J204:J204)</f>
        <v>0</v>
      </c>
      <c r="K203" s="30">
        <f>SUM(K204:K204)+355217.32</f>
        <v>355217.32</v>
      </c>
      <c r="L203" s="30">
        <f>SUM(L204:L204)+68660.33</f>
        <v>68660.33</v>
      </c>
      <c r="M203" s="30">
        <f>SUM(M204:M204)</f>
        <v>0</v>
      </c>
      <c r="N203" s="30">
        <f>SUM(N204:N204)</f>
        <v>0</v>
      </c>
      <c r="O203" s="30">
        <f>SUM(O204:O204)+205854.14</f>
        <v>205854.14</v>
      </c>
      <c r="P203" s="30">
        <f t="shared" ref="P203:U203" si="154">SUM(P204:P204)</f>
        <v>0</v>
      </c>
      <c r="Q203" s="30">
        <f t="shared" si="154"/>
        <v>0</v>
      </c>
      <c r="R203" s="30">
        <f t="shared" si="154"/>
        <v>0</v>
      </c>
      <c r="S203" s="30">
        <f t="shared" si="154"/>
        <v>0</v>
      </c>
      <c r="T203" s="30">
        <f t="shared" si="154"/>
        <v>0</v>
      </c>
      <c r="U203" s="30">
        <f t="shared" si="154"/>
        <v>0</v>
      </c>
      <c r="V203" s="30">
        <f>SUM(V204:V204)+30878.12</f>
        <v>30878.12</v>
      </c>
      <c r="W203" s="30">
        <f>SUM(W204:W204)</f>
        <v>0</v>
      </c>
      <c r="X203" s="30">
        <f>SUM(X204:X204)</f>
        <v>0</v>
      </c>
      <c r="Y203" s="29" t="s">
        <v>580</v>
      </c>
      <c r="Z203" s="31" t="s">
        <v>40</v>
      </c>
      <c r="AA203" s="32" t="s">
        <v>54</v>
      </c>
      <c r="AB203" s="32" t="s">
        <v>54</v>
      </c>
      <c r="AC203" s="33" t="s">
        <v>581</v>
      </c>
    </row>
    <row r="204" spans="1:29" ht="46.5" x14ac:dyDescent="0.25">
      <c r="A204" s="34" t="s">
        <v>582</v>
      </c>
      <c r="B204" s="35" t="s">
        <v>573</v>
      </c>
      <c r="C204" s="36"/>
      <c r="D204" s="36"/>
      <c r="E204" s="37">
        <v>0</v>
      </c>
      <c r="F204" s="37">
        <v>0</v>
      </c>
      <c r="G204" s="37">
        <v>0</v>
      </c>
      <c r="H204" s="37">
        <v>0</v>
      </c>
      <c r="I204" s="37">
        <v>0</v>
      </c>
      <c r="J204" s="37">
        <v>0</v>
      </c>
      <c r="K204" s="37">
        <v>0</v>
      </c>
      <c r="L204" s="37">
        <v>0</v>
      </c>
      <c r="M204" s="37">
        <v>0</v>
      </c>
      <c r="N204" s="37">
        <v>0</v>
      </c>
      <c r="O204" s="37">
        <v>0</v>
      </c>
      <c r="P204" s="37">
        <v>0</v>
      </c>
      <c r="Q204" s="37">
        <v>0</v>
      </c>
      <c r="R204" s="37">
        <v>0</v>
      </c>
      <c r="S204" s="37">
        <v>0</v>
      </c>
      <c r="T204" s="37">
        <v>0</v>
      </c>
      <c r="U204" s="37">
        <v>0</v>
      </c>
      <c r="V204" s="37">
        <v>0</v>
      </c>
      <c r="W204" s="37">
        <v>0</v>
      </c>
      <c r="X204" s="37">
        <v>0</v>
      </c>
      <c r="Y204" s="36"/>
      <c r="Z204" s="38"/>
      <c r="AA204" s="39"/>
      <c r="AB204" s="39"/>
      <c r="AC204" s="40"/>
    </row>
    <row r="205" spans="1:29" ht="69.75" x14ac:dyDescent="0.25">
      <c r="A205" s="27" t="s">
        <v>583</v>
      </c>
      <c r="B205" s="28" t="s">
        <v>584</v>
      </c>
      <c r="C205" s="29" t="s">
        <v>279</v>
      </c>
      <c r="D205" s="29" t="s">
        <v>469</v>
      </c>
      <c r="E205" s="30">
        <f t="shared" ref="E205:X205" si="155">SUM(E206:E206)</f>
        <v>0</v>
      </c>
      <c r="F205" s="30">
        <f t="shared" si="155"/>
        <v>0</v>
      </c>
      <c r="G205" s="30">
        <f t="shared" si="155"/>
        <v>0</v>
      </c>
      <c r="H205" s="30">
        <f t="shared" si="155"/>
        <v>0</v>
      </c>
      <c r="I205" s="30">
        <f t="shared" si="155"/>
        <v>0</v>
      </c>
      <c r="J205" s="30">
        <f t="shared" si="155"/>
        <v>0</v>
      </c>
      <c r="K205" s="30">
        <f t="shared" si="155"/>
        <v>0</v>
      </c>
      <c r="L205" s="30">
        <f t="shared" si="155"/>
        <v>0</v>
      </c>
      <c r="M205" s="30">
        <f t="shared" si="155"/>
        <v>0</v>
      </c>
      <c r="N205" s="30">
        <f t="shared" si="155"/>
        <v>0</v>
      </c>
      <c r="O205" s="30">
        <f t="shared" si="155"/>
        <v>0</v>
      </c>
      <c r="P205" s="30">
        <f t="shared" si="155"/>
        <v>0</v>
      </c>
      <c r="Q205" s="30">
        <f t="shared" si="155"/>
        <v>0</v>
      </c>
      <c r="R205" s="30">
        <f t="shared" si="155"/>
        <v>0</v>
      </c>
      <c r="S205" s="30">
        <f t="shared" si="155"/>
        <v>0</v>
      </c>
      <c r="T205" s="30">
        <f t="shared" si="155"/>
        <v>0</v>
      </c>
      <c r="U205" s="30">
        <f t="shared" si="155"/>
        <v>0</v>
      </c>
      <c r="V205" s="30">
        <f t="shared" si="155"/>
        <v>0</v>
      </c>
      <c r="W205" s="30">
        <f t="shared" si="155"/>
        <v>0</v>
      </c>
      <c r="X205" s="30">
        <f t="shared" si="155"/>
        <v>0</v>
      </c>
      <c r="Y205" s="29" t="s">
        <v>585</v>
      </c>
      <c r="Z205" s="31" t="s">
        <v>40</v>
      </c>
      <c r="AA205" s="32" t="s">
        <v>54</v>
      </c>
      <c r="AB205" s="32" t="s">
        <v>54</v>
      </c>
      <c r="AC205" s="33"/>
    </row>
    <row r="206" spans="1:29" ht="69.75" x14ac:dyDescent="0.25">
      <c r="A206" s="34" t="s">
        <v>586</v>
      </c>
      <c r="B206" s="35" t="s">
        <v>587</v>
      </c>
      <c r="C206" s="36"/>
      <c r="D206" s="36"/>
      <c r="E206" s="37">
        <v>0</v>
      </c>
      <c r="F206" s="37">
        <v>0</v>
      </c>
      <c r="G206" s="37">
        <v>0</v>
      </c>
      <c r="H206" s="37">
        <v>0</v>
      </c>
      <c r="I206" s="37">
        <v>0</v>
      </c>
      <c r="J206" s="37">
        <v>0</v>
      </c>
      <c r="K206" s="37">
        <v>0</v>
      </c>
      <c r="L206" s="37">
        <v>0</v>
      </c>
      <c r="M206" s="37">
        <v>0</v>
      </c>
      <c r="N206" s="37">
        <v>0</v>
      </c>
      <c r="O206" s="37">
        <v>0</v>
      </c>
      <c r="P206" s="37">
        <v>0</v>
      </c>
      <c r="Q206" s="37">
        <v>0</v>
      </c>
      <c r="R206" s="37">
        <v>0</v>
      </c>
      <c r="S206" s="37">
        <v>0</v>
      </c>
      <c r="T206" s="37">
        <v>0</v>
      </c>
      <c r="U206" s="37">
        <v>0</v>
      </c>
      <c r="V206" s="37">
        <v>0</v>
      </c>
      <c r="W206" s="37">
        <v>0</v>
      </c>
      <c r="X206" s="37">
        <v>0</v>
      </c>
      <c r="Y206" s="36"/>
      <c r="Z206" s="38"/>
      <c r="AA206" s="39"/>
      <c r="AB206" s="39"/>
      <c r="AC206" s="40"/>
    </row>
    <row r="207" spans="1:29" ht="67.5" x14ac:dyDescent="0.25">
      <c r="A207" s="13" t="s">
        <v>588</v>
      </c>
      <c r="B207" s="14" t="s">
        <v>589</v>
      </c>
      <c r="C207" s="15" t="s">
        <v>279</v>
      </c>
      <c r="D207" s="15" t="s">
        <v>282</v>
      </c>
      <c r="E207" s="16">
        <f t="shared" ref="E207:X207" si="156">E208+E215</f>
        <v>534508.79</v>
      </c>
      <c r="F207" s="16">
        <f t="shared" si="156"/>
        <v>0</v>
      </c>
      <c r="G207" s="16">
        <f t="shared" si="156"/>
        <v>0</v>
      </c>
      <c r="H207" s="16">
        <f t="shared" si="156"/>
        <v>0</v>
      </c>
      <c r="I207" s="16">
        <f t="shared" si="156"/>
        <v>0</v>
      </c>
      <c r="J207" s="16">
        <f t="shared" si="156"/>
        <v>0</v>
      </c>
      <c r="K207" s="16">
        <f t="shared" si="156"/>
        <v>534508.79</v>
      </c>
      <c r="L207" s="16">
        <f t="shared" si="156"/>
        <v>0</v>
      </c>
      <c r="M207" s="16">
        <f t="shared" si="156"/>
        <v>0</v>
      </c>
      <c r="N207" s="16">
        <f t="shared" si="156"/>
        <v>0</v>
      </c>
      <c r="O207" s="16">
        <f t="shared" si="156"/>
        <v>504641.14</v>
      </c>
      <c r="P207" s="16">
        <f t="shared" si="156"/>
        <v>0</v>
      </c>
      <c r="Q207" s="16">
        <f t="shared" si="156"/>
        <v>0</v>
      </c>
      <c r="R207" s="16">
        <f t="shared" si="156"/>
        <v>0</v>
      </c>
      <c r="S207" s="16">
        <f t="shared" si="156"/>
        <v>0</v>
      </c>
      <c r="T207" s="16">
        <f t="shared" si="156"/>
        <v>0</v>
      </c>
      <c r="U207" s="16">
        <f t="shared" si="156"/>
        <v>0</v>
      </c>
      <c r="V207" s="16">
        <f t="shared" si="156"/>
        <v>0</v>
      </c>
      <c r="W207" s="16">
        <f t="shared" si="156"/>
        <v>0</v>
      </c>
      <c r="X207" s="16">
        <f t="shared" si="156"/>
        <v>0</v>
      </c>
      <c r="Y207" s="15" t="s">
        <v>590</v>
      </c>
      <c r="Z207" s="17" t="s">
        <v>34</v>
      </c>
      <c r="AA207" s="18" t="s">
        <v>47</v>
      </c>
      <c r="AB207" s="18" t="s">
        <v>47</v>
      </c>
      <c r="AC207" s="19"/>
    </row>
    <row r="208" spans="1:29" ht="90" x14ac:dyDescent="0.25">
      <c r="A208" s="20" t="s">
        <v>591</v>
      </c>
      <c r="B208" s="21" t="s">
        <v>592</v>
      </c>
      <c r="C208" s="22" t="s">
        <v>279</v>
      </c>
      <c r="D208" s="22" t="s">
        <v>282</v>
      </c>
      <c r="E208" s="23">
        <f t="shared" ref="E208:X208" si="157">E209+E211+E213</f>
        <v>0</v>
      </c>
      <c r="F208" s="23">
        <f t="shared" si="157"/>
        <v>0</v>
      </c>
      <c r="G208" s="23">
        <f t="shared" si="157"/>
        <v>0</v>
      </c>
      <c r="H208" s="23">
        <f t="shared" si="157"/>
        <v>0</v>
      </c>
      <c r="I208" s="23">
        <f t="shared" si="157"/>
        <v>0</v>
      </c>
      <c r="J208" s="23">
        <f t="shared" si="157"/>
        <v>0</v>
      </c>
      <c r="K208" s="23">
        <f t="shared" si="157"/>
        <v>0</v>
      </c>
      <c r="L208" s="23">
        <f t="shared" si="157"/>
        <v>0</v>
      </c>
      <c r="M208" s="23">
        <f t="shared" si="157"/>
        <v>0</v>
      </c>
      <c r="N208" s="23">
        <f t="shared" si="157"/>
        <v>0</v>
      </c>
      <c r="O208" s="23">
        <f t="shared" si="157"/>
        <v>0</v>
      </c>
      <c r="P208" s="23">
        <f t="shared" si="157"/>
        <v>0</v>
      </c>
      <c r="Q208" s="23">
        <f t="shared" si="157"/>
        <v>0</v>
      </c>
      <c r="R208" s="23">
        <f t="shared" si="157"/>
        <v>0</v>
      </c>
      <c r="S208" s="23">
        <f t="shared" si="157"/>
        <v>0</v>
      </c>
      <c r="T208" s="23">
        <f t="shared" si="157"/>
        <v>0</v>
      </c>
      <c r="U208" s="23">
        <f t="shared" si="157"/>
        <v>0</v>
      </c>
      <c r="V208" s="23">
        <f t="shared" si="157"/>
        <v>0</v>
      </c>
      <c r="W208" s="23">
        <f t="shared" si="157"/>
        <v>0</v>
      </c>
      <c r="X208" s="23">
        <f t="shared" si="157"/>
        <v>0</v>
      </c>
      <c r="Y208" s="22" t="s">
        <v>593</v>
      </c>
      <c r="Z208" s="24" t="s">
        <v>34</v>
      </c>
      <c r="AA208" s="25" t="s">
        <v>47</v>
      </c>
      <c r="AB208" s="25" t="s">
        <v>47</v>
      </c>
      <c r="AC208" s="26"/>
    </row>
    <row r="209" spans="1:29" ht="69.75" x14ac:dyDescent="0.25">
      <c r="A209" s="27" t="s">
        <v>594</v>
      </c>
      <c r="B209" s="28" t="s">
        <v>595</v>
      </c>
      <c r="C209" s="29" t="s">
        <v>279</v>
      </c>
      <c r="D209" s="29" t="s">
        <v>290</v>
      </c>
      <c r="E209" s="30">
        <f t="shared" ref="E209:X209" si="158">SUM(E210:E210)</f>
        <v>0</v>
      </c>
      <c r="F209" s="30">
        <f t="shared" si="158"/>
        <v>0</v>
      </c>
      <c r="G209" s="30">
        <f t="shared" si="158"/>
        <v>0</v>
      </c>
      <c r="H209" s="30">
        <f t="shared" si="158"/>
        <v>0</v>
      </c>
      <c r="I209" s="30">
        <f t="shared" si="158"/>
        <v>0</v>
      </c>
      <c r="J209" s="30">
        <f t="shared" si="158"/>
        <v>0</v>
      </c>
      <c r="K209" s="30">
        <f t="shared" si="158"/>
        <v>0</v>
      </c>
      <c r="L209" s="30">
        <f t="shared" si="158"/>
        <v>0</v>
      </c>
      <c r="M209" s="30">
        <f t="shared" si="158"/>
        <v>0</v>
      </c>
      <c r="N209" s="30">
        <f t="shared" si="158"/>
        <v>0</v>
      </c>
      <c r="O209" s="30">
        <f t="shared" si="158"/>
        <v>0</v>
      </c>
      <c r="P209" s="30">
        <f t="shared" si="158"/>
        <v>0</v>
      </c>
      <c r="Q209" s="30">
        <f t="shared" si="158"/>
        <v>0</v>
      </c>
      <c r="R209" s="30">
        <f t="shared" si="158"/>
        <v>0</v>
      </c>
      <c r="S209" s="30">
        <f t="shared" si="158"/>
        <v>0</v>
      </c>
      <c r="T209" s="30">
        <f t="shared" si="158"/>
        <v>0</v>
      </c>
      <c r="U209" s="30">
        <f t="shared" si="158"/>
        <v>0</v>
      </c>
      <c r="V209" s="30">
        <f t="shared" si="158"/>
        <v>0</v>
      </c>
      <c r="W209" s="30">
        <f t="shared" si="158"/>
        <v>0</v>
      </c>
      <c r="X209" s="30">
        <f t="shared" si="158"/>
        <v>0</v>
      </c>
      <c r="Y209" s="29" t="s">
        <v>543</v>
      </c>
      <c r="Z209" s="31" t="s">
        <v>40</v>
      </c>
      <c r="AA209" s="32" t="s">
        <v>54</v>
      </c>
      <c r="AB209" s="32" t="s">
        <v>54</v>
      </c>
      <c r="AC209" s="33"/>
    </row>
    <row r="210" spans="1:29" ht="69.75" x14ac:dyDescent="0.25">
      <c r="A210" s="34" t="s">
        <v>596</v>
      </c>
      <c r="B210" s="35" t="s">
        <v>545</v>
      </c>
      <c r="C210" s="36"/>
      <c r="D210" s="36"/>
      <c r="E210" s="37">
        <v>0</v>
      </c>
      <c r="F210" s="37">
        <v>0</v>
      </c>
      <c r="G210" s="37">
        <v>0</v>
      </c>
      <c r="H210" s="37">
        <v>0</v>
      </c>
      <c r="I210" s="37">
        <v>0</v>
      </c>
      <c r="J210" s="37">
        <v>0</v>
      </c>
      <c r="K210" s="37">
        <v>0</v>
      </c>
      <c r="L210" s="37">
        <v>0</v>
      </c>
      <c r="M210" s="37">
        <v>0</v>
      </c>
      <c r="N210" s="37">
        <v>0</v>
      </c>
      <c r="O210" s="37">
        <v>0</v>
      </c>
      <c r="P210" s="37">
        <v>0</v>
      </c>
      <c r="Q210" s="37">
        <v>0</v>
      </c>
      <c r="R210" s="37">
        <v>0</v>
      </c>
      <c r="S210" s="37">
        <v>0</v>
      </c>
      <c r="T210" s="37">
        <v>0</v>
      </c>
      <c r="U210" s="37">
        <v>0</v>
      </c>
      <c r="V210" s="37">
        <v>0</v>
      </c>
      <c r="W210" s="37">
        <v>0</v>
      </c>
      <c r="X210" s="37">
        <v>0</v>
      </c>
      <c r="Y210" s="36"/>
      <c r="Z210" s="38"/>
      <c r="AA210" s="39"/>
      <c r="AB210" s="39"/>
      <c r="AC210" s="40"/>
    </row>
    <row r="211" spans="1:29" ht="69.75" x14ac:dyDescent="0.25">
      <c r="A211" s="27" t="s">
        <v>597</v>
      </c>
      <c r="B211" s="28" t="s">
        <v>598</v>
      </c>
      <c r="C211" s="29" t="s">
        <v>279</v>
      </c>
      <c r="D211" s="29" t="s">
        <v>290</v>
      </c>
      <c r="E211" s="30">
        <f t="shared" ref="E211:X211" si="159">SUM(E212:E212)</f>
        <v>0</v>
      </c>
      <c r="F211" s="30">
        <f t="shared" si="159"/>
        <v>0</v>
      </c>
      <c r="G211" s="30">
        <f t="shared" si="159"/>
        <v>0</v>
      </c>
      <c r="H211" s="30">
        <f t="shared" si="159"/>
        <v>0</v>
      </c>
      <c r="I211" s="30">
        <f t="shared" si="159"/>
        <v>0</v>
      </c>
      <c r="J211" s="30">
        <f t="shared" si="159"/>
        <v>0</v>
      </c>
      <c r="K211" s="30">
        <f t="shared" si="159"/>
        <v>0</v>
      </c>
      <c r="L211" s="30">
        <f t="shared" si="159"/>
        <v>0</v>
      </c>
      <c r="M211" s="30">
        <f t="shared" si="159"/>
        <v>0</v>
      </c>
      <c r="N211" s="30">
        <f t="shared" si="159"/>
        <v>0</v>
      </c>
      <c r="O211" s="30">
        <f t="shared" si="159"/>
        <v>0</v>
      </c>
      <c r="P211" s="30">
        <f t="shared" si="159"/>
        <v>0</v>
      </c>
      <c r="Q211" s="30">
        <f t="shared" si="159"/>
        <v>0</v>
      </c>
      <c r="R211" s="30">
        <f t="shared" si="159"/>
        <v>0</v>
      </c>
      <c r="S211" s="30">
        <f t="shared" si="159"/>
        <v>0</v>
      </c>
      <c r="T211" s="30">
        <f t="shared" si="159"/>
        <v>0</v>
      </c>
      <c r="U211" s="30">
        <f t="shared" si="159"/>
        <v>0</v>
      </c>
      <c r="V211" s="30">
        <f t="shared" si="159"/>
        <v>0</v>
      </c>
      <c r="W211" s="30">
        <f t="shared" si="159"/>
        <v>0</v>
      </c>
      <c r="X211" s="30">
        <f t="shared" si="159"/>
        <v>0</v>
      </c>
      <c r="Y211" s="29" t="s">
        <v>543</v>
      </c>
      <c r="Z211" s="31" t="s">
        <v>40</v>
      </c>
      <c r="AA211" s="32" t="s">
        <v>54</v>
      </c>
      <c r="AB211" s="32" t="s">
        <v>54</v>
      </c>
      <c r="AC211" s="33"/>
    </row>
    <row r="212" spans="1:29" ht="69.75" x14ac:dyDescent="0.25">
      <c r="A212" s="34" t="s">
        <v>599</v>
      </c>
      <c r="B212" s="35" t="s">
        <v>545</v>
      </c>
      <c r="C212" s="36"/>
      <c r="D212" s="36"/>
      <c r="E212" s="37">
        <v>0</v>
      </c>
      <c r="F212" s="37">
        <v>0</v>
      </c>
      <c r="G212" s="37">
        <v>0</v>
      </c>
      <c r="H212" s="37">
        <v>0</v>
      </c>
      <c r="I212" s="37">
        <v>0</v>
      </c>
      <c r="J212" s="37">
        <v>0</v>
      </c>
      <c r="K212" s="37">
        <v>0</v>
      </c>
      <c r="L212" s="37">
        <v>0</v>
      </c>
      <c r="M212" s="37">
        <v>0</v>
      </c>
      <c r="N212" s="37">
        <v>0</v>
      </c>
      <c r="O212" s="37">
        <v>0</v>
      </c>
      <c r="P212" s="37">
        <v>0</v>
      </c>
      <c r="Q212" s="37">
        <v>0</v>
      </c>
      <c r="R212" s="37">
        <v>0</v>
      </c>
      <c r="S212" s="37">
        <v>0</v>
      </c>
      <c r="T212" s="37">
        <v>0</v>
      </c>
      <c r="U212" s="37">
        <v>0</v>
      </c>
      <c r="V212" s="37">
        <v>0</v>
      </c>
      <c r="W212" s="37">
        <v>0</v>
      </c>
      <c r="X212" s="37">
        <v>0</v>
      </c>
      <c r="Y212" s="36"/>
      <c r="Z212" s="38"/>
      <c r="AA212" s="39"/>
      <c r="AB212" s="39"/>
      <c r="AC212" s="40"/>
    </row>
    <row r="213" spans="1:29" ht="93" x14ac:dyDescent="0.25">
      <c r="A213" s="27" t="s">
        <v>600</v>
      </c>
      <c r="B213" s="28" t="s">
        <v>601</v>
      </c>
      <c r="C213" s="29" t="s">
        <v>279</v>
      </c>
      <c r="D213" s="29" t="s">
        <v>290</v>
      </c>
      <c r="E213" s="30">
        <f t="shared" ref="E213:X213" si="160">SUM(E214:E214)</f>
        <v>0</v>
      </c>
      <c r="F213" s="30">
        <f t="shared" si="160"/>
        <v>0</v>
      </c>
      <c r="G213" s="30">
        <f t="shared" si="160"/>
        <v>0</v>
      </c>
      <c r="H213" s="30">
        <f t="shared" si="160"/>
        <v>0</v>
      </c>
      <c r="I213" s="30">
        <f t="shared" si="160"/>
        <v>0</v>
      </c>
      <c r="J213" s="30">
        <f t="shared" si="160"/>
        <v>0</v>
      </c>
      <c r="K213" s="30">
        <f t="shared" si="160"/>
        <v>0</v>
      </c>
      <c r="L213" s="30">
        <f t="shared" si="160"/>
        <v>0</v>
      </c>
      <c r="M213" s="30">
        <f t="shared" si="160"/>
        <v>0</v>
      </c>
      <c r="N213" s="30">
        <f t="shared" si="160"/>
        <v>0</v>
      </c>
      <c r="O213" s="30">
        <f t="shared" si="160"/>
        <v>0</v>
      </c>
      <c r="P213" s="30">
        <f t="shared" si="160"/>
        <v>0</v>
      </c>
      <c r="Q213" s="30">
        <f t="shared" si="160"/>
        <v>0</v>
      </c>
      <c r="R213" s="30">
        <f t="shared" si="160"/>
        <v>0</v>
      </c>
      <c r="S213" s="30">
        <f t="shared" si="160"/>
        <v>0</v>
      </c>
      <c r="T213" s="30">
        <f t="shared" si="160"/>
        <v>0</v>
      </c>
      <c r="U213" s="30">
        <f t="shared" si="160"/>
        <v>0</v>
      </c>
      <c r="V213" s="30">
        <f t="shared" si="160"/>
        <v>0</v>
      </c>
      <c r="W213" s="30">
        <f t="shared" si="160"/>
        <v>0</v>
      </c>
      <c r="X213" s="30">
        <f t="shared" si="160"/>
        <v>0</v>
      </c>
      <c r="Y213" s="29" t="s">
        <v>543</v>
      </c>
      <c r="Z213" s="31" t="s">
        <v>40</v>
      </c>
      <c r="AA213" s="32" t="s">
        <v>54</v>
      </c>
      <c r="AB213" s="32" t="s">
        <v>54</v>
      </c>
      <c r="AC213" s="33"/>
    </row>
    <row r="214" spans="1:29" ht="46.5" x14ac:dyDescent="0.25">
      <c r="A214" s="34" t="s">
        <v>602</v>
      </c>
      <c r="B214" s="35" t="s">
        <v>603</v>
      </c>
      <c r="C214" s="36"/>
      <c r="D214" s="36"/>
      <c r="E214" s="37">
        <v>0</v>
      </c>
      <c r="F214" s="37">
        <v>0</v>
      </c>
      <c r="G214" s="37">
        <v>0</v>
      </c>
      <c r="H214" s="37">
        <v>0</v>
      </c>
      <c r="I214" s="37">
        <v>0</v>
      </c>
      <c r="J214" s="37">
        <v>0</v>
      </c>
      <c r="K214" s="37">
        <v>0</v>
      </c>
      <c r="L214" s="37">
        <v>0</v>
      </c>
      <c r="M214" s="37">
        <v>0</v>
      </c>
      <c r="N214" s="37">
        <v>0</v>
      </c>
      <c r="O214" s="37">
        <v>0</v>
      </c>
      <c r="P214" s="37">
        <v>0</v>
      </c>
      <c r="Q214" s="37">
        <v>0</v>
      </c>
      <c r="R214" s="37">
        <v>0</v>
      </c>
      <c r="S214" s="37">
        <v>0</v>
      </c>
      <c r="T214" s="37">
        <v>0</v>
      </c>
      <c r="U214" s="37">
        <v>0</v>
      </c>
      <c r="V214" s="37">
        <v>0</v>
      </c>
      <c r="W214" s="37">
        <v>0</v>
      </c>
      <c r="X214" s="37">
        <v>0</v>
      </c>
      <c r="Y214" s="36"/>
      <c r="Z214" s="38"/>
      <c r="AA214" s="39"/>
      <c r="AB214" s="39"/>
      <c r="AC214" s="40"/>
    </row>
    <row r="215" spans="1:29" ht="45" x14ac:dyDescent="0.25">
      <c r="A215" s="20" t="s">
        <v>604</v>
      </c>
      <c r="B215" s="21" t="s">
        <v>605</v>
      </c>
      <c r="C215" s="22" t="s">
        <v>279</v>
      </c>
      <c r="D215" s="22" t="s">
        <v>282</v>
      </c>
      <c r="E215" s="23">
        <f t="shared" ref="E215:X215" si="161">SUM(E216:E216)</f>
        <v>534508.79</v>
      </c>
      <c r="F215" s="23">
        <f t="shared" si="161"/>
        <v>0</v>
      </c>
      <c r="G215" s="23">
        <f t="shared" si="161"/>
        <v>0</v>
      </c>
      <c r="H215" s="23">
        <f t="shared" si="161"/>
        <v>0</v>
      </c>
      <c r="I215" s="23">
        <f t="shared" si="161"/>
        <v>0</v>
      </c>
      <c r="J215" s="23">
        <f t="shared" si="161"/>
        <v>0</v>
      </c>
      <c r="K215" s="23">
        <f t="shared" si="161"/>
        <v>534508.79</v>
      </c>
      <c r="L215" s="23">
        <f t="shared" si="161"/>
        <v>0</v>
      </c>
      <c r="M215" s="23">
        <f t="shared" si="161"/>
        <v>0</v>
      </c>
      <c r="N215" s="23">
        <f t="shared" si="161"/>
        <v>0</v>
      </c>
      <c r="O215" s="23">
        <f t="shared" si="161"/>
        <v>504641.14</v>
      </c>
      <c r="P215" s="23">
        <f t="shared" si="161"/>
        <v>0</v>
      </c>
      <c r="Q215" s="23">
        <f t="shared" si="161"/>
        <v>0</v>
      </c>
      <c r="R215" s="23">
        <f t="shared" si="161"/>
        <v>0</v>
      </c>
      <c r="S215" s="23">
        <f t="shared" si="161"/>
        <v>0</v>
      </c>
      <c r="T215" s="23">
        <f t="shared" si="161"/>
        <v>0</v>
      </c>
      <c r="U215" s="23">
        <f t="shared" si="161"/>
        <v>0</v>
      </c>
      <c r="V215" s="23">
        <f t="shared" si="161"/>
        <v>0</v>
      </c>
      <c r="W215" s="23">
        <f t="shared" si="161"/>
        <v>0</v>
      </c>
      <c r="X215" s="23">
        <f t="shared" si="161"/>
        <v>0</v>
      </c>
      <c r="Y215" s="22" t="s">
        <v>250</v>
      </c>
      <c r="Z215" s="24" t="s">
        <v>34</v>
      </c>
      <c r="AA215" s="25" t="s">
        <v>35</v>
      </c>
      <c r="AB215" s="25" t="s">
        <v>35</v>
      </c>
      <c r="AC215" s="26"/>
    </row>
    <row r="216" spans="1:29" ht="69.75" x14ac:dyDescent="0.25">
      <c r="A216" s="27" t="s">
        <v>606</v>
      </c>
      <c r="B216" s="28" t="s">
        <v>607</v>
      </c>
      <c r="C216" s="29" t="s">
        <v>279</v>
      </c>
      <c r="D216" s="29" t="s">
        <v>290</v>
      </c>
      <c r="E216" s="30">
        <f>SUM(E217:E218)+534508.79</f>
        <v>534508.79</v>
      </c>
      <c r="F216" s="30">
        <f>SUM(F217:F218)</f>
        <v>0</v>
      </c>
      <c r="G216" s="30">
        <f>SUM(G217:G218)</f>
        <v>0</v>
      </c>
      <c r="H216" s="30">
        <f>SUM(H217:H218)</f>
        <v>0</v>
      </c>
      <c r="I216" s="30">
        <f>SUM(I217:I218)</f>
        <v>0</v>
      </c>
      <c r="J216" s="30">
        <f>SUM(J217:J218)</f>
        <v>0</v>
      </c>
      <c r="K216" s="30">
        <f>SUM(K217:K218)+534508.79</f>
        <v>534508.79</v>
      </c>
      <c r="L216" s="30">
        <f>SUM(L217:L218)</f>
        <v>0</v>
      </c>
      <c r="M216" s="30">
        <f>SUM(M217:M218)</f>
        <v>0</v>
      </c>
      <c r="N216" s="30">
        <f>SUM(N217:N218)</f>
        <v>0</v>
      </c>
      <c r="O216" s="30">
        <f>SUM(O217:O218)+504641.14</f>
        <v>504641.14</v>
      </c>
      <c r="P216" s="30">
        <f t="shared" ref="P216:X216" si="162">SUM(P217:P218)</f>
        <v>0</v>
      </c>
      <c r="Q216" s="30">
        <f t="shared" si="162"/>
        <v>0</v>
      </c>
      <c r="R216" s="30">
        <f t="shared" si="162"/>
        <v>0</v>
      </c>
      <c r="S216" s="30">
        <f t="shared" si="162"/>
        <v>0</v>
      </c>
      <c r="T216" s="30">
        <f t="shared" si="162"/>
        <v>0</v>
      </c>
      <c r="U216" s="30">
        <f t="shared" si="162"/>
        <v>0</v>
      </c>
      <c r="V216" s="30">
        <f t="shared" si="162"/>
        <v>0</v>
      </c>
      <c r="W216" s="30">
        <f t="shared" si="162"/>
        <v>0</v>
      </c>
      <c r="X216" s="30">
        <f t="shared" si="162"/>
        <v>0</v>
      </c>
      <c r="Y216" s="29" t="s">
        <v>608</v>
      </c>
      <c r="Z216" s="31" t="s">
        <v>40</v>
      </c>
      <c r="AA216" s="32" t="s">
        <v>267</v>
      </c>
      <c r="AB216" s="32" t="s">
        <v>267</v>
      </c>
      <c r="AC216" s="33"/>
    </row>
    <row r="217" spans="1:29" ht="46.5" x14ac:dyDescent="0.25">
      <c r="A217" s="34" t="s">
        <v>609</v>
      </c>
      <c r="B217" s="35" t="s">
        <v>610</v>
      </c>
      <c r="C217" s="36"/>
      <c r="D217" s="36"/>
      <c r="E217" s="37">
        <v>0</v>
      </c>
      <c r="F217" s="37">
        <v>0</v>
      </c>
      <c r="G217" s="37">
        <v>0</v>
      </c>
      <c r="H217" s="37">
        <v>0</v>
      </c>
      <c r="I217" s="37">
        <v>0</v>
      </c>
      <c r="J217" s="37">
        <v>0</v>
      </c>
      <c r="K217" s="37">
        <v>0</v>
      </c>
      <c r="L217" s="37">
        <v>0</v>
      </c>
      <c r="M217" s="37">
        <v>0</v>
      </c>
      <c r="N217" s="37">
        <v>0</v>
      </c>
      <c r="O217" s="37">
        <v>0</v>
      </c>
      <c r="P217" s="37">
        <v>0</v>
      </c>
      <c r="Q217" s="37">
        <v>0</v>
      </c>
      <c r="R217" s="37">
        <v>0</v>
      </c>
      <c r="S217" s="37">
        <v>0</v>
      </c>
      <c r="T217" s="37">
        <v>0</v>
      </c>
      <c r="U217" s="37">
        <v>0</v>
      </c>
      <c r="V217" s="37">
        <v>0</v>
      </c>
      <c r="W217" s="37">
        <v>0</v>
      </c>
      <c r="X217" s="37">
        <v>0</v>
      </c>
      <c r="Y217" s="36"/>
      <c r="Z217" s="38"/>
      <c r="AA217" s="39"/>
      <c r="AB217" s="39"/>
      <c r="AC217" s="40"/>
    </row>
    <row r="218" spans="1:29" ht="69.75" x14ac:dyDescent="0.25">
      <c r="A218" s="34" t="s">
        <v>611</v>
      </c>
      <c r="B218" s="35" t="s">
        <v>612</v>
      </c>
      <c r="C218" s="36"/>
      <c r="D218" s="36"/>
      <c r="E218" s="37">
        <v>0</v>
      </c>
      <c r="F218" s="37">
        <v>0</v>
      </c>
      <c r="G218" s="37">
        <v>0</v>
      </c>
      <c r="H218" s="37">
        <v>0</v>
      </c>
      <c r="I218" s="37">
        <v>0</v>
      </c>
      <c r="J218" s="37">
        <v>0</v>
      </c>
      <c r="K218" s="37">
        <v>0</v>
      </c>
      <c r="L218" s="37">
        <v>0</v>
      </c>
      <c r="M218" s="37">
        <v>0</v>
      </c>
      <c r="N218" s="37">
        <v>0</v>
      </c>
      <c r="O218" s="37">
        <v>0</v>
      </c>
      <c r="P218" s="37">
        <v>0</v>
      </c>
      <c r="Q218" s="37">
        <v>0</v>
      </c>
      <c r="R218" s="37">
        <v>0</v>
      </c>
      <c r="S218" s="37">
        <v>0</v>
      </c>
      <c r="T218" s="37">
        <v>0</v>
      </c>
      <c r="U218" s="37">
        <v>0</v>
      </c>
      <c r="V218" s="37">
        <v>0</v>
      </c>
      <c r="W218" s="37">
        <v>0</v>
      </c>
      <c r="X218" s="37">
        <v>0</v>
      </c>
      <c r="Y218" s="36"/>
      <c r="Z218" s="38"/>
      <c r="AA218" s="39"/>
      <c r="AB218" s="39"/>
      <c r="AC218" s="40"/>
    </row>
    <row r="219" spans="1:29" ht="67.5" x14ac:dyDescent="0.25">
      <c r="A219" s="13" t="s">
        <v>613</v>
      </c>
      <c r="B219" s="14" t="s">
        <v>614</v>
      </c>
      <c r="C219" s="15" t="s">
        <v>279</v>
      </c>
      <c r="D219" s="15" t="s">
        <v>282</v>
      </c>
      <c r="E219" s="16">
        <f t="shared" ref="E219:X219" si="163">SUM(E220:E220)</f>
        <v>37510</v>
      </c>
      <c r="F219" s="16">
        <f t="shared" si="163"/>
        <v>37510</v>
      </c>
      <c r="G219" s="16">
        <f t="shared" si="163"/>
        <v>0</v>
      </c>
      <c r="H219" s="16">
        <f t="shared" si="163"/>
        <v>0</v>
      </c>
      <c r="I219" s="16">
        <f t="shared" si="163"/>
        <v>0</v>
      </c>
      <c r="J219" s="16">
        <f t="shared" si="163"/>
        <v>0</v>
      </c>
      <c r="K219" s="16">
        <f t="shared" si="163"/>
        <v>0</v>
      </c>
      <c r="L219" s="16">
        <f t="shared" si="163"/>
        <v>0</v>
      </c>
      <c r="M219" s="16">
        <f t="shared" si="163"/>
        <v>0</v>
      </c>
      <c r="N219" s="16">
        <f t="shared" si="163"/>
        <v>0</v>
      </c>
      <c r="O219" s="16">
        <f t="shared" si="163"/>
        <v>37510</v>
      </c>
      <c r="P219" s="16">
        <f t="shared" si="163"/>
        <v>37510</v>
      </c>
      <c r="Q219" s="16">
        <f t="shared" si="163"/>
        <v>0</v>
      </c>
      <c r="R219" s="16">
        <f t="shared" si="163"/>
        <v>0</v>
      </c>
      <c r="S219" s="16">
        <f t="shared" si="163"/>
        <v>0</v>
      </c>
      <c r="T219" s="16">
        <f t="shared" si="163"/>
        <v>0</v>
      </c>
      <c r="U219" s="16">
        <f t="shared" si="163"/>
        <v>0</v>
      </c>
      <c r="V219" s="16">
        <f t="shared" si="163"/>
        <v>0</v>
      </c>
      <c r="W219" s="16">
        <f t="shared" si="163"/>
        <v>0</v>
      </c>
      <c r="X219" s="16">
        <f t="shared" si="163"/>
        <v>0</v>
      </c>
      <c r="Y219" s="15" t="s">
        <v>615</v>
      </c>
      <c r="Z219" s="17" t="s">
        <v>34</v>
      </c>
      <c r="AA219" s="18" t="s">
        <v>67</v>
      </c>
      <c r="AB219" s="18" t="s">
        <v>67</v>
      </c>
      <c r="AC219" s="19"/>
    </row>
    <row r="220" spans="1:29" ht="90" x14ac:dyDescent="0.25">
      <c r="A220" s="20" t="s">
        <v>616</v>
      </c>
      <c r="B220" s="21" t="s">
        <v>617</v>
      </c>
      <c r="C220" s="22" t="s">
        <v>279</v>
      </c>
      <c r="D220" s="22" t="s">
        <v>282</v>
      </c>
      <c r="E220" s="23">
        <f t="shared" ref="E220:X220" si="164">E221+E223+E225+E227</f>
        <v>37510</v>
      </c>
      <c r="F220" s="23">
        <f t="shared" si="164"/>
        <v>37510</v>
      </c>
      <c r="G220" s="23">
        <f t="shared" si="164"/>
        <v>0</v>
      </c>
      <c r="H220" s="23">
        <f t="shared" si="164"/>
        <v>0</v>
      </c>
      <c r="I220" s="23">
        <f t="shared" si="164"/>
        <v>0</v>
      </c>
      <c r="J220" s="23">
        <f t="shared" si="164"/>
        <v>0</v>
      </c>
      <c r="K220" s="23">
        <f t="shared" si="164"/>
        <v>0</v>
      </c>
      <c r="L220" s="23">
        <f t="shared" si="164"/>
        <v>0</v>
      </c>
      <c r="M220" s="23">
        <f t="shared" si="164"/>
        <v>0</v>
      </c>
      <c r="N220" s="23">
        <f t="shared" si="164"/>
        <v>0</v>
      </c>
      <c r="O220" s="23">
        <f t="shared" si="164"/>
        <v>37510</v>
      </c>
      <c r="P220" s="23">
        <f t="shared" si="164"/>
        <v>37510</v>
      </c>
      <c r="Q220" s="23">
        <f t="shared" si="164"/>
        <v>0</v>
      </c>
      <c r="R220" s="23">
        <f t="shared" si="164"/>
        <v>0</v>
      </c>
      <c r="S220" s="23">
        <f t="shared" si="164"/>
        <v>0</v>
      </c>
      <c r="T220" s="23">
        <f t="shared" si="164"/>
        <v>0</v>
      </c>
      <c r="U220" s="23">
        <f t="shared" si="164"/>
        <v>0</v>
      </c>
      <c r="V220" s="23">
        <f t="shared" si="164"/>
        <v>0</v>
      </c>
      <c r="W220" s="23">
        <f t="shared" si="164"/>
        <v>0</v>
      </c>
      <c r="X220" s="23">
        <f t="shared" si="164"/>
        <v>0</v>
      </c>
      <c r="Y220" s="22" t="s">
        <v>618</v>
      </c>
      <c r="Z220" s="24" t="s">
        <v>34</v>
      </c>
      <c r="AA220" s="25" t="s">
        <v>47</v>
      </c>
      <c r="AB220" s="25" t="s">
        <v>47</v>
      </c>
      <c r="AC220" s="26"/>
    </row>
    <row r="221" spans="1:29" ht="116.25" x14ac:dyDescent="0.25">
      <c r="A221" s="27" t="s">
        <v>619</v>
      </c>
      <c r="B221" s="28" t="s">
        <v>620</v>
      </c>
      <c r="C221" s="29" t="s">
        <v>279</v>
      </c>
      <c r="D221" s="29" t="s">
        <v>290</v>
      </c>
      <c r="E221" s="30">
        <f t="shared" ref="E221:X221" si="165">SUM(E222:E222)</f>
        <v>0</v>
      </c>
      <c r="F221" s="30">
        <f t="shared" si="165"/>
        <v>0</v>
      </c>
      <c r="G221" s="30">
        <f t="shared" si="165"/>
        <v>0</v>
      </c>
      <c r="H221" s="30">
        <f t="shared" si="165"/>
        <v>0</v>
      </c>
      <c r="I221" s="30">
        <f t="shared" si="165"/>
        <v>0</v>
      </c>
      <c r="J221" s="30">
        <f t="shared" si="165"/>
        <v>0</v>
      </c>
      <c r="K221" s="30">
        <f t="shared" si="165"/>
        <v>0</v>
      </c>
      <c r="L221" s="30">
        <f t="shared" si="165"/>
        <v>0</v>
      </c>
      <c r="M221" s="30">
        <f t="shared" si="165"/>
        <v>0</v>
      </c>
      <c r="N221" s="30">
        <f t="shared" si="165"/>
        <v>0</v>
      </c>
      <c r="O221" s="30">
        <f t="shared" si="165"/>
        <v>0</v>
      </c>
      <c r="P221" s="30">
        <f t="shared" si="165"/>
        <v>0</v>
      </c>
      <c r="Q221" s="30">
        <f t="shared" si="165"/>
        <v>0</v>
      </c>
      <c r="R221" s="30">
        <f t="shared" si="165"/>
        <v>0</v>
      </c>
      <c r="S221" s="30">
        <f t="shared" si="165"/>
        <v>0</v>
      </c>
      <c r="T221" s="30">
        <f t="shared" si="165"/>
        <v>0</v>
      </c>
      <c r="U221" s="30">
        <f t="shared" si="165"/>
        <v>0</v>
      </c>
      <c r="V221" s="30">
        <f t="shared" si="165"/>
        <v>0</v>
      </c>
      <c r="W221" s="30">
        <f t="shared" si="165"/>
        <v>0</v>
      </c>
      <c r="X221" s="30">
        <f t="shared" si="165"/>
        <v>0</v>
      </c>
      <c r="Y221" s="29" t="s">
        <v>327</v>
      </c>
      <c r="Z221" s="31" t="s">
        <v>40</v>
      </c>
      <c r="AA221" s="32" t="s">
        <v>54</v>
      </c>
      <c r="AB221" s="32" t="s">
        <v>47</v>
      </c>
      <c r="AC221" s="33" t="s">
        <v>621</v>
      </c>
    </row>
    <row r="222" spans="1:29" ht="46.5" x14ac:dyDescent="0.25">
      <c r="A222" s="34" t="s">
        <v>622</v>
      </c>
      <c r="B222" s="35" t="s">
        <v>482</v>
      </c>
      <c r="C222" s="36"/>
      <c r="D222" s="36"/>
      <c r="E222" s="37">
        <v>0</v>
      </c>
      <c r="F222" s="37">
        <v>0</v>
      </c>
      <c r="G222" s="37">
        <v>0</v>
      </c>
      <c r="H222" s="37">
        <v>0</v>
      </c>
      <c r="I222" s="37">
        <v>0</v>
      </c>
      <c r="J222" s="37">
        <v>0</v>
      </c>
      <c r="K222" s="37">
        <v>0</v>
      </c>
      <c r="L222" s="37">
        <v>0</v>
      </c>
      <c r="M222" s="37">
        <v>0</v>
      </c>
      <c r="N222" s="37">
        <v>0</v>
      </c>
      <c r="O222" s="37">
        <v>0</v>
      </c>
      <c r="P222" s="37">
        <v>0</v>
      </c>
      <c r="Q222" s="37">
        <v>0</v>
      </c>
      <c r="R222" s="37">
        <v>0</v>
      </c>
      <c r="S222" s="37">
        <v>0</v>
      </c>
      <c r="T222" s="37">
        <v>0</v>
      </c>
      <c r="U222" s="37">
        <v>0</v>
      </c>
      <c r="V222" s="37">
        <v>0</v>
      </c>
      <c r="W222" s="37">
        <v>0</v>
      </c>
      <c r="X222" s="37">
        <v>0</v>
      </c>
      <c r="Y222" s="36"/>
      <c r="Z222" s="38"/>
      <c r="AA222" s="39"/>
      <c r="AB222" s="39"/>
      <c r="AC222" s="40"/>
    </row>
    <row r="223" spans="1:29" ht="69.75" x14ac:dyDescent="0.25">
      <c r="A223" s="27" t="s">
        <v>623</v>
      </c>
      <c r="B223" s="28" t="s">
        <v>624</v>
      </c>
      <c r="C223" s="29" t="s">
        <v>279</v>
      </c>
      <c r="D223" s="29" t="s">
        <v>290</v>
      </c>
      <c r="E223" s="30">
        <f t="shared" ref="E223:X223" si="166">SUM(E224:E224)</f>
        <v>0</v>
      </c>
      <c r="F223" s="30">
        <f t="shared" si="166"/>
        <v>0</v>
      </c>
      <c r="G223" s="30">
        <f t="shared" si="166"/>
        <v>0</v>
      </c>
      <c r="H223" s="30">
        <f t="shared" si="166"/>
        <v>0</v>
      </c>
      <c r="I223" s="30">
        <f t="shared" si="166"/>
        <v>0</v>
      </c>
      <c r="J223" s="30">
        <f t="shared" si="166"/>
        <v>0</v>
      </c>
      <c r="K223" s="30">
        <f t="shared" si="166"/>
        <v>0</v>
      </c>
      <c r="L223" s="30">
        <f t="shared" si="166"/>
        <v>0</v>
      </c>
      <c r="M223" s="30">
        <f t="shared" si="166"/>
        <v>0</v>
      </c>
      <c r="N223" s="30">
        <f t="shared" si="166"/>
        <v>0</v>
      </c>
      <c r="O223" s="30">
        <f t="shared" si="166"/>
        <v>0</v>
      </c>
      <c r="P223" s="30">
        <f t="shared" si="166"/>
        <v>0</v>
      </c>
      <c r="Q223" s="30">
        <f t="shared" si="166"/>
        <v>0</v>
      </c>
      <c r="R223" s="30">
        <f t="shared" si="166"/>
        <v>0</v>
      </c>
      <c r="S223" s="30">
        <f t="shared" si="166"/>
        <v>0</v>
      </c>
      <c r="T223" s="30">
        <f t="shared" si="166"/>
        <v>0</v>
      </c>
      <c r="U223" s="30">
        <f t="shared" si="166"/>
        <v>0</v>
      </c>
      <c r="V223" s="30">
        <f t="shared" si="166"/>
        <v>0</v>
      </c>
      <c r="W223" s="30">
        <f t="shared" si="166"/>
        <v>0</v>
      </c>
      <c r="X223" s="30">
        <f t="shared" si="166"/>
        <v>0</v>
      </c>
      <c r="Y223" s="29" t="s">
        <v>327</v>
      </c>
      <c r="Z223" s="31" t="s">
        <v>40</v>
      </c>
      <c r="AA223" s="32" t="s">
        <v>54</v>
      </c>
      <c r="AB223" s="32" t="s">
        <v>47</v>
      </c>
      <c r="AC223" s="33" t="s">
        <v>625</v>
      </c>
    </row>
    <row r="224" spans="1:29" ht="46.5" x14ac:dyDescent="0.25">
      <c r="A224" s="34" t="s">
        <v>626</v>
      </c>
      <c r="B224" s="35" t="s">
        <v>482</v>
      </c>
      <c r="C224" s="36"/>
      <c r="D224" s="36"/>
      <c r="E224" s="37">
        <v>0</v>
      </c>
      <c r="F224" s="37">
        <v>0</v>
      </c>
      <c r="G224" s="37">
        <v>0</v>
      </c>
      <c r="H224" s="37">
        <v>0</v>
      </c>
      <c r="I224" s="37">
        <v>0</v>
      </c>
      <c r="J224" s="37">
        <v>0</v>
      </c>
      <c r="K224" s="37">
        <v>0</v>
      </c>
      <c r="L224" s="37">
        <v>0</v>
      </c>
      <c r="M224" s="37">
        <v>0</v>
      </c>
      <c r="N224" s="37">
        <v>0</v>
      </c>
      <c r="O224" s="37">
        <v>0</v>
      </c>
      <c r="P224" s="37">
        <v>0</v>
      </c>
      <c r="Q224" s="37">
        <v>0</v>
      </c>
      <c r="R224" s="37">
        <v>0</v>
      </c>
      <c r="S224" s="37">
        <v>0</v>
      </c>
      <c r="T224" s="37">
        <v>0</v>
      </c>
      <c r="U224" s="37">
        <v>0</v>
      </c>
      <c r="V224" s="37">
        <v>0</v>
      </c>
      <c r="W224" s="37">
        <v>0</v>
      </c>
      <c r="X224" s="37">
        <v>0</v>
      </c>
      <c r="Y224" s="36"/>
      <c r="Z224" s="38"/>
      <c r="AA224" s="39"/>
      <c r="AB224" s="39"/>
      <c r="AC224" s="40"/>
    </row>
    <row r="225" spans="1:29" ht="46.5" x14ac:dyDescent="0.25">
      <c r="A225" s="27" t="s">
        <v>627</v>
      </c>
      <c r="B225" s="28" t="s">
        <v>628</v>
      </c>
      <c r="C225" s="29" t="s">
        <v>279</v>
      </c>
      <c r="D225" s="29" t="s">
        <v>290</v>
      </c>
      <c r="E225" s="30">
        <f>SUM(E226:E226)+37510</f>
        <v>37510</v>
      </c>
      <c r="F225" s="30">
        <f>SUM(F226:F226)+37510</f>
        <v>37510</v>
      </c>
      <c r="G225" s="30">
        <f t="shared" ref="G225:N225" si="167">SUM(G226:G226)</f>
        <v>0</v>
      </c>
      <c r="H225" s="30">
        <f t="shared" si="167"/>
        <v>0</v>
      </c>
      <c r="I225" s="30">
        <f t="shared" si="167"/>
        <v>0</v>
      </c>
      <c r="J225" s="30">
        <f t="shared" si="167"/>
        <v>0</v>
      </c>
      <c r="K225" s="30">
        <f t="shared" si="167"/>
        <v>0</v>
      </c>
      <c r="L225" s="30">
        <f t="shared" si="167"/>
        <v>0</v>
      </c>
      <c r="M225" s="30">
        <f t="shared" si="167"/>
        <v>0</v>
      </c>
      <c r="N225" s="30">
        <f t="shared" si="167"/>
        <v>0</v>
      </c>
      <c r="O225" s="30">
        <f>SUM(O226:O226)+37510</f>
        <v>37510</v>
      </c>
      <c r="P225" s="30">
        <f>SUM(P226:P226)+37510</f>
        <v>37510</v>
      </c>
      <c r="Q225" s="30">
        <f t="shared" ref="Q225:X225" si="168">SUM(Q226:Q226)</f>
        <v>0</v>
      </c>
      <c r="R225" s="30">
        <f t="shared" si="168"/>
        <v>0</v>
      </c>
      <c r="S225" s="30">
        <f t="shared" si="168"/>
        <v>0</v>
      </c>
      <c r="T225" s="30">
        <f t="shared" si="168"/>
        <v>0</v>
      </c>
      <c r="U225" s="30">
        <f t="shared" si="168"/>
        <v>0</v>
      </c>
      <c r="V225" s="30">
        <f t="shared" si="168"/>
        <v>0</v>
      </c>
      <c r="W225" s="30">
        <f t="shared" si="168"/>
        <v>0</v>
      </c>
      <c r="X225" s="30">
        <f t="shared" si="168"/>
        <v>0</v>
      </c>
      <c r="Y225" s="29" t="s">
        <v>327</v>
      </c>
      <c r="Z225" s="31" t="s">
        <v>40</v>
      </c>
      <c r="AA225" s="32" t="s">
        <v>54</v>
      </c>
      <c r="AB225" s="32" t="s">
        <v>47</v>
      </c>
      <c r="AC225" s="33" t="s">
        <v>629</v>
      </c>
    </row>
    <row r="226" spans="1:29" ht="46.5" x14ac:dyDescent="0.25">
      <c r="A226" s="34" t="s">
        <v>630</v>
      </c>
      <c r="B226" s="35" t="s">
        <v>482</v>
      </c>
      <c r="C226" s="36"/>
      <c r="D226" s="36"/>
      <c r="E226" s="37">
        <v>0</v>
      </c>
      <c r="F226" s="37">
        <v>0</v>
      </c>
      <c r="G226" s="37">
        <v>0</v>
      </c>
      <c r="H226" s="37">
        <v>0</v>
      </c>
      <c r="I226" s="37">
        <v>0</v>
      </c>
      <c r="J226" s="37">
        <v>0</v>
      </c>
      <c r="K226" s="37">
        <v>0</v>
      </c>
      <c r="L226" s="37">
        <v>0</v>
      </c>
      <c r="M226" s="37">
        <v>0</v>
      </c>
      <c r="N226" s="37">
        <v>0</v>
      </c>
      <c r="O226" s="37">
        <v>0</v>
      </c>
      <c r="P226" s="37">
        <v>0</v>
      </c>
      <c r="Q226" s="37">
        <v>0</v>
      </c>
      <c r="R226" s="37">
        <v>0</v>
      </c>
      <c r="S226" s="37">
        <v>0</v>
      </c>
      <c r="T226" s="37">
        <v>0</v>
      </c>
      <c r="U226" s="37">
        <v>0</v>
      </c>
      <c r="V226" s="37">
        <v>0</v>
      </c>
      <c r="W226" s="37">
        <v>0</v>
      </c>
      <c r="X226" s="37">
        <v>0</v>
      </c>
      <c r="Y226" s="36"/>
      <c r="Z226" s="38"/>
      <c r="AA226" s="39"/>
      <c r="AB226" s="39"/>
      <c r="AC226" s="40"/>
    </row>
    <row r="227" spans="1:29" ht="69.75" x14ac:dyDescent="0.25">
      <c r="A227" s="27" t="s">
        <v>631</v>
      </c>
      <c r="B227" s="28" t="s">
        <v>632</v>
      </c>
      <c r="C227" s="29" t="s">
        <v>279</v>
      </c>
      <c r="D227" s="29" t="s">
        <v>290</v>
      </c>
      <c r="E227" s="30">
        <f t="shared" ref="E227:X227" si="169">SUM(E228:E228)</f>
        <v>0</v>
      </c>
      <c r="F227" s="30">
        <f t="shared" si="169"/>
        <v>0</v>
      </c>
      <c r="G227" s="30">
        <f t="shared" si="169"/>
        <v>0</v>
      </c>
      <c r="H227" s="30">
        <f t="shared" si="169"/>
        <v>0</v>
      </c>
      <c r="I227" s="30">
        <f t="shared" si="169"/>
        <v>0</v>
      </c>
      <c r="J227" s="30">
        <f t="shared" si="169"/>
        <v>0</v>
      </c>
      <c r="K227" s="30">
        <f t="shared" si="169"/>
        <v>0</v>
      </c>
      <c r="L227" s="30">
        <f t="shared" si="169"/>
        <v>0</v>
      </c>
      <c r="M227" s="30">
        <f t="shared" si="169"/>
        <v>0</v>
      </c>
      <c r="N227" s="30">
        <f t="shared" si="169"/>
        <v>0</v>
      </c>
      <c r="O227" s="30">
        <f t="shared" si="169"/>
        <v>0</v>
      </c>
      <c r="P227" s="30">
        <f t="shared" si="169"/>
        <v>0</v>
      </c>
      <c r="Q227" s="30">
        <f t="shared" si="169"/>
        <v>0</v>
      </c>
      <c r="R227" s="30">
        <f t="shared" si="169"/>
        <v>0</v>
      </c>
      <c r="S227" s="30">
        <f t="shared" si="169"/>
        <v>0</v>
      </c>
      <c r="T227" s="30">
        <f t="shared" si="169"/>
        <v>0</v>
      </c>
      <c r="U227" s="30">
        <f t="shared" si="169"/>
        <v>0</v>
      </c>
      <c r="V227" s="30">
        <f t="shared" si="169"/>
        <v>0</v>
      </c>
      <c r="W227" s="30">
        <f t="shared" si="169"/>
        <v>0</v>
      </c>
      <c r="X227" s="30">
        <f t="shared" si="169"/>
        <v>0</v>
      </c>
      <c r="Y227" s="29" t="s">
        <v>327</v>
      </c>
      <c r="Z227" s="31" t="s">
        <v>40</v>
      </c>
      <c r="AA227" s="32" t="s">
        <v>54</v>
      </c>
      <c r="AB227" s="32" t="s">
        <v>47</v>
      </c>
      <c r="AC227" s="33" t="s">
        <v>629</v>
      </c>
    </row>
    <row r="228" spans="1:29" ht="46.5" x14ac:dyDescent="0.25">
      <c r="A228" s="34" t="s">
        <v>633</v>
      </c>
      <c r="B228" s="35" t="s">
        <v>482</v>
      </c>
      <c r="C228" s="36"/>
      <c r="D228" s="36"/>
      <c r="E228" s="37">
        <v>0</v>
      </c>
      <c r="F228" s="37">
        <v>0</v>
      </c>
      <c r="G228" s="37">
        <v>0</v>
      </c>
      <c r="H228" s="37">
        <v>0</v>
      </c>
      <c r="I228" s="37">
        <v>0</v>
      </c>
      <c r="J228" s="37">
        <v>0</v>
      </c>
      <c r="K228" s="37">
        <v>0</v>
      </c>
      <c r="L228" s="37">
        <v>0</v>
      </c>
      <c r="M228" s="37">
        <v>0</v>
      </c>
      <c r="N228" s="37">
        <v>0</v>
      </c>
      <c r="O228" s="37">
        <v>0</v>
      </c>
      <c r="P228" s="37">
        <v>0</v>
      </c>
      <c r="Q228" s="37">
        <v>0</v>
      </c>
      <c r="R228" s="37">
        <v>0</v>
      </c>
      <c r="S228" s="37">
        <v>0</v>
      </c>
      <c r="T228" s="37">
        <v>0</v>
      </c>
      <c r="U228" s="37">
        <v>0</v>
      </c>
      <c r="V228" s="37">
        <v>0</v>
      </c>
      <c r="W228" s="37">
        <v>0</v>
      </c>
      <c r="X228" s="37">
        <v>0</v>
      </c>
      <c r="Y228" s="36"/>
      <c r="Z228" s="38"/>
      <c r="AA228" s="39"/>
      <c r="AB228" s="39"/>
      <c r="AC228" s="40"/>
    </row>
    <row r="229" spans="1:29" ht="135" x14ac:dyDescent="0.25">
      <c r="A229" s="13" t="s">
        <v>634</v>
      </c>
      <c r="B229" s="14" t="s">
        <v>635</v>
      </c>
      <c r="C229" s="15" t="s">
        <v>279</v>
      </c>
      <c r="D229" s="15" t="s">
        <v>282</v>
      </c>
      <c r="E229" s="16">
        <f t="shared" ref="E229:X229" si="170">E230+E235</f>
        <v>11979</v>
      </c>
      <c r="F229" s="16">
        <f t="shared" si="170"/>
        <v>11979</v>
      </c>
      <c r="G229" s="16">
        <f t="shared" si="170"/>
        <v>0</v>
      </c>
      <c r="H229" s="16">
        <f t="shared" si="170"/>
        <v>0</v>
      </c>
      <c r="I229" s="16">
        <f t="shared" si="170"/>
        <v>0</v>
      </c>
      <c r="J229" s="16">
        <f t="shared" si="170"/>
        <v>0</v>
      </c>
      <c r="K229" s="16">
        <f t="shared" si="170"/>
        <v>0</v>
      </c>
      <c r="L229" s="16">
        <f t="shared" si="170"/>
        <v>0</v>
      </c>
      <c r="M229" s="16">
        <f t="shared" si="170"/>
        <v>0</v>
      </c>
      <c r="N229" s="16">
        <f t="shared" si="170"/>
        <v>0</v>
      </c>
      <c r="O229" s="16">
        <f t="shared" si="170"/>
        <v>11979</v>
      </c>
      <c r="P229" s="16">
        <f t="shared" si="170"/>
        <v>11979</v>
      </c>
      <c r="Q229" s="16">
        <f t="shared" si="170"/>
        <v>0</v>
      </c>
      <c r="R229" s="16">
        <f t="shared" si="170"/>
        <v>0</v>
      </c>
      <c r="S229" s="16">
        <f t="shared" si="170"/>
        <v>0</v>
      </c>
      <c r="T229" s="16">
        <f t="shared" si="170"/>
        <v>0</v>
      </c>
      <c r="U229" s="16">
        <f t="shared" si="170"/>
        <v>0</v>
      </c>
      <c r="V229" s="16">
        <f t="shared" si="170"/>
        <v>0</v>
      </c>
      <c r="W229" s="16">
        <f t="shared" si="170"/>
        <v>0</v>
      </c>
      <c r="X229" s="16">
        <f t="shared" si="170"/>
        <v>0</v>
      </c>
      <c r="Y229" s="15" t="s">
        <v>636</v>
      </c>
      <c r="Z229" s="17" t="s">
        <v>34</v>
      </c>
      <c r="AA229" s="18" t="s">
        <v>67</v>
      </c>
      <c r="AB229" s="18" t="s">
        <v>67</v>
      </c>
      <c r="AC229" s="19"/>
    </row>
    <row r="230" spans="1:29" ht="112.5" x14ac:dyDescent="0.25">
      <c r="A230" s="20" t="s">
        <v>637</v>
      </c>
      <c r="B230" s="21" t="s">
        <v>638</v>
      </c>
      <c r="C230" s="22" t="s">
        <v>279</v>
      </c>
      <c r="D230" s="22" t="s">
        <v>282</v>
      </c>
      <c r="E230" s="23">
        <f t="shared" ref="E230:X230" si="171">SUM(E231:E231)</f>
        <v>0</v>
      </c>
      <c r="F230" s="23">
        <f t="shared" si="171"/>
        <v>0</v>
      </c>
      <c r="G230" s="23">
        <f t="shared" si="171"/>
        <v>0</v>
      </c>
      <c r="H230" s="23">
        <f t="shared" si="171"/>
        <v>0</v>
      </c>
      <c r="I230" s="23">
        <f t="shared" si="171"/>
        <v>0</v>
      </c>
      <c r="J230" s="23">
        <f t="shared" si="171"/>
        <v>0</v>
      </c>
      <c r="K230" s="23">
        <f t="shared" si="171"/>
        <v>0</v>
      </c>
      <c r="L230" s="23">
        <f t="shared" si="171"/>
        <v>0</v>
      </c>
      <c r="M230" s="23">
        <f t="shared" si="171"/>
        <v>0</v>
      </c>
      <c r="N230" s="23">
        <f t="shared" si="171"/>
        <v>0</v>
      </c>
      <c r="O230" s="23">
        <f t="shared" si="171"/>
        <v>0</v>
      </c>
      <c r="P230" s="23">
        <f t="shared" si="171"/>
        <v>0</v>
      </c>
      <c r="Q230" s="23">
        <f t="shared" si="171"/>
        <v>0</v>
      </c>
      <c r="R230" s="23">
        <f t="shared" si="171"/>
        <v>0</v>
      </c>
      <c r="S230" s="23">
        <f t="shared" si="171"/>
        <v>0</v>
      </c>
      <c r="T230" s="23">
        <f t="shared" si="171"/>
        <v>0</v>
      </c>
      <c r="U230" s="23">
        <f t="shared" si="171"/>
        <v>0</v>
      </c>
      <c r="V230" s="23">
        <f t="shared" si="171"/>
        <v>0</v>
      </c>
      <c r="W230" s="23">
        <f t="shared" si="171"/>
        <v>0</v>
      </c>
      <c r="X230" s="23">
        <f t="shared" si="171"/>
        <v>0</v>
      </c>
      <c r="Y230" s="22" t="s">
        <v>639</v>
      </c>
      <c r="Z230" s="24" t="s">
        <v>34</v>
      </c>
      <c r="AA230" s="25" t="s">
        <v>640</v>
      </c>
      <c r="AB230" s="25" t="s">
        <v>149</v>
      </c>
      <c r="AC230" s="26"/>
    </row>
    <row r="231" spans="1:29" ht="69.75" x14ac:dyDescent="0.25">
      <c r="A231" s="27" t="s">
        <v>641</v>
      </c>
      <c r="B231" s="28" t="s">
        <v>642</v>
      </c>
      <c r="C231" s="29" t="s">
        <v>279</v>
      </c>
      <c r="D231" s="29" t="s">
        <v>319</v>
      </c>
      <c r="E231" s="30">
        <f t="shared" ref="E231:X231" si="172">SUM(E232:E234)</f>
        <v>0</v>
      </c>
      <c r="F231" s="30">
        <f t="shared" si="172"/>
        <v>0</v>
      </c>
      <c r="G231" s="30">
        <f t="shared" si="172"/>
        <v>0</v>
      </c>
      <c r="H231" s="30">
        <f t="shared" si="172"/>
        <v>0</v>
      </c>
      <c r="I231" s="30">
        <f t="shared" si="172"/>
        <v>0</v>
      </c>
      <c r="J231" s="30">
        <f t="shared" si="172"/>
        <v>0</v>
      </c>
      <c r="K231" s="30">
        <f t="shared" si="172"/>
        <v>0</v>
      </c>
      <c r="L231" s="30">
        <f t="shared" si="172"/>
        <v>0</v>
      </c>
      <c r="M231" s="30">
        <f t="shared" si="172"/>
        <v>0</v>
      </c>
      <c r="N231" s="30">
        <f t="shared" si="172"/>
        <v>0</v>
      </c>
      <c r="O231" s="30">
        <f t="shared" si="172"/>
        <v>0</v>
      </c>
      <c r="P231" s="30">
        <f t="shared" si="172"/>
        <v>0</v>
      </c>
      <c r="Q231" s="30">
        <f t="shared" si="172"/>
        <v>0</v>
      </c>
      <c r="R231" s="30">
        <f t="shared" si="172"/>
        <v>0</v>
      </c>
      <c r="S231" s="30">
        <f t="shared" si="172"/>
        <v>0</v>
      </c>
      <c r="T231" s="30">
        <f t="shared" si="172"/>
        <v>0</v>
      </c>
      <c r="U231" s="30">
        <f t="shared" si="172"/>
        <v>0</v>
      </c>
      <c r="V231" s="30">
        <f t="shared" si="172"/>
        <v>0</v>
      </c>
      <c r="W231" s="30">
        <f t="shared" si="172"/>
        <v>0</v>
      </c>
      <c r="X231" s="30">
        <f t="shared" si="172"/>
        <v>0</v>
      </c>
      <c r="Y231" s="29" t="s">
        <v>327</v>
      </c>
      <c r="Z231" s="31" t="s">
        <v>40</v>
      </c>
      <c r="AA231" s="32" t="s">
        <v>54</v>
      </c>
      <c r="AB231" s="32" t="s">
        <v>47</v>
      </c>
      <c r="AC231" s="33" t="s">
        <v>643</v>
      </c>
    </row>
    <row r="232" spans="1:29" ht="69.75" x14ac:dyDescent="0.25">
      <c r="A232" s="41"/>
      <c r="B232" s="42"/>
      <c r="C232" s="43"/>
      <c r="D232" s="43"/>
      <c r="E232" s="44">
        <v>0</v>
      </c>
      <c r="F232" s="44">
        <v>0</v>
      </c>
      <c r="G232" s="44">
        <v>0</v>
      </c>
      <c r="H232" s="44">
        <v>0</v>
      </c>
      <c r="I232" s="44">
        <v>0</v>
      </c>
      <c r="J232" s="44">
        <v>0</v>
      </c>
      <c r="K232" s="44">
        <v>0</v>
      </c>
      <c r="L232" s="44">
        <v>0</v>
      </c>
      <c r="M232" s="44">
        <v>0</v>
      </c>
      <c r="N232" s="44">
        <v>0</v>
      </c>
      <c r="O232" s="44">
        <v>0</v>
      </c>
      <c r="P232" s="44">
        <v>0</v>
      </c>
      <c r="Q232" s="44">
        <v>0</v>
      </c>
      <c r="R232" s="44">
        <v>0</v>
      </c>
      <c r="S232" s="44">
        <v>0</v>
      </c>
      <c r="T232" s="44">
        <v>0</v>
      </c>
      <c r="U232" s="44">
        <v>0</v>
      </c>
      <c r="V232" s="44">
        <v>0</v>
      </c>
      <c r="W232" s="44">
        <v>0</v>
      </c>
      <c r="X232" s="44">
        <v>0</v>
      </c>
      <c r="Y232" s="43" t="s">
        <v>543</v>
      </c>
      <c r="Z232" s="45" t="s">
        <v>40</v>
      </c>
      <c r="AA232" s="46" t="s">
        <v>54</v>
      </c>
      <c r="AB232" s="46" t="s">
        <v>54</v>
      </c>
      <c r="AC232" s="47"/>
    </row>
    <row r="233" spans="1:29" ht="69.75" x14ac:dyDescent="0.25">
      <c r="A233" s="34" t="s">
        <v>644</v>
      </c>
      <c r="B233" s="35" t="s">
        <v>545</v>
      </c>
      <c r="C233" s="36"/>
      <c r="D233" s="36"/>
      <c r="E233" s="37">
        <v>0</v>
      </c>
      <c r="F233" s="37">
        <v>0</v>
      </c>
      <c r="G233" s="37">
        <v>0</v>
      </c>
      <c r="H233" s="37">
        <v>0</v>
      </c>
      <c r="I233" s="37">
        <v>0</v>
      </c>
      <c r="J233" s="37">
        <v>0</v>
      </c>
      <c r="K233" s="37">
        <v>0</v>
      </c>
      <c r="L233" s="37">
        <v>0</v>
      </c>
      <c r="M233" s="37">
        <v>0</v>
      </c>
      <c r="N233" s="37">
        <v>0</v>
      </c>
      <c r="O233" s="37">
        <v>0</v>
      </c>
      <c r="P233" s="37">
        <v>0</v>
      </c>
      <c r="Q233" s="37">
        <v>0</v>
      </c>
      <c r="R233" s="37">
        <v>0</v>
      </c>
      <c r="S233" s="37">
        <v>0</v>
      </c>
      <c r="T233" s="37">
        <v>0</v>
      </c>
      <c r="U233" s="37">
        <v>0</v>
      </c>
      <c r="V233" s="37">
        <v>0</v>
      </c>
      <c r="W233" s="37">
        <v>0</v>
      </c>
      <c r="X233" s="37">
        <v>0</v>
      </c>
      <c r="Y233" s="36"/>
      <c r="Z233" s="38"/>
      <c r="AA233" s="39"/>
      <c r="AB233" s="39"/>
      <c r="AC233" s="40"/>
    </row>
    <row r="234" spans="1:29" ht="46.5" x14ac:dyDescent="0.25">
      <c r="A234" s="34" t="s">
        <v>645</v>
      </c>
      <c r="B234" s="35" t="s">
        <v>482</v>
      </c>
      <c r="C234" s="36"/>
      <c r="D234" s="36"/>
      <c r="E234" s="37">
        <v>0</v>
      </c>
      <c r="F234" s="37">
        <v>0</v>
      </c>
      <c r="G234" s="37">
        <v>0</v>
      </c>
      <c r="H234" s="37">
        <v>0</v>
      </c>
      <c r="I234" s="37">
        <v>0</v>
      </c>
      <c r="J234" s="37">
        <v>0</v>
      </c>
      <c r="K234" s="37">
        <v>0</v>
      </c>
      <c r="L234" s="37">
        <v>0</v>
      </c>
      <c r="M234" s="37">
        <v>0</v>
      </c>
      <c r="N234" s="37">
        <v>0</v>
      </c>
      <c r="O234" s="37">
        <v>0</v>
      </c>
      <c r="P234" s="37">
        <v>0</v>
      </c>
      <c r="Q234" s="37">
        <v>0</v>
      </c>
      <c r="R234" s="37">
        <v>0</v>
      </c>
      <c r="S234" s="37">
        <v>0</v>
      </c>
      <c r="T234" s="37">
        <v>0</v>
      </c>
      <c r="U234" s="37">
        <v>0</v>
      </c>
      <c r="V234" s="37">
        <v>0</v>
      </c>
      <c r="W234" s="37">
        <v>0</v>
      </c>
      <c r="X234" s="37">
        <v>0</v>
      </c>
      <c r="Y234" s="36"/>
      <c r="Z234" s="38"/>
      <c r="AA234" s="39"/>
      <c r="AB234" s="39"/>
      <c r="AC234" s="40"/>
    </row>
    <row r="235" spans="1:29" ht="67.5" x14ac:dyDescent="0.25">
      <c r="A235" s="20" t="s">
        <v>646</v>
      </c>
      <c r="B235" s="21" t="s">
        <v>647</v>
      </c>
      <c r="C235" s="22" t="s">
        <v>279</v>
      </c>
      <c r="D235" s="22" t="s">
        <v>282</v>
      </c>
      <c r="E235" s="23">
        <f t="shared" ref="E235:X235" si="173">SUM(E236:E236)</f>
        <v>11979</v>
      </c>
      <c r="F235" s="23">
        <f t="shared" si="173"/>
        <v>11979</v>
      </c>
      <c r="G235" s="23">
        <f t="shared" si="173"/>
        <v>0</v>
      </c>
      <c r="H235" s="23">
        <f t="shared" si="173"/>
        <v>0</v>
      </c>
      <c r="I235" s="23">
        <f t="shared" si="173"/>
        <v>0</v>
      </c>
      <c r="J235" s="23">
        <f t="shared" si="173"/>
        <v>0</v>
      </c>
      <c r="K235" s="23">
        <f t="shared" si="173"/>
        <v>0</v>
      </c>
      <c r="L235" s="23">
        <f t="shared" si="173"/>
        <v>0</v>
      </c>
      <c r="M235" s="23">
        <f t="shared" si="173"/>
        <v>0</v>
      </c>
      <c r="N235" s="23">
        <f t="shared" si="173"/>
        <v>0</v>
      </c>
      <c r="O235" s="23">
        <f t="shared" si="173"/>
        <v>11979</v>
      </c>
      <c r="P235" s="23">
        <f t="shared" si="173"/>
        <v>11979</v>
      </c>
      <c r="Q235" s="23">
        <f t="shared" si="173"/>
        <v>0</v>
      </c>
      <c r="R235" s="23">
        <f t="shared" si="173"/>
        <v>0</v>
      </c>
      <c r="S235" s="23">
        <f t="shared" si="173"/>
        <v>0</v>
      </c>
      <c r="T235" s="23">
        <f t="shared" si="173"/>
        <v>0</v>
      </c>
      <c r="U235" s="23">
        <f t="shared" si="173"/>
        <v>0</v>
      </c>
      <c r="V235" s="23">
        <f t="shared" si="173"/>
        <v>0</v>
      </c>
      <c r="W235" s="23">
        <f t="shared" si="173"/>
        <v>0</v>
      </c>
      <c r="X235" s="23">
        <f t="shared" si="173"/>
        <v>0</v>
      </c>
      <c r="Y235" s="22" t="s">
        <v>648</v>
      </c>
      <c r="Z235" s="24" t="s">
        <v>34</v>
      </c>
      <c r="AA235" s="25" t="s">
        <v>649</v>
      </c>
      <c r="AB235" s="25" t="s">
        <v>649</v>
      </c>
      <c r="AC235" s="26"/>
    </row>
    <row r="236" spans="1:29" ht="116.25" x14ac:dyDescent="0.25">
      <c r="A236" s="27" t="s">
        <v>650</v>
      </c>
      <c r="B236" s="28" t="s">
        <v>651</v>
      </c>
      <c r="C236" s="29" t="s">
        <v>279</v>
      </c>
      <c r="D236" s="29" t="s">
        <v>319</v>
      </c>
      <c r="E236" s="30">
        <f>SUM(E237:E237)+11979</f>
        <v>11979</v>
      </c>
      <c r="F236" s="30">
        <f>SUM(F237:F237)+11979</f>
        <v>11979</v>
      </c>
      <c r="G236" s="30">
        <f t="shared" ref="G236:N236" si="174">SUM(G237:G237)</f>
        <v>0</v>
      </c>
      <c r="H236" s="30">
        <f t="shared" si="174"/>
        <v>0</v>
      </c>
      <c r="I236" s="30">
        <f t="shared" si="174"/>
        <v>0</v>
      </c>
      <c r="J236" s="30">
        <f t="shared" si="174"/>
        <v>0</v>
      </c>
      <c r="K236" s="30">
        <f t="shared" si="174"/>
        <v>0</v>
      </c>
      <c r="L236" s="30">
        <f t="shared" si="174"/>
        <v>0</v>
      </c>
      <c r="M236" s="30">
        <f t="shared" si="174"/>
        <v>0</v>
      </c>
      <c r="N236" s="30">
        <f t="shared" si="174"/>
        <v>0</v>
      </c>
      <c r="O236" s="30">
        <f>SUM(O237:O237)+11979</f>
        <v>11979</v>
      </c>
      <c r="P236" s="30">
        <f>SUM(P237:P237)+11979</f>
        <v>11979</v>
      </c>
      <c r="Q236" s="30">
        <f t="shared" ref="Q236:X236" si="175">SUM(Q237:Q237)</f>
        <v>0</v>
      </c>
      <c r="R236" s="30">
        <f t="shared" si="175"/>
        <v>0</v>
      </c>
      <c r="S236" s="30">
        <f t="shared" si="175"/>
        <v>0</v>
      </c>
      <c r="T236" s="30">
        <f t="shared" si="175"/>
        <v>0</v>
      </c>
      <c r="U236" s="30">
        <f t="shared" si="175"/>
        <v>0</v>
      </c>
      <c r="V236" s="30">
        <f t="shared" si="175"/>
        <v>0</v>
      </c>
      <c r="W236" s="30">
        <f t="shared" si="175"/>
        <v>0</v>
      </c>
      <c r="X236" s="30">
        <f t="shared" si="175"/>
        <v>0</v>
      </c>
      <c r="Y236" s="29" t="s">
        <v>327</v>
      </c>
      <c r="Z236" s="31" t="s">
        <v>40</v>
      </c>
      <c r="AA236" s="32" t="s">
        <v>54</v>
      </c>
      <c r="AB236" s="32" t="s">
        <v>47</v>
      </c>
      <c r="AC236" s="33" t="s">
        <v>643</v>
      </c>
    </row>
    <row r="237" spans="1:29" ht="46.5" x14ac:dyDescent="0.25">
      <c r="A237" s="34" t="s">
        <v>652</v>
      </c>
      <c r="B237" s="35" t="s">
        <v>482</v>
      </c>
      <c r="C237" s="36"/>
      <c r="D237" s="36"/>
      <c r="E237" s="37">
        <v>0</v>
      </c>
      <c r="F237" s="37">
        <v>0</v>
      </c>
      <c r="G237" s="37">
        <v>0</v>
      </c>
      <c r="H237" s="37">
        <v>0</v>
      </c>
      <c r="I237" s="37">
        <v>0</v>
      </c>
      <c r="J237" s="37">
        <v>0</v>
      </c>
      <c r="K237" s="37">
        <v>0</v>
      </c>
      <c r="L237" s="37">
        <v>0</v>
      </c>
      <c r="M237" s="37">
        <v>0</v>
      </c>
      <c r="N237" s="37">
        <v>0</v>
      </c>
      <c r="O237" s="37">
        <v>0</v>
      </c>
      <c r="P237" s="37">
        <v>0</v>
      </c>
      <c r="Q237" s="37">
        <v>0</v>
      </c>
      <c r="R237" s="37">
        <v>0</v>
      </c>
      <c r="S237" s="37">
        <v>0</v>
      </c>
      <c r="T237" s="37">
        <v>0</v>
      </c>
      <c r="U237" s="37">
        <v>0</v>
      </c>
      <c r="V237" s="37">
        <v>0</v>
      </c>
      <c r="W237" s="37">
        <v>0</v>
      </c>
      <c r="X237" s="37">
        <v>0</v>
      </c>
      <c r="Y237" s="36"/>
      <c r="Z237" s="38"/>
      <c r="AA237" s="39"/>
      <c r="AB237" s="39"/>
      <c r="AC237" s="40"/>
    </row>
    <row r="238" spans="1:29" ht="112.5" x14ac:dyDescent="0.25">
      <c r="A238" s="13" t="s">
        <v>653</v>
      </c>
      <c r="B238" s="14" t="s">
        <v>654</v>
      </c>
      <c r="C238" s="15" t="s">
        <v>655</v>
      </c>
      <c r="D238" s="15" t="s">
        <v>656</v>
      </c>
      <c r="E238" s="16">
        <f t="shared" ref="E238:X238" si="176">SUM(E239:E239)</f>
        <v>0</v>
      </c>
      <c r="F238" s="16">
        <f t="shared" si="176"/>
        <v>0</v>
      </c>
      <c r="G238" s="16">
        <f t="shared" si="176"/>
        <v>0</v>
      </c>
      <c r="H238" s="16">
        <f t="shared" si="176"/>
        <v>0</v>
      </c>
      <c r="I238" s="16">
        <f t="shared" si="176"/>
        <v>0</v>
      </c>
      <c r="J238" s="16">
        <f t="shared" si="176"/>
        <v>0</v>
      </c>
      <c r="K238" s="16">
        <f t="shared" si="176"/>
        <v>0</v>
      </c>
      <c r="L238" s="16">
        <f t="shared" si="176"/>
        <v>0</v>
      </c>
      <c r="M238" s="16">
        <f t="shared" si="176"/>
        <v>0</v>
      </c>
      <c r="N238" s="16">
        <f t="shared" si="176"/>
        <v>0</v>
      </c>
      <c r="O238" s="16">
        <f t="shared" si="176"/>
        <v>0</v>
      </c>
      <c r="P238" s="16">
        <f t="shared" si="176"/>
        <v>0</v>
      </c>
      <c r="Q238" s="16">
        <f t="shared" si="176"/>
        <v>0</v>
      </c>
      <c r="R238" s="16">
        <f t="shared" si="176"/>
        <v>0</v>
      </c>
      <c r="S238" s="16">
        <f t="shared" si="176"/>
        <v>0</v>
      </c>
      <c r="T238" s="16">
        <f t="shared" si="176"/>
        <v>0</v>
      </c>
      <c r="U238" s="16">
        <f t="shared" si="176"/>
        <v>0</v>
      </c>
      <c r="V238" s="16">
        <f t="shared" si="176"/>
        <v>0</v>
      </c>
      <c r="W238" s="16">
        <f t="shared" si="176"/>
        <v>0</v>
      </c>
      <c r="X238" s="16">
        <f t="shared" si="176"/>
        <v>0</v>
      </c>
      <c r="Y238" s="15" t="s">
        <v>657</v>
      </c>
      <c r="Z238" s="17" t="s">
        <v>40</v>
      </c>
      <c r="AA238" s="18" t="s">
        <v>111</v>
      </c>
      <c r="AB238" s="18" t="s">
        <v>111</v>
      </c>
      <c r="AC238" s="19"/>
    </row>
    <row r="239" spans="1:29" ht="67.5" x14ac:dyDescent="0.25">
      <c r="A239" s="20" t="s">
        <v>658</v>
      </c>
      <c r="B239" s="21" t="s">
        <v>659</v>
      </c>
      <c r="C239" s="22" t="s">
        <v>655</v>
      </c>
      <c r="D239" s="22" t="s">
        <v>656</v>
      </c>
      <c r="E239" s="23">
        <f t="shared" ref="E239:X239" si="177">E240+E242</f>
        <v>0</v>
      </c>
      <c r="F239" s="23">
        <f t="shared" si="177"/>
        <v>0</v>
      </c>
      <c r="G239" s="23">
        <f t="shared" si="177"/>
        <v>0</v>
      </c>
      <c r="H239" s="23">
        <f t="shared" si="177"/>
        <v>0</v>
      </c>
      <c r="I239" s="23">
        <f t="shared" si="177"/>
        <v>0</v>
      </c>
      <c r="J239" s="23">
        <f t="shared" si="177"/>
        <v>0</v>
      </c>
      <c r="K239" s="23">
        <f t="shared" si="177"/>
        <v>0</v>
      </c>
      <c r="L239" s="23">
        <f t="shared" si="177"/>
        <v>0</v>
      </c>
      <c r="M239" s="23">
        <f t="shared" si="177"/>
        <v>0</v>
      </c>
      <c r="N239" s="23">
        <f t="shared" si="177"/>
        <v>0</v>
      </c>
      <c r="O239" s="23">
        <f t="shared" si="177"/>
        <v>0</v>
      </c>
      <c r="P239" s="23">
        <f t="shared" si="177"/>
        <v>0</v>
      </c>
      <c r="Q239" s="23">
        <f t="shared" si="177"/>
        <v>0</v>
      </c>
      <c r="R239" s="23">
        <f t="shared" si="177"/>
        <v>0</v>
      </c>
      <c r="S239" s="23">
        <f t="shared" si="177"/>
        <v>0</v>
      </c>
      <c r="T239" s="23">
        <f t="shared" si="177"/>
        <v>0</v>
      </c>
      <c r="U239" s="23">
        <f t="shared" si="177"/>
        <v>0</v>
      </c>
      <c r="V239" s="23">
        <f t="shared" si="177"/>
        <v>0</v>
      </c>
      <c r="W239" s="23">
        <f t="shared" si="177"/>
        <v>0</v>
      </c>
      <c r="X239" s="23">
        <f t="shared" si="177"/>
        <v>0</v>
      </c>
      <c r="Y239" s="22" t="s">
        <v>660</v>
      </c>
      <c r="Z239" s="24" t="s">
        <v>34</v>
      </c>
      <c r="AA239" s="25" t="s">
        <v>661</v>
      </c>
      <c r="AB239" s="25" t="s">
        <v>661</v>
      </c>
      <c r="AC239" s="26"/>
    </row>
    <row r="240" spans="1:29" ht="93" x14ac:dyDescent="0.25">
      <c r="A240" s="27" t="s">
        <v>662</v>
      </c>
      <c r="B240" s="28" t="s">
        <v>663</v>
      </c>
      <c r="C240" s="29" t="s">
        <v>655</v>
      </c>
      <c r="D240" s="29" t="s">
        <v>656</v>
      </c>
      <c r="E240" s="30">
        <f t="shared" ref="E240:X240" si="178">SUM(E241:E241)</f>
        <v>0</v>
      </c>
      <c r="F240" s="30">
        <f t="shared" si="178"/>
        <v>0</v>
      </c>
      <c r="G240" s="30">
        <f t="shared" si="178"/>
        <v>0</v>
      </c>
      <c r="H240" s="30">
        <f t="shared" si="178"/>
        <v>0</v>
      </c>
      <c r="I240" s="30">
        <f t="shared" si="178"/>
        <v>0</v>
      </c>
      <c r="J240" s="30">
        <f t="shared" si="178"/>
        <v>0</v>
      </c>
      <c r="K240" s="30">
        <f t="shared" si="178"/>
        <v>0</v>
      </c>
      <c r="L240" s="30">
        <f t="shared" si="178"/>
        <v>0</v>
      </c>
      <c r="M240" s="30">
        <f t="shared" si="178"/>
        <v>0</v>
      </c>
      <c r="N240" s="30">
        <f t="shared" si="178"/>
        <v>0</v>
      </c>
      <c r="O240" s="30">
        <f t="shared" si="178"/>
        <v>0</v>
      </c>
      <c r="P240" s="30">
        <f t="shared" si="178"/>
        <v>0</v>
      </c>
      <c r="Q240" s="30">
        <f t="shared" si="178"/>
        <v>0</v>
      </c>
      <c r="R240" s="30">
        <f t="shared" si="178"/>
        <v>0</v>
      </c>
      <c r="S240" s="30">
        <f t="shared" si="178"/>
        <v>0</v>
      </c>
      <c r="T240" s="30">
        <f t="shared" si="178"/>
        <v>0</v>
      </c>
      <c r="U240" s="30">
        <f t="shared" si="178"/>
        <v>0</v>
      </c>
      <c r="V240" s="30">
        <f t="shared" si="178"/>
        <v>0</v>
      </c>
      <c r="W240" s="30">
        <f t="shared" si="178"/>
        <v>0</v>
      </c>
      <c r="X240" s="30">
        <f t="shared" si="178"/>
        <v>0</v>
      </c>
      <c r="Y240" s="29" t="s">
        <v>664</v>
      </c>
      <c r="Z240" s="31" t="s">
        <v>40</v>
      </c>
      <c r="AA240" s="32" t="s">
        <v>54</v>
      </c>
      <c r="AB240" s="32" t="s">
        <v>54</v>
      </c>
      <c r="AC240" s="33"/>
    </row>
    <row r="241" spans="1:29" ht="46.5" x14ac:dyDescent="0.25">
      <c r="A241" s="34" t="s">
        <v>665</v>
      </c>
      <c r="B241" s="35" t="s">
        <v>666</v>
      </c>
      <c r="C241" s="36"/>
      <c r="D241" s="36"/>
      <c r="E241" s="37">
        <v>0</v>
      </c>
      <c r="F241" s="37">
        <v>0</v>
      </c>
      <c r="G241" s="37">
        <v>0</v>
      </c>
      <c r="H241" s="37">
        <v>0</v>
      </c>
      <c r="I241" s="37">
        <v>0</v>
      </c>
      <c r="J241" s="37">
        <v>0</v>
      </c>
      <c r="K241" s="37">
        <v>0</v>
      </c>
      <c r="L241" s="37">
        <v>0</v>
      </c>
      <c r="M241" s="37">
        <v>0</v>
      </c>
      <c r="N241" s="37">
        <v>0</v>
      </c>
      <c r="O241" s="37">
        <v>0</v>
      </c>
      <c r="P241" s="37">
        <v>0</v>
      </c>
      <c r="Q241" s="37">
        <v>0</v>
      </c>
      <c r="R241" s="37">
        <v>0</v>
      </c>
      <c r="S241" s="37">
        <v>0</v>
      </c>
      <c r="T241" s="37">
        <v>0</v>
      </c>
      <c r="U241" s="37">
        <v>0</v>
      </c>
      <c r="V241" s="37">
        <v>0</v>
      </c>
      <c r="W241" s="37">
        <v>0</v>
      </c>
      <c r="X241" s="37">
        <v>0</v>
      </c>
      <c r="Y241" s="36"/>
      <c r="Z241" s="38"/>
      <c r="AA241" s="39"/>
      <c r="AB241" s="39"/>
      <c r="AC241" s="40"/>
    </row>
    <row r="242" spans="1:29" ht="116.25" x14ac:dyDescent="0.25">
      <c r="A242" s="27" t="s">
        <v>667</v>
      </c>
      <c r="B242" s="28" t="s">
        <v>668</v>
      </c>
      <c r="C242" s="29" t="s">
        <v>279</v>
      </c>
      <c r="D242" s="29" t="s">
        <v>469</v>
      </c>
      <c r="E242" s="30">
        <f t="shared" ref="E242:X242" si="179">SUM(E243:E243)</f>
        <v>0</v>
      </c>
      <c r="F242" s="30">
        <f t="shared" si="179"/>
        <v>0</v>
      </c>
      <c r="G242" s="30">
        <f t="shared" si="179"/>
        <v>0</v>
      </c>
      <c r="H242" s="30">
        <f t="shared" si="179"/>
        <v>0</v>
      </c>
      <c r="I242" s="30">
        <f t="shared" si="179"/>
        <v>0</v>
      </c>
      <c r="J242" s="30">
        <f t="shared" si="179"/>
        <v>0</v>
      </c>
      <c r="K242" s="30">
        <f t="shared" si="179"/>
        <v>0</v>
      </c>
      <c r="L242" s="30">
        <f t="shared" si="179"/>
        <v>0</v>
      </c>
      <c r="M242" s="30">
        <f t="shared" si="179"/>
        <v>0</v>
      </c>
      <c r="N242" s="30">
        <f t="shared" si="179"/>
        <v>0</v>
      </c>
      <c r="O242" s="30">
        <f t="shared" si="179"/>
        <v>0</v>
      </c>
      <c r="P242" s="30">
        <f t="shared" si="179"/>
        <v>0</v>
      </c>
      <c r="Q242" s="30">
        <f t="shared" si="179"/>
        <v>0</v>
      </c>
      <c r="R242" s="30">
        <f t="shared" si="179"/>
        <v>0</v>
      </c>
      <c r="S242" s="30">
        <f t="shared" si="179"/>
        <v>0</v>
      </c>
      <c r="T242" s="30">
        <f t="shared" si="179"/>
        <v>0</v>
      </c>
      <c r="U242" s="30">
        <f t="shared" si="179"/>
        <v>0</v>
      </c>
      <c r="V242" s="30">
        <f t="shared" si="179"/>
        <v>0</v>
      </c>
      <c r="W242" s="30">
        <f t="shared" si="179"/>
        <v>0</v>
      </c>
      <c r="X242" s="30">
        <f t="shared" si="179"/>
        <v>0</v>
      </c>
      <c r="Y242" s="29" t="s">
        <v>669</v>
      </c>
      <c r="Z242" s="31" t="s">
        <v>40</v>
      </c>
      <c r="AA242" s="32" t="s">
        <v>47</v>
      </c>
      <c r="AB242" s="32" t="s">
        <v>47</v>
      </c>
      <c r="AC242" s="33"/>
    </row>
    <row r="243" spans="1:29" ht="69.75" x14ac:dyDescent="0.25">
      <c r="A243" s="34" t="s">
        <v>670</v>
      </c>
      <c r="B243" s="35" t="s">
        <v>671</v>
      </c>
      <c r="C243" s="36"/>
      <c r="D243" s="36"/>
      <c r="E243" s="37">
        <v>0</v>
      </c>
      <c r="F243" s="37">
        <v>0</v>
      </c>
      <c r="G243" s="37">
        <v>0</v>
      </c>
      <c r="H243" s="37">
        <v>0</v>
      </c>
      <c r="I243" s="37">
        <v>0</v>
      </c>
      <c r="J243" s="37">
        <v>0</v>
      </c>
      <c r="K243" s="37">
        <v>0</v>
      </c>
      <c r="L243" s="37">
        <v>0</v>
      </c>
      <c r="M243" s="37">
        <v>0</v>
      </c>
      <c r="N243" s="37">
        <v>0</v>
      </c>
      <c r="O243" s="37">
        <v>0</v>
      </c>
      <c r="P243" s="37">
        <v>0</v>
      </c>
      <c r="Q243" s="37">
        <v>0</v>
      </c>
      <c r="R243" s="37">
        <v>0</v>
      </c>
      <c r="S243" s="37">
        <v>0</v>
      </c>
      <c r="T243" s="37">
        <v>0</v>
      </c>
      <c r="U243" s="37">
        <v>0</v>
      </c>
      <c r="V243" s="37">
        <v>0</v>
      </c>
      <c r="W243" s="37">
        <v>0</v>
      </c>
      <c r="X243" s="37">
        <v>0</v>
      </c>
      <c r="Y243" s="36"/>
      <c r="Z243" s="38"/>
      <c r="AA243" s="39"/>
      <c r="AB243" s="39"/>
      <c r="AC243" s="40"/>
    </row>
    <row r="244" spans="1:29" ht="45" x14ac:dyDescent="0.25">
      <c r="A244" s="6" t="s">
        <v>672</v>
      </c>
      <c r="B244" s="7" t="s">
        <v>673</v>
      </c>
      <c r="C244" s="8" t="s">
        <v>28</v>
      </c>
      <c r="D244" s="8" t="s">
        <v>2132</v>
      </c>
      <c r="E244" s="9">
        <f t="shared" ref="E244:X244" si="180">E245+E252+E266</f>
        <v>201002.2</v>
      </c>
      <c r="F244" s="9">
        <f t="shared" si="180"/>
        <v>149002.20000000001</v>
      </c>
      <c r="G244" s="9">
        <f t="shared" si="180"/>
        <v>0</v>
      </c>
      <c r="H244" s="9">
        <f t="shared" si="180"/>
        <v>0</v>
      </c>
      <c r="I244" s="9">
        <f t="shared" si="180"/>
        <v>0</v>
      </c>
      <c r="J244" s="9">
        <f t="shared" si="180"/>
        <v>0</v>
      </c>
      <c r="K244" s="9">
        <f t="shared" si="180"/>
        <v>0</v>
      </c>
      <c r="L244" s="9">
        <f t="shared" si="180"/>
        <v>52000</v>
      </c>
      <c r="M244" s="9">
        <f t="shared" si="180"/>
        <v>0</v>
      </c>
      <c r="N244" s="9">
        <f t="shared" si="180"/>
        <v>0</v>
      </c>
      <c r="O244" s="9">
        <f t="shared" si="180"/>
        <v>147901.72999999998</v>
      </c>
      <c r="P244" s="9">
        <f t="shared" si="180"/>
        <v>147901.72999999998</v>
      </c>
      <c r="Q244" s="9">
        <f t="shared" si="180"/>
        <v>0</v>
      </c>
      <c r="R244" s="9">
        <f t="shared" si="180"/>
        <v>0</v>
      </c>
      <c r="S244" s="9">
        <f t="shared" si="180"/>
        <v>0</v>
      </c>
      <c r="T244" s="9">
        <f t="shared" si="180"/>
        <v>0</v>
      </c>
      <c r="U244" s="9">
        <f t="shared" si="180"/>
        <v>0</v>
      </c>
      <c r="V244" s="9">
        <f t="shared" si="180"/>
        <v>0</v>
      </c>
      <c r="W244" s="9">
        <f t="shared" si="180"/>
        <v>0</v>
      </c>
      <c r="X244" s="9">
        <f t="shared" si="180"/>
        <v>0</v>
      </c>
      <c r="Y244" s="8"/>
      <c r="Z244" s="10"/>
      <c r="AA244" s="11"/>
      <c r="AB244" s="11"/>
      <c r="AC244" s="12"/>
    </row>
    <row r="245" spans="1:29" ht="67.5" x14ac:dyDescent="0.25">
      <c r="A245" s="13" t="s">
        <v>674</v>
      </c>
      <c r="B245" s="14" t="s">
        <v>675</v>
      </c>
      <c r="C245" s="15" t="s">
        <v>28</v>
      </c>
      <c r="D245" s="15" t="s">
        <v>676</v>
      </c>
      <c r="E245" s="16">
        <f t="shared" ref="E245:X245" si="181">E246+E249</f>
        <v>1300</v>
      </c>
      <c r="F245" s="16">
        <f t="shared" si="181"/>
        <v>1300</v>
      </c>
      <c r="G245" s="16">
        <f t="shared" si="181"/>
        <v>0</v>
      </c>
      <c r="H245" s="16">
        <f t="shared" si="181"/>
        <v>0</v>
      </c>
      <c r="I245" s="16">
        <f t="shared" si="181"/>
        <v>0</v>
      </c>
      <c r="J245" s="16">
        <f t="shared" si="181"/>
        <v>0</v>
      </c>
      <c r="K245" s="16">
        <f t="shared" si="181"/>
        <v>0</v>
      </c>
      <c r="L245" s="16">
        <f t="shared" si="181"/>
        <v>0</v>
      </c>
      <c r="M245" s="16">
        <f t="shared" si="181"/>
        <v>0</v>
      </c>
      <c r="N245" s="16">
        <f t="shared" si="181"/>
        <v>0</v>
      </c>
      <c r="O245" s="16">
        <f t="shared" si="181"/>
        <v>1299.08</v>
      </c>
      <c r="P245" s="16">
        <f t="shared" si="181"/>
        <v>1299.08</v>
      </c>
      <c r="Q245" s="16">
        <f t="shared" si="181"/>
        <v>0</v>
      </c>
      <c r="R245" s="16">
        <f t="shared" si="181"/>
        <v>0</v>
      </c>
      <c r="S245" s="16">
        <f t="shared" si="181"/>
        <v>0</v>
      </c>
      <c r="T245" s="16">
        <f t="shared" si="181"/>
        <v>0</v>
      </c>
      <c r="U245" s="16">
        <f t="shared" si="181"/>
        <v>0</v>
      </c>
      <c r="V245" s="16">
        <f t="shared" si="181"/>
        <v>0</v>
      </c>
      <c r="W245" s="16">
        <f t="shared" si="181"/>
        <v>0</v>
      </c>
      <c r="X245" s="16">
        <f t="shared" si="181"/>
        <v>0</v>
      </c>
      <c r="Y245" s="15" t="s">
        <v>677</v>
      </c>
      <c r="Z245" s="17" t="s">
        <v>34</v>
      </c>
      <c r="AA245" s="18" t="s">
        <v>678</v>
      </c>
      <c r="AB245" s="18" t="s">
        <v>678</v>
      </c>
      <c r="AC245" s="19"/>
    </row>
    <row r="246" spans="1:29" ht="67.5" x14ac:dyDescent="0.25">
      <c r="A246" s="20" t="s">
        <v>679</v>
      </c>
      <c r="B246" s="21" t="s">
        <v>680</v>
      </c>
      <c r="C246" s="22" t="s">
        <v>28</v>
      </c>
      <c r="D246" s="22" t="s">
        <v>676</v>
      </c>
      <c r="E246" s="23">
        <f t="shared" ref="E246:X246" si="182">SUM(E247:E247)</f>
        <v>1300</v>
      </c>
      <c r="F246" s="23">
        <f t="shared" si="182"/>
        <v>1300</v>
      </c>
      <c r="G246" s="23">
        <f t="shared" si="182"/>
        <v>0</v>
      </c>
      <c r="H246" s="23">
        <f t="shared" si="182"/>
        <v>0</v>
      </c>
      <c r="I246" s="23">
        <f t="shared" si="182"/>
        <v>0</v>
      </c>
      <c r="J246" s="23">
        <f t="shared" si="182"/>
        <v>0</v>
      </c>
      <c r="K246" s="23">
        <f t="shared" si="182"/>
        <v>0</v>
      </c>
      <c r="L246" s="23">
        <f t="shared" si="182"/>
        <v>0</v>
      </c>
      <c r="M246" s="23">
        <f t="shared" si="182"/>
        <v>0</v>
      </c>
      <c r="N246" s="23">
        <f t="shared" si="182"/>
        <v>0</v>
      </c>
      <c r="O246" s="23">
        <f t="shared" si="182"/>
        <v>1299.08</v>
      </c>
      <c r="P246" s="23">
        <f t="shared" si="182"/>
        <v>1299.08</v>
      </c>
      <c r="Q246" s="23">
        <f t="shared" si="182"/>
        <v>0</v>
      </c>
      <c r="R246" s="23">
        <f t="shared" si="182"/>
        <v>0</v>
      </c>
      <c r="S246" s="23">
        <f t="shared" si="182"/>
        <v>0</v>
      </c>
      <c r="T246" s="23">
        <f t="shared" si="182"/>
        <v>0</v>
      </c>
      <c r="U246" s="23">
        <f t="shared" si="182"/>
        <v>0</v>
      </c>
      <c r="V246" s="23">
        <f t="shared" si="182"/>
        <v>0</v>
      </c>
      <c r="W246" s="23">
        <f t="shared" si="182"/>
        <v>0</v>
      </c>
      <c r="X246" s="23">
        <f t="shared" si="182"/>
        <v>0</v>
      </c>
      <c r="Y246" s="22" t="s">
        <v>681</v>
      </c>
      <c r="Z246" s="24" t="s">
        <v>40</v>
      </c>
      <c r="AA246" s="25" t="s">
        <v>390</v>
      </c>
      <c r="AB246" s="25" t="s">
        <v>390</v>
      </c>
      <c r="AC246" s="26"/>
    </row>
    <row r="247" spans="1:29" ht="186" x14ac:dyDescent="0.25">
      <c r="A247" s="27" t="s">
        <v>682</v>
      </c>
      <c r="B247" s="28" t="s">
        <v>683</v>
      </c>
      <c r="C247" s="29" t="s">
        <v>28</v>
      </c>
      <c r="D247" s="29" t="s">
        <v>676</v>
      </c>
      <c r="E247" s="30">
        <f>SUM(E248:E248)+1300</f>
        <v>1300</v>
      </c>
      <c r="F247" s="30">
        <f>SUM(F248:F248)+1300</f>
        <v>1300</v>
      </c>
      <c r="G247" s="30">
        <f t="shared" ref="G247:N247" si="183">SUM(G248:G248)</f>
        <v>0</v>
      </c>
      <c r="H247" s="30">
        <f t="shared" si="183"/>
        <v>0</v>
      </c>
      <c r="I247" s="30">
        <f t="shared" si="183"/>
        <v>0</v>
      </c>
      <c r="J247" s="30">
        <f t="shared" si="183"/>
        <v>0</v>
      </c>
      <c r="K247" s="30">
        <f t="shared" si="183"/>
        <v>0</v>
      </c>
      <c r="L247" s="30">
        <f t="shared" si="183"/>
        <v>0</v>
      </c>
      <c r="M247" s="30">
        <f t="shared" si="183"/>
        <v>0</v>
      </c>
      <c r="N247" s="30">
        <f t="shared" si="183"/>
        <v>0</v>
      </c>
      <c r="O247" s="30">
        <f>SUM(O248:O248)+1299.08</f>
        <v>1299.08</v>
      </c>
      <c r="P247" s="30">
        <f>SUM(P248:P248)+1299.08</f>
        <v>1299.08</v>
      </c>
      <c r="Q247" s="30">
        <f t="shared" ref="Q247:X247" si="184">SUM(Q248:Q248)</f>
        <v>0</v>
      </c>
      <c r="R247" s="30">
        <f t="shared" si="184"/>
        <v>0</v>
      </c>
      <c r="S247" s="30">
        <f t="shared" si="184"/>
        <v>0</v>
      </c>
      <c r="T247" s="30">
        <f t="shared" si="184"/>
        <v>0</v>
      </c>
      <c r="U247" s="30">
        <f t="shared" si="184"/>
        <v>0</v>
      </c>
      <c r="V247" s="30">
        <f t="shared" si="184"/>
        <v>0</v>
      </c>
      <c r="W247" s="30">
        <f t="shared" si="184"/>
        <v>0</v>
      </c>
      <c r="X247" s="30">
        <f t="shared" si="184"/>
        <v>0</v>
      </c>
      <c r="Y247" s="29" t="s">
        <v>684</v>
      </c>
      <c r="Z247" s="31" t="s">
        <v>40</v>
      </c>
      <c r="AA247" s="32" t="s">
        <v>390</v>
      </c>
      <c r="AB247" s="32" t="s">
        <v>390</v>
      </c>
      <c r="AC247" s="33"/>
    </row>
    <row r="248" spans="1:29" ht="46.5" x14ac:dyDescent="0.25">
      <c r="A248" s="34" t="s">
        <v>685</v>
      </c>
      <c r="B248" s="35" t="s">
        <v>686</v>
      </c>
      <c r="C248" s="36"/>
      <c r="D248" s="36"/>
      <c r="E248" s="37">
        <v>0</v>
      </c>
      <c r="F248" s="37">
        <v>0</v>
      </c>
      <c r="G248" s="37">
        <v>0</v>
      </c>
      <c r="H248" s="37">
        <v>0</v>
      </c>
      <c r="I248" s="37">
        <v>0</v>
      </c>
      <c r="J248" s="37">
        <v>0</v>
      </c>
      <c r="K248" s="37">
        <v>0</v>
      </c>
      <c r="L248" s="37">
        <v>0</v>
      </c>
      <c r="M248" s="37">
        <v>0</v>
      </c>
      <c r="N248" s="37">
        <v>0</v>
      </c>
      <c r="O248" s="37">
        <v>0</v>
      </c>
      <c r="P248" s="37">
        <v>0</v>
      </c>
      <c r="Q248" s="37">
        <v>0</v>
      </c>
      <c r="R248" s="37">
        <v>0</v>
      </c>
      <c r="S248" s="37">
        <v>0</v>
      </c>
      <c r="T248" s="37">
        <v>0</v>
      </c>
      <c r="U248" s="37">
        <v>0</v>
      </c>
      <c r="V248" s="37">
        <v>0</v>
      </c>
      <c r="W248" s="37">
        <v>0</v>
      </c>
      <c r="X248" s="37">
        <v>0</v>
      </c>
      <c r="Y248" s="36"/>
      <c r="Z248" s="38"/>
      <c r="AA248" s="39"/>
      <c r="AB248" s="39"/>
      <c r="AC248" s="40"/>
    </row>
    <row r="249" spans="1:29" ht="67.5" x14ac:dyDescent="0.25">
      <c r="A249" s="20" t="s">
        <v>687</v>
      </c>
      <c r="B249" s="21" t="s">
        <v>688</v>
      </c>
      <c r="C249" s="22" t="s">
        <v>28</v>
      </c>
      <c r="D249" s="22" t="s">
        <v>676</v>
      </c>
      <c r="E249" s="23">
        <f t="shared" ref="E249:N250" si="185">SUM(E250:E250)</f>
        <v>0</v>
      </c>
      <c r="F249" s="23">
        <f t="shared" si="185"/>
        <v>0</v>
      </c>
      <c r="G249" s="23">
        <f t="shared" si="185"/>
        <v>0</v>
      </c>
      <c r="H249" s="23">
        <f t="shared" si="185"/>
        <v>0</v>
      </c>
      <c r="I249" s="23">
        <f t="shared" si="185"/>
        <v>0</v>
      </c>
      <c r="J249" s="23">
        <f t="shared" si="185"/>
        <v>0</v>
      </c>
      <c r="K249" s="23">
        <f t="shared" si="185"/>
        <v>0</v>
      </c>
      <c r="L249" s="23">
        <f t="shared" si="185"/>
        <v>0</v>
      </c>
      <c r="M249" s="23">
        <f t="shared" si="185"/>
        <v>0</v>
      </c>
      <c r="N249" s="23">
        <f t="shared" si="185"/>
        <v>0</v>
      </c>
      <c r="O249" s="23">
        <f t="shared" ref="O249:X250" si="186">SUM(O250:O250)</f>
        <v>0</v>
      </c>
      <c r="P249" s="23">
        <f t="shared" si="186"/>
        <v>0</v>
      </c>
      <c r="Q249" s="23">
        <f t="shared" si="186"/>
        <v>0</v>
      </c>
      <c r="R249" s="23">
        <f t="shared" si="186"/>
        <v>0</v>
      </c>
      <c r="S249" s="23">
        <f t="shared" si="186"/>
        <v>0</v>
      </c>
      <c r="T249" s="23">
        <f t="shared" si="186"/>
        <v>0</v>
      </c>
      <c r="U249" s="23">
        <f t="shared" si="186"/>
        <v>0</v>
      </c>
      <c r="V249" s="23">
        <f t="shared" si="186"/>
        <v>0</v>
      </c>
      <c r="W249" s="23">
        <f t="shared" si="186"/>
        <v>0</v>
      </c>
      <c r="X249" s="23">
        <f t="shared" si="186"/>
        <v>0</v>
      </c>
      <c r="Y249" s="22" t="s">
        <v>689</v>
      </c>
      <c r="Z249" s="24" t="s">
        <v>40</v>
      </c>
      <c r="AA249" s="25" t="s">
        <v>267</v>
      </c>
      <c r="AB249" s="25" t="s">
        <v>690</v>
      </c>
      <c r="AC249" s="26"/>
    </row>
    <row r="250" spans="1:29" ht="302.25" x14ac:dyDescent="0.25">
      <c r="A250" s="27" t="s">
        <v>691</v>
      </c>
      <c r="B250" s="28" t="s">
        <v>692</v>
      </c>
      <c r="C250" s="29" t="s">
        <v>28</v>
      </c>
      <c r="D250" s="29" t="s">
        <v>676</v>
      </c>
      <c r="E250" s="30">
        <f t="shared" si="185"/>
        <v>0</v>
      </c>
      <c r="F250" s="30">
        <f t="shared" si="185"/>
        <v>0</v>
      </c>
      <c r="G250" s="30">
        <f t="shared" si="185"/>
        <v>0</v>
      </c>
      <c r="H250" s="30">
        <f t="shared" si="185"/>
        <v>0</v>
      </c>
      <c r="I250" s="30">
        <f t="shared" si="185"/>
        <v>0</v>
      </c>
      <c r="J250" s="30">
        <f t="shared" si="185"/>
        <v>0</v>
      </c>
      <c r="K250" s="30">
        <f t="shared" si="185"/>
        <v>0</v>
      </c>
      <c r="L250" s="30">
        <f t="shared" si="185"/>
        <v>0</v>
      </c>
      <c r="M250" s="30">
        <f t="shared" si="185"/>
        <v>0</v>
      </c>
      <c r="N250" s="30">
        <f t="shared" si="185"/>
        <v>0</v>
      </c>
      <c r="O250" s="30">
        <f t="shared" si="186"/>
        <v>0</v>
      </c>
      <c r="P250" s="30">
        <f t="shared" si="186"/>
        <v>0</v>
      </c>
      <c r="Q250" s="30">
        <f t="shared" si="186"/>
        <v>0</v>
      </c>
      <c r="R250" s="30">
        <f t="shared" si="186"/>
        <v>0</v>
      </c>
      <c r="S250" s="30">
        <f t="shared" si="186"/>
        <v>0</v>
      </c>
      <c r="T250" s="30">
        <f t="shared" si="186"/>
        <v>0</v>
      </c>
      <c r="U250" s="30">
        <f t="shared" si="186"/>
        <v>0</v>
      </c>
      <c r="V250" s="30">
        <f t="shared" si="186"/>
        <v>0</v>
      </c>
      <c r="W250" s="30">
        <f t="shared" si="186"/>
        <v>0</v>
      </c>
      <c r="X250" s="30">
        <f t="shared" si="186"/>
        <v>0</v>
      </c>
      <c r="Y250" s="29" t="s">
        <v>693</v>
      </c>
      <c r="Z250" s="31" t="s">
        <v>40</v>
      </c>
      <c r="AA250" s="32" t="s">
        <v>267</v>
      </c>
      <c r="AB250" s="32" t="s">
        <v>690</v>
      </c>
      <c r="AC250" s="33" t="s">
        <v>694</v>
      </c>
    </row>
    <row r="251" spans="1:29" ht="46.5" x14ac:dyDescent="0.25">
      <c r="A251" s="34" t="s">
        <v>695</v>
      </c>
      <c r="B251" s="35" t="s">
        <v>696</v>
      </c>
      <c r="C251" s="36"/>
      <c r="D251" s="36"/>
      <c r="E251" s="37">
        <v>0</v>
      </c>
      <c r="F251" s="37">
        <v>0</v>
      </c>
      <c r="G251" s="37">
        <v>0</v>
      </c>
      <c r="H251" s="37">
        <v>0</v>
      </c>
      <c r="I251" s="37">
        <v>0</v>
      </c>
      <c r="J251" s="37">
        <v>0</v>
      </c>
      <c r="K251" s="37">
        <v>0</v>
      </c>
      <c r="L251" s="37">
        <v>0</v>
      </c>
      <c r="M251" s="37">
        <v>0</v>
      </c>
      <c r="N251" s="37">
        <v>0</v>
      </c>
      <c r="O251" s="37">
        <v>0</v>
      </c>
      <c r="P251" s="37">
        <v>0</v>
      </c>
      <c r="Q251" s="37">
        <v>0</v>
      </c>
      <c r="R251" s="37">
        <v>0</v>
      </c>
      <c r="S251" s="37">
        <v>0</v>
      </c>
      <c r="T251" s="37">
        <v>0</v>
      </c>
      <c r="U251" s="37">
        <v>0</v>
      </c>
      <c r="V251" s="37">
        <v>0</v>
      </c>
      <c r="W251" s="37">
        <v>0</v>
      </c>
      <c r="X251" s="37">
        <v>0</v>
      </c>
      <c r="Y251" s="36"/>
      <c r="Z251" s="38"/>
      <c r="AA251" s="39"/>
      <c r="AB251" s="39"/>
      <c r="AC251" s="40"/>
    </row>
    <row r="252" spans="1:29" ht="112.5" x14ac:dyDescent="0.25">
      <c r="A252" s="13" t="s">
        <v>697</v>
      </c>
      <c r="B252" s="14" t="s">
        <v>698</v>
      </c>
      <c r="C252" s="15"/>
      <c r="D252" s="15" t="s">
        <v>699</v>
      </c>
      <c r="E252" s="16">
        <f t="shared" ref="E252:X252" si="187">E253+E262</f>
        <v>156874</v>
      </c>
      <c r="F252" s="16">
        <f t="shared" si="187"/>
        <v>104874</v>
      </c>
      <c r="G252" s="16">
        <f t="shared" si="187"/>
        <v>0</v>
      </c>
      <c r="H252" s="16">
        <f t="shared" si="187"/>
        <v>0</v>
      </c>
      <c r="I252" s="16">
        <f t="shared" si="187"/>
        <v>0</v>
      </c>
      <c r="J252" s="16">
        <f t="shared" si="187"/>
        <v>0</v>
      </c>
      <c r="K252" s="16">
        <f t="shared" si="187"/>
        <v>0</v>
      </c>
      <c r="L252" s="16">
        <f t="shared" si="187"/>
        <v>52000</v>
      </c>
      <c r="M252" s="16">
        <f t="shared" si="187"/>
        <v>0</v>
      </c>
      <c r="N252" s="16">
        <f t="shared" si="187"/>
        <v>0</v>
      </c>
      <c r="O252" s="16">
        <f t="shared" si="187"/>
        <v>103782.84</v>
      </c>
      <c r="P252" s="16">
        <f t="shared" si="187"/>
        <v>103782.84</v>
      </c>
      <c r="Q252" s="16">
        <f t="shared" si="187"/>
        <v>0</v>
      </c>
      <c r="R252" s="16">
        <f t="shared" si="187"/>
        <v>0</v>
      </c>
      <c r="S252" s="16">
        <f t="shared" si="187"/>
        <v>0</v>
      </c>
      <c r="T252" s="16">
        <f t="shared" si="187"/>
        <v>0</v>
      </c>
      <c r="U252" s="16">
        <f t="shared" si="187"/>
        <v>0</v>
      </c>
      <c r="V252" s="16">
        <f t="shared" si="187"/>
        <v>0</v>
      </c>
      <c r="W252" s="16">
        <f t="shared" si="187"/>
        <v>0</v>
      </c>
      <c r="X252" s="16">
        <f t="shared" si="187"/>
        <v>0</v>
      </c>
      <c r="Y252" s="15" t="s">
        <v>700</v>
      </c>
      <c r="Z252" s="17" t="s">
        <v>34</v>
      </c>
      <c r="AA252" s="18" t="s">
        <v>701</v>
      </c>
      <c r="AB252" s="18" t="s">
        <v>701</v>
      </c>
      <c r="AC252" s="19"/>
    </row>
    <row r="253" spans="1:29" ht="90" x14ac:dyDescent="0.25">
      <c r="A253" s="20" t="s">
        <v>702</v>
      </c>
      <c r="B253" s="21" t="s">
        <v>703</v>
      </c>
      <c r="C253" s="22" t="s">
        <v>28</v>
      </c>
      <c r="D253" s="22" t="s">
        <v>699</v>
      </c>
      <c r="E253" s="23">
        <f t="shared" ref="E253:X253" si="188">E254+E258+E260</f>
        <v>127304</v>
      </c>
      <c r="F253" s="23">
        <f t="shared" si="188"/>
        <v>75304</v>
      </c>
      <c r="G253" s="23">
        <f t="shared" si="188"/>
        <v>0</v>
      </c>
      <c r="H253" s="23">
        <f t="shared" si="188"/>
        <v>0</v>
      </c>
      <c r="I253" s="23">
        <f t="shared" si="188"/>
        <v>0</v>
      </c>
      <c r="J253" s="23">
        <f t="shared" si="188"/>
        <v>0</v>
      </c>
      <c r="K253" s="23">
        <f t="shared" si="188"/>
        <v>0</v>
      </c>
      <c r="L253" s="23">
        <f t="shared" si="188"/>
        <v>52000</v>
      </c>
      <c r="M253" s="23">
        <f t="shared" si="188"/>
        <v>0</v>
      </c>
      <c r="N253" s="23">
        <f t="shared" si="188"/>
        <v>0</v>
      </c>
      <c r="O253" s="23">
        <f t="shared" si="188"/>
        <v>74213.8</v>
      </c>
      <c r="P253" s="23">
        <f t="shared" si="188"/>
        <v>74213.8</v>
      </c>
      <c r="Q253" s="23">
        <f t="shared" si="188"/>
        <v>0</v>
      </c>
      <c r="R253" s="23">
        <f t="shared" si="188"/>
        <v>0</v>
      </c>
      <c r="S253" s="23">
        <f t="shared" si="188"/>
        <v>0</v>
      </c>
      <c r="T253" s="23">
        <f t="shared" si="188"/>
        <v>0</v>
      </c>
      <c r="U253" s="23">
        <f t="shared" si="188"/>
        <v>0</v>
      </c>
      <c r="V253" s="23">
        <f t="shared" si="188"/>
        <v>0</v>
      </c>
      <c r="W253" s="23">
        <f t="shared" si="188"/>
        <v>0</v>
      </c>
      <c r="X253" s="23">
        <f t="shared" si="188"/>
        <v>0</v>
      </c>
      <c r="Y253" s="22" t="s">
        <v>704</v>
      </c>
      <c r="Z253" s="24" t="s">
        <v>40</v>
      </c>
      <c r="AA253" s="25" t="s">
        <v>701</v>
      </c>
      <c r="AB253" s="25" t="s">
        <v>701</v>
      </c>
      <c r="AC253" s="26"/>
    </row>
    <row r="254" spans="1:29" ht="116.25" x14ac:dyDescent="0.25">
      <c r="A254" s="27" t="s">
        <v>705</v>
      </c>
      <c r="B254" s="28" t="s">
        <v>706</v>
      </c>
      <c r="C254" s="29" t="s">
        <v>28</v>
      </c>
      <c r="D254" s="29" t="s">
        <v>699</v>
      </c>
      <c r="E254" s="30">
        <f>SUM(E255:E257)+83516</f>
        <v>83516</v>
      </c>
      <c r="F254" s="30">
        <f>SUM(F255:F257)+31516</f>
        <v>31516</v>
      </c>
      <c r="G254" s="30">
        <f>SUM(G255:G257)</f>
        <v>0</v>
      </c>
      <c r="H254" s="30">
        <f>SUM(H255:H257)</f>
        <v>0</v>
      </c>
      <c r="I254" s="30">
        <f>SUM(I255:I257)</f>
        <v>0</v>
      </c>
      <c r="J254" s="30">
        <f>SUM(J255:J257)</f>
        <v>0</v>
      </c>
      <c r="K254" s="30">
        <f>SUM(K255:K257)</f>
        <v>0</v>
      </c>
      <c r="L254" s="30">
        <f>SUM(L255:L257)+52000</f>
        <v>52000</v>
      </c>
      <c r="M254" s="30">
        <f>SUM(M255:M257)</f>
        <v>0</v>
      </c>
      <c r="N254" s="30">
        <f>SUM(N255:N257)</f>
        <v>0</v>
      </c>
      <c r="O254" s="30">
        <f>SUM(O255:O257)+30426.39</f>
        <v>30426.39</v>
      </c>
      <c r="P254" s="30">
        <f>SUM(P255:P257)+30426.39</f>
        <v>30426.39</v>
      </c>
      <c r="Q254" s="30">
        <f t="shared" ref="Q254:X254" si="189">SUM(Q255:Q257)</f>
        <v>0</v>
      </c>
      <c r="R254" s="30">
        <f t="shared" si="189"/>
        <v>0</v>
      </c>
      <c r="S254" s="30">
        <f t="shared" si="189"/>
        <v>0</v>
      </c>
      <c r="T254" s="30">
        <f t="shared" si="189"/>
        <v>0</v>
      </c>
      <c r="U254" s="30">
        <f t="shared" si="189"/>
        <v>0</v>
      </c>
      <c r="V254" s="30">
        <f t="shared" si="189"/>
        <v>0</v>
      </c>
      <c r="W254" s="30">
        <f t="shared" si="189"/>
        <v>0</v>
      </c>
      <c r="X254" s="30">
        <f t="shared" si="189"/>
        <v>0</v>
      </c>
      <c r="Y254" s="29" t="s">
        <v>707</v>
      </c>
      <c r="Z254" s="31" t="s">
        <v>40</v>
      </c>
      <c r="AA254" s="32" t="s">
        <v>54</v>
      </c>
      <c r="AB254" s="32" t="s">
        <v>47</v>
      </c>
      <c r="AC254" s="33" t="s">
        <v>708</v>
      </c>
    </row>
    <row r="255" spans="1:29" ht="46.5" x14ac:dyDescent="0.25">
      <c r="A255" s="41"/>
      <c r="B255" s="42"/>
      <c r="C255" s="43"/>
      <c r="D255" s="43"/>
      <c r="E255" s="44">
        <v>0</v>
      </c>
      <c r="F255" s="44">
        <v>0</v>
      </c>
      <c r="G255" s="44">
        <v>0</v>
      </c>
      <c r="H255" s="44">
        <v>0</v>
      </c>
      <c r="I255" s="44">
        <v>0</v>
      </c>
      <c r="J255" s="44">
        <v>0</v>
      </c>
      <c r="K255" s="44">
        <v>0</v>
      </c>
      <c r="L255" s="44">
        <v>0</v>
      </c>
      <c r="M255" s="44">
        <v>0</v>
      </c>
      <c r="N255" s="44">
        <v>0</v>
      </c>
      <c r="O255" s="44">
        <v>0</v>
      </c>
      <c r="P255" s="44">
        <v>0</v>
      </c>
      <c r="Q255" s="44">
        <v>0</v>
      </c>
      <c r="R255" s="44">
        <v>0</v>
      </c>
      <c r="S255" s="44">
        <v>0</v>
      </c>
      <c r="T255" s="44">
        <v>0</v>
      </c>
      <c r="U255" s="44">
        <v>0</v>
      </c>
      <c r="V255" s="44">
        <v>0</v>
      </c>
      <c r="W255" s="44">
        <v>0</v>
      </c>
      <c r="X255" s="44">
        <v>0</v>
      </c>
      <c r="Y255" s="43" t="s">
        <v>709</v>
      </c>
      <c r="Z255" s="45" t="s">
        <v>40</v>
      </c>
      <c r="AA255" s="46" t="s">
        <v>54</v>
      </c>
      <c r="AB255" s="46" t="s">
        <v>54</v>
      </c>
      <c r="AC255" s="47"/>
    </row>
    <row r="256" spans="1:29" x14ac:dyDescent="0.25">
      <c r="A256" s="34" t="s">
        <v>710</v>
      </c>
      <c r="B256" s="35" t="s">
        <v>711</v>
      </c>
      <c r="C256" s="36"/>
      <c r="D256" s="36"/>
      <c r="E256" s="37">
        <v>0</v>
      </c>
      <c r="F256" s="37">
        <v>0</v>
      </c>
      <c r="G256" s="37">
        <v>0</v>
      </c>
      <c r="H256" s="37">
        <v>0</v>
      </c>
      <c r="I256" s="37">
        <v>0</v>
      </c>
      <c r="J256" s="37">
        <v>0</v>
      </c>
      <c r="K256" s="37">
        <v>0</v>
      </c>
      <c r="L256" s="37">
        <v>0</v>
      </c>
      <c r="M256" s="37">
        <v>0</v>
      </c>
      <c r="N256" s="37">
        <v>0</v>
      </c>
      <c r="O256" s="37">
        <v>0</v>
      </c>
      <c r="P256" s="37">
        <v>0</v>
      </c>
      <c r="Q256" s="37">
        <v>0</v>
      </c>
      <c r="R256" s="37">
        <v>0</v>
      </c>
      <c r="S256" s="37">
        <v>0</v>
      </c>
      <c r="T256" s="37">
        <v>0</v>
      </c>
      <c r="U256" s="37">
        <v>0</v>
      </c>
      <c r="V256" s="37">
        <v>0</v>
      </c>
      <c r="W256" s="37">
        <v>0</v>
      </c>
      <c r="X256" s="37">
        <v>0</v>
      </c>
      <c r="Y256" s="36"/>
      <c r="Z256" s="38"/>
      <c r="AA256" s="39"/>
      <c r="AB256" s="39"/>
      <c r="AC256" s="40"/>
    </row>
    <row r="257" spans="1:29" ht="69.75" x14ac:dyDescent="0.25">
      <c r="A257" s="34" t="s">
        <v>712</v>
      </c>
      <c r="B257" s="35" t="s">
        <v>713</v>
      </c>
      <c r="C257" s="36"/>
      <c r="D257" s="36"/>
      <c r="E257" s="37">
        <v>0</v>
      </c>
      <c r="F257" s="37">
        <v>0</v>
      </c>
      <c r="G257" s="37">
        <v>0</v>
      </c>
      <c r="H257" s="37">
        <v>0</v>
      </c>
      <c r="I257" s="37">
        <v>0</v>
      </c>
      <c r="J257" s="37">
        <v>0</v>
      </c>
      <c r="K257" s="37">
        <v>0</v>
      </c>
      <c r="L257" s="37">
        <v>0</v>
      </c>
      <c r="M257" s="37">
        <v>0</v>
      </c>
      <c r="N257" s="37">
        <v>0</v>
      </c>
      <c r="O257" s="37">
        <v>0</v>
      </c>
      <c r="P257" s="37">
        <v>0</v>
      </c>
      <c r="Q257" s="37">
        <v>0</v>
      </c>
      <c r="R257" s="37">
        <v>0</v>
      </c>
      <c r="S257" s="37">
        <v>0</v>
      </c>
      <c r="T257" s="37">
        <v>0</v>
      </c>
      <c r="U257" s="37">
        <v>0</v>
      </c>
      <c r="V257" s="37">
        <v>0</v>
      </c>
      <c r="W257" s="37">
        <v>0</v>
      </c>
      <c r="X257" s="37">
        <v>0</v>
      </c>
      <c r="Y257" s="36"/>
      <c r="Z257" s="38"/>
      <c r="AA257" s="39"/>
      <c r="AB257" s="39"/>
      <c r="AC257" s="40"/>
    </row>
    <row r="258" spans="1:29" ht="139.5" x14ac:dyDescent="0.25">
      <c r="A258" s="27" t="s">
        <v>714</v>
      </c>
      <c r="B258" s="28" t="s">
        <v>715</v>
      </c>
      <c r="C258" s="29" t="s">
        <v>28</v>
      </c>
      <c r="D258" s="29" t="s">
        <v>699</v>
      </c>
      <c r="E258" s="30">
        <f>SUM(E259:E259)+32670</f>
        <v>32670</v>
      </c>
      <c r="F258" s="30">
        <f>SUM(F259:F259)+32670</f>
        <v>32670</v>
      </c>
      <c r="G258" s="30">
        <f t="shared" ref="G258:N258" si="190">SUM(G259:G259)</f>
        <v>0</v>
      </c>
      <c r="H258" s="30">
        <f t="shared" si="190"/>
        <v>0</v>
      </c>
      <c r="I258" s="30">
        <f t="shared" si="190"/>
        <v>0</v>
      </c>
      <c r="J258" s="30">
        <f t="shared" si="190"/>
        <v>0</v>
      </c>
      <c r="K258" s="30">
        <f t="shared" si="190"/>
        <v>0</v>
      </c>
      <c r="L258" s="30">
        <f t="shared" si="190"/>
        <v>0</v>
      </c>
      <c r="M258" s="30">
        <f t="shared" si="190"/>
        <v>0</v>
      </c>
      <c r="N258" s="30">
        <f t="shared" si="190"/>
        <v>0</v>
      </c>
      <c r="O258" s="30">
        <f>SUM(O259:O259)+32670</f>
        <v>32670</v>
      </c>
      <c r="P258" s="30">
        <f>SUM(P259:P259)+32670</f>
        <v>32670</v>
      </c>
      <c r="Q258" s="30">
        <f t="shared" ref="Q258:X258" si="191">SUM(Q259:Q259)</f>
        <v>0</v>
      </c>
      <c r="R258" s="30">
        <f t="shared" si="191"/>
        <v>0</v>
      </c>
      <c r="S258" s="30">
        <f t="shared" si="191"/>
        <v>0</v>
      </c>
      <c r="T258" s="30">
        <f t="shared" si="191"/>
        <v>0</v>
      </c>
      <c r="U258" s="30">
        <f t="shared" si="191"/>
        <v>0</v>
      </c>
      <c r="V258" s="30">
        <f t="shared" si="191"/>
        <v>0</v>
      </c>
      <c r="W258" s="30">
        <f t="shared" si="191"/>
        <v>0</v>
      </c>
      <c r="X258" s="30">
        <f t="shared" si="191"/>
        <v>0</v>
      </c>
      <c r="Y258" s="29" t="s">
        <v>716</v>
      </c>
      <c r="Z258" s="31" t="s">
        <v>40</v>
      </c>
      <c r="AA258" s="32" t="s">
        <v>54</v>
      </c>
      <c r="AB258" s="32" t="s">
        <v>54</v>
      </c>
      <c r="AC258" s="33" t="s">
        <v>717</v>
      </c>
    </row>
    <row r="259" spans="1:29" ht="46.5" x14ac:dyDescent="0.25">
      <c r="A259" s="34" t="s">
        <v>718</v>
      </c>
      <c r="B259" s="35" t="s">
        <v>719</v>
      </c>
      <c r="C259" s="36"/>
      <c r="D259" s="36"/>
      <c r="E259" s="37">
        <v>0</v>
      </c>
      <c r="F259" s="37">
        <v>0</v>
      </c>
      <c r="G259" s="37">
        <v>0</v>
      </c>
      <c r="H259" s="37">
        <v>0</v>
      </c>
      <c r="I259" s="37">
        <v>0</v>
      </c>
      <c r="J259" s="37">
        <v>0</v>
      </c>
      <c r="K259" s="37">
        <v>0</v>
      </c>
      <c r="L259" s="37">
        <v>0</v>
      </c>
      <c r="M259" s="37">
        <v>0</v>
      </c>
      <c r="N259" s="37">
        <v>0</v>
      </c>
      <c r="O259" s="37">
        <v>0</v>
      </c>
      <c r="P259" s="37">
        <v>0</v>
      </c>
      <c r="Q259" s="37">
        <v>0</v>
      </c>
      <c r="R259" s="37">
        <v>0</v>
      </c>
      <c r="S259" s="37">
        <v>0</v>
      </c>
      <c r="T259" s="37">
        <v>0</v>
      </c>
      <c r="U259" s="37">
        <v>0</v>
      </c>
      <c r="V259" s="37">
        <v>0</v>
      </c>
      <c r="W259" s="37">
        <v>0</v>
      </c>
      <c r="X259" s="37">
        <v>0</v>
      </c>
      <c r="Y259" s="36"/>
      <c r="Z259" s="38"/>
      <c r="AA259" s="39"/>
      <c r="AB259" s="39"/>
      <c r="AC259" s="40"/>
    </row>
    <row r="260" spans="1:29" ht="116.25" x14ac:dyDescent="0.25">
      <c r="A260" s="27" t="s">
        <v>720</v>
      </c>
      <c r="B260" s="28" t="s">
        <v>721</v>
      </c>
      <c r="C260" s="29" t="s">
        <v>28</v>
      </c>
      <c r="D260" s="29" t="s">
        <v>699</v>
      </c>
      <c r="E260" s="30">
        <f>SUM(E261:E261)+11118</f>
        <v>11118</v>
      </c>
      <c r="F260" s="30">
        <f>SUM(F261:F261)+11118</f>
        <v>11118</v>
      </c>
      <c r="G260" s="30">
        <f t="shared" ref="G260:N260" si="192">SUM(G261:G261)</f>
        <v>0</v>
      </c>
      <c r="H260" s="30">
        <f t="shared" si="192"/>
        <v>0</v>
      </c>
      <c r="I260" s="30">
        <f t="shared" si="192"/>
        <v>0</v>
      </c>
      <c r="J260" s="30">
        <f t="shared" si="192"/>
        <v>0</v>
      </c>
      <c r="K260" s="30">
        <f t="shared" si="192"/>
        <v>0</v>
      </c>
      <c r="L260" s="30">
        <f t="shared" si="192"/>
        <v>0</v>
      </c>
      <c r="M260" s="30">
        <f t="shared" si="192"/>
        <v>0</v>
      </c>
      <c r="N260" s="30">
        <f t="shared" si="192"/>
        <v>0</v>
      </c>
      <c r="O260" s="30">
        <f>SUM(O261:O261)+11117.41</f>
        <v>11117.41</v>
      </c>
      <c r="P260" s="30">
        <f>SUM(P261:P261)+11117.41</f>
        <v>11117.41</v>
      </c>
      <c r="Q260" s="30">
        <f t="shared" ref="Q260:X260" si="193">SUM(Q261:Q261)</f>
        <v>0</v>
      </c>
      <c r="R260" s="30">
        <f t="shared" si="193"/>
        <v>0</v>
      </c>
      <c r="S260" s="30">
        <f t="shared" si="193"/>
        <v>0</v>
      </c>
      <c r="T260" s="30">
        <f t="shared" si="193"/>
        <v>0</v>
      </c>
      <c r="U260" s="30">
        <f t="shared" si="193"/>
        <v>0</v>
      </c>
      <c r="V260" s="30">
        <f t="shared" si="193"/>
        <v>0</v>
      </c>
      <c r="W260" s="30">
        <f t="shared" si="193"/>
        <v>0</v>
      </c>
      <c r="X260" s="30">
        <f t="shared" si="193"/>
        <v>0</v>
      </c>
      <c r="Y260" s="29" t="s">
        <v>722</v>
      </c>
      <c r="Z260" s="31" t="s">
        <v>40</v>
      </c>
      <c r="AA260" s="32" t="s">
        <v>70</v>
      </c>
      <c r="AB260" s="32" t="s">
        <v>70</v>
      </c>
      <c r="AC260" s="33" t="s">
        <v>723</v>
      </c>
    </row>
    <row r="261" spans="1:29" ht="46.5" x14ac:dyDescent="0.25">
      <c r="A261" s="34" t="s">
        <v>724</v>
      </c>
      <c r="B261" s="35" t="s">
        <v>725</v>
      </c>
      <c r="C261" s="36"/>
      <c r="D261" s="36"/>
      <c r="E261" s="37">
        <v>0</v>
      </c>
      <c r="F261" s="37">
        <v>0</v>
      </c>
      <c r="G261" s="37">
        <v>0</v>
      </c>
      <c r="H261" s="37">
        <v>0</v>
      </c>
      <c r="I261" s="37">
        <v>0</v>
      </c>
      <c r="J261" s="37">
        <v>0</v>
      </c>
      <c r="K261" s="37">
        <v>0</v>
      </c>
      <c r="L261" s="37">
        <v>0</v>
      </c>
      <c r="M261" s="37">
        <v>0</v>
      </c>
      <c r="N261" s="37">
        <v>0</v>
      </c>
      <c r="O261" s="37">
        <v>0</v>
      </c>
      <c r="P261" s="37">
        <v>0</v>
      </c>
      <c r="Q261" s="37">
        <v>0</v>
      </c>
      <c r="R261" s="37">
        <v>0</v>
      </c>
      <c r="S261" s="37">
        <v>0</v>
      </c>
      <c r="T261" s="37">
        <v>0</v>
      </c>
      <c r="U261" s="37">
        <v>0</v>
      </c>
      <c r="V261" s="37">
        <v>0</v>
      </c>
      <c r="W261" s="37">
        <v>0</v>
      </c>
      <c r="X261" s="37">
        <v>0</v>
      </c>
      <c r="Y261" s="36"/>
      <c r="Z261" s="38"/>
      <c r="AA261" s="39"/>
      <c r="AB261" s="39"/>
      <c r="AC261" s="40"/>
    </row>
    <row r="262" spans="1:29" ht="67.5" x14ac:dyDescent="0.25">
      <c r="A262" s="20" t="s">
        <v>726</v>
      </c>
      <c r="B262" s="21" t="s">
        <v>727</v>
      </c>
      <c r="C262" s="22" t="s">
        <v>28</v>
      </c>
      <c r="D262" s="22" t="s">
        <v>699</v>
      </c>
      <c r="E262" s="23">
        <f t="shared" ref="E262:X262" si="194">SUM(E263:E263)</f>
        <v>29570</v>
      </c>
      <c r="F262" s="23">
        <f t="shared" si="194"/>
        <v>29570</v>
      </c>
      <c r="G262" s="23">
        <f t="shared" si="194"/>
        <v>0</v>
      </c>
      <c r="H262" s="23">
        <f t="shared" si="194"/>
        <v>0</v>
      </c>
      <c r="I262" s="23">
        <f t="shared" si="194"/>
        <v>0</v>
      </c>
      <c r="J262" s="23">
        <f t="shared" si="194"/>
        <v>0</v>
      </c>
      <c r="K262" s="23">
        <f t="shared" si="194"/>
        <v>0</v>
      </c>
      <c r="L262" s="23">
        <f t="shared" si="194"/>
        <v>0</v>
      </c>
      <c r="M262" s="23">
        <f t="shared" si="194"/>
        <v>0</v>
      </c>
      <c r="N262" s="23">
        <f t="shared" si="194"/>
        <v>0</v>
      </c>
      <c r="O262" s="23">
        <f t="shared" si="194"/>
        <v>29569.040000000001</v>
      </c>
      <c r="P262" s="23">
        <f t="shared" si="194"/>
        <v>29569.040000000001</v>
      </c>
      <c r="Q262" s="23">
        <f t="shared" si="194"/>
        <v>0</v>
      </c>
      <c r="R262" s="23">
        <f t="shared" si="194"/>
        <v>0</v>
      </c>
      <c r="S262" s="23">
        <f t="shared" si="194"/>
        <v>0</v>
      </c>
      <c r="T262" s="23">
        <f t="shared" si="194"/>
        <v>0</v>
      </c>
      <c r="U262" s="23">
        <f t="shared" si="194"/>
        <v>0</v>
      </c>
      <c r="V262" s="23">
        <f t="shared" si="194"/>
        <v>0</v>
      </c>
      <c r="W262" s="23">
        <f t="shared" si="194"/>
        <v>0</v>
      </c>
      <c r="X262" s="23">
        <f t="shared" si="194"/>
        <v>0</v>
      </c>
      <c r="Y262" s="22" t="s">
        <v>728</v>
      </c>
      <c r="Z262" s="24" t="s">
        <v>40</v>
      </c>
      <c r="AA262" s="25" t="s">
        <v>54</v>
      </c>
      <c r="AB262" s="25" t="s">
        <v>54</v>
      </c>
      <c r="AC262" s="26"/>
    </row>
    <row r="263" spans="1:29" ht="69.75" x14ac:dyDescent="0.25">
      <c r="A263" s="27" t="s">
        <v>729</v>
      </c>
      <c r="B263" s="28" t="s">
        <v>730</v>
      </c>
      <c r="C263" s="29" t="s">
        <v>28</v>
      </c>
      <c r="D263" s="29" t="s">
        <v>699</v>
      </c>
      <c r="E263" s="30">
        <f>SUM(E264:E265)+29570</f>
        <v>29570</v>
      </c>
      <c r="F263" s="30">
        <f>SUM(F264:F265)+29570</f>
        <v>29570</v>
      </c>
      <c r="G263" s="30">
        <f t="shared" ref="G263:N263" si="195">SUM(G264:G265)</f>
        <v>0</v>
      </c>
      <c r="H263" s="30">
        <f t="shared" si="195"/>
        <v>0</v>
      </c>
      <c r="I263" s="30">
        <f t="shared" si="195"/>
        <v>0</v>
      </c>
      <c r="J263" s="30">
        <f t="shared" si="195"/>
        <v>0</v>
      </c>
      <c r="K263" s="30">
        <f t="shared" si="195"/>
        <v>0</v>
      </c>
      <c r="L263" s="30">
        <f t="shared" si="195"/>
        <v>0</v>
      </c>
      <c r="M263" s="30">
        <f t="shared" si="195"/>
        <v>0</v>
      </c>
      <c r="N263" s="30">
        <f t="shared" si="195"/>
        <v>0</v>
      </c>
      <c r="O263" s="30">
        <f>SUM(O264:O265)+29569.04</f>
        <v>29569.040000000001</v>
      </c>
      <c r="P263" s="30">
        <f>SUM(P264:P265)+29569.04</f>
        <v>29569.040000000001</v>
      </c>
      <c r="Q263" s="30">
        <f t="shared" ref="Q263:X263" si="196">SUM(Q264:Q265)</f>
        <v>0</v>
      </c>
      <c r="R263" s="30">
        <f t="shared" si="196"/>
        <v>0</v>
      </c>
      <c r="S263" s="30">
        <f t="shared" si="196"/>
        <v>0</v>
      </c>
      <c r="T263" s="30">
        <f t="shared" si="196"/>
        <v>0</v>
      </c>
      <c r="U263" s="30">
        <f t="shared" si="196"/>
        <v>0</v>
      </c>
      <c r="V263" s="30">
        <f t="shared" si="196"/>
        <v>0</v>
      </c>
      <c r="W263" s="30">
        <f t="shared" si="196"/>
        <v>0</v>
      </c>
      <c r="X263" s="30">
        <f t="shared" si="196"/>
        <v>0</v>
      </c>
      <c r="Y263" s="29" t="s">
        <v>731</v>
      </c>
      <c r="Z263" s="31" t="s">
        <v>40</v>
      </c>
      <c r="AA263" s="32" t="s">
        <v>41</v>
      </c>
      <c r="AB263" s="32" t="s">
        <v>41</v>
      </c>
      <c r="AC263" s="33"/>
    </row>
    <row r="264" spans="1:29" x14ac:dyDescent="0.25">
      <c r="A264" s="41"/>
      <c r="B264" s="42"/>
      <c r="C264" s="43"/>
      <c r="D264" s="43"/>
      <c r="E264" s="44">
        <v>0</v>
      </c>
      <c r="F264" s="44">
        <v>0</v>
      </c>
      <c r="G264" s="44">
        <v>0</v>
      </c>
      <c r="H264" s="44">
        <v>0</v>
      </c>
      <c r="I264" s="44">
        <v>0</v>
      </c>
      <c r="J264" s="44">
        <v>0</v>
      </c>
      <c r="K264" s="44">
        <v>0</v>
      </c>
      <c r="L264" s="44">
        <v>0</v>
      </c>
      <c r="M264" s="44">
        <v>0</v>
      </c>
      <c r="N264" s="44">
        <v>0</v>
      </c>
      <c r="O264" s="44">
        <v>0</v>
      </c>
      <c r="P264" s="44">
        <v>0</v>
      </c>
      <c r="Q264" s="44">
        <v>0</v>
      </c>
      <c r="R264" s="44">
        <v>0</v>
      </c>
      <c r="S264" s="44">
        <v>0</v>
      </c>
      <c r="T264" s="44">
        <v>0</v>
      </c>
      <c r="U264" s="44">
        <v>0</v>
      </c>
      <c r="V264" s="44">
        <v>0</v>
      </c>
      <c r="W264" s="44">
        <v>0</v>
      </c>
      <c r="X264" s="44">
        <v>0</v>
      </c>
      <c r="Y264" s="43" t="s">
        <v>732</v>
      </c>
      <c r="Z264" s="45" t="s">
        <v>40</v>
      </c>
      <c r="AA264" s="46" t="s">
        <v>70</v>
      </c>
      <c r="AB264" s="46" t="s">
        <v>70</v>
      </c>
      <c r="AC264" s="47"/>
    </row>
    <row r="265" spans="1:29" ht="46.5" x14ac:dyDescent="0.25">
      <c r="A265" s="34" t="s">
        <v>733</v>
      </c>
      <c r="B265" s="35" t="s">
        <v>734</v>
      </c>
      <c r="C265" s="36"/>
      <c r="D265" s="36"/>
      <c r="E265" s="37">
        <v>0</v>
      </c>
      <c r="F265" s="37">
        <v>0</v>
      </c>
      <c r="G265" s="37">
        <v>0</v>
      </c>
      <c r="H265" s="37">
        <v>0</v>
      </c>
      <c r="I265" s="37">
        <v>0</v>
      </c>
      <c r="J265" s="37">
        <v>0</v>
      </c>
      <c r="K265" s="37">
        <v>0</v>
      </c>
      <c r="L265" s="37">
        <v>0</v>
      </c>
      <c r="M265" s="37">
        <v>0</v>
      </c>
      <c r="N265" s="37">
        <v>0</v>
      </c>
      <c r="O265" s="37">
        <v>0</v>
      </c>
      <c r="P265" s="37">
        <v>0</v>
      </c>
      <c r="Q265" s="37">
        <v>0</v>
      </c>
      <c r="R265" s="37">
        <v>0</v>
      </c>
      <c r="S265" s="37">
        <v>0</v>
      </c>
      <c r="T265" s="37">
        <v>0</v>
      </c>
      <c r="U265" s="37">
        <v>0</v>
      </c>
      <c r="V265" s="37">
        <v>0</v>
      </c>
      <c r="W265" s="37">
        <v>0</v>
      </c>
      <c r="X265" s="37">
        <v>0</v>
      </c>
      <c r="Y265" s="36"/>
      <c r="Z265" s="38"/>
      <c r="AA265" s="39"/>
      <c r="AB265" s="39"/>
      <c r="AC265" s="40"/>
    </row>
    <row r="266" spans="1:29" ht="67.5" x14ac:dyDescent="0.25">
      <c r="A266" s="13" t="s">
        <v>735</v>
      </c>
      <c r="B266" s="14" t="s">
        <v>736</v>
      </c>
      <c r="C266" s="15"/>
      <c r="D266" s="15" t="s">
        <v>737</v>
      </c>
      <c r="E266" s="16">
        <f t="shared" ref="E266:X266" si="197">E267+E276</f>
        <v>42828.2</v>
      </c>
      <c r="F266" s="16">
        <f t="shared" si="197"/>
        <v>42828.2</v>
      </c>
      <c r="G266" s="16">
        <f t="shared" si="197"/>
        <v>0</v>
      </c>
      <c r="H266" s="16">
        <f t="shared" si="197"/>
        <v>0</v>
      </c>
      <c r="I266" s="16">
        <f t="shared" si="197"/>
        <v>0</v>
      </c>
      <c r="J266" s="16">
        <f t="shared" si="197"/>
        <v>0</v>
      </c>
      <c r="K266" s="16">
        <f t="shared" si="197"/>
        <v>0</v>
      </c>
      <c r="L266" s="16">
        <f t="shared" si="197"/>
        <v>0</v>
      </c>
      <c r="M266" s="16">
        <f t="shared" si="197"/>
        <v>0</v>
      </c>
      <c r="N266" s="16">
        <f t="shared" si="197"/>
        <v>0</v>
      </c>
      <c r="O266" s="16">
        <f t="shared" si="197"/>
        <v>42819.81</v>
      </c>
      <c r="P266" s="16">
        <f t="shared" si="197"/>
        <v>42819.81</v>
      </c>
      <c r="Q266" s="16">
        <f t="shared" si="197"/>
        <v>0</v>
      </c>
      <c r="R266" s="16">
        <f t="shared" si="197"/>
        <v>0</v>
      </c>
      <c r="S266" s="16">
        <f t="shared" si="197"/>
        <v>0</v>
      </c>
      <c r="T266" s="16">
        <f t="shared" si="197"/>
        <v>0</v>
      </c>
      <c r="U266" s="16">
        <f t="shared" si="197"/>
        <v>0</v>
      </c>
      <c r="V266" s="16">
        <f t="shared" si="197"/>
        <v>0</v>
      </c>
      <c r="W266" s="16">
        <f t="shared" si="197"/>
        <v>0</v>
      </c>
      <c r="X266" s="16">
        <f t="shared" si="197"/>
        <v>0</v>
      </c>
      <c r="Y266" s="15" t="s">
        <v>738</v>
      </c>
      <c r="Z266" s="17" t="s">
        <v>34</v>
      </c>
      <c r="AA266" s="18" t="s">
        <v>217</v>
      </c>
      <c r="AB266" s="18" t="s">
        <v>177</v>
      </c>
      <c r="AC266" s="19" t="s">
        <v>739</v>
      </c>
    </row>
    <row r="267" spans="1:29" ht="67.5" x14ac:dyDescent="0.25">
      <c r="A267" s="20" t="s">
        <v>740</v>
      </c>
      <c r="B267" s="21" t="s">
        <v>741</v>
      </c>
      <c r="C267" s="22" t="s">
        <v>28</v>
      </c>
      <c r="D267" s="22" t="s">
        <v>737</v>
      </c>
      <c r="E267" s="23">
        <f t="shared" ref="E267:X267" si="198">E268+E269+E272+E274</f>
        <v>30828.2</v>
      </c>
      <c r="F267" s="23">
        <f t="shared" si="198"/>
        <v>30828.2</v>
      </c>
      <c r="G267" s="23">
        <f t="shared" si="198"/>
        <v>0</v>
      </c>
      <c r="H267" s="23">
        <f t="shared" si="198"/>
        <v>0</v>
      </c>
      <c r="I267" s="23">
        <f t="shared" si="198"/>
        <v>0</v>
      </c>
      <c r="J267" s="23">
        <f t="shared" si="198"/>
        <v>0</v>
      </c>
      <c r="K267" s="23">
        <f t="shared" si="198"/>
        <v>0</v>
      </c>
      <c r="L267" s="23">
        <f t="shared" si="198"/>
        <v>0</v>
      </c>
      <c r="M267" s="23">
        <f t="shared" si="198"/>
        <v>0</v>
      </c>
      <c r="N267" s="23">
        <f t="shared" si="198"/>
        <v>0</v>
      </c>
      <c r="O267" s="23">
        <f t="shared" si="198"/>
        <v>30820.809999999998</v>
      </c>
      <c r="P267" s="23">
        <f t="shared" si="198"/>
        <v>30820.809999999998</v>
      </c>
      <c r="Q267" s="23">
        <f t="shared" si="198"/>
        <v>0</v>
      </c>
      <c r="R267" s="23">
        <f t="shared" si="198"/>
        <v>0</v>
      </c>
      <c r="S267" s="23">
        <f t="shared" si="198"/>
        <v>0</v>
      </c>
      <c r="T267" s="23">
        <f t="shared" si="198"/>
        <v>0</v>
      </c>
      <c r="U267" s="23">
        <f t="shared" si="198"/>
        <v>0</v>
      </c>
      <c r="V267" s="23">
        <f t="shared" si="198"/>
        <v>0</v>
      </c>
      <c r="W267" s="23">
        <f t="shared" si="198"/>
        <v>0</v>
      </c>
      <c r="X267" s="23">
        <f t="shared" si="198"/>
        <v>0</v>
      </c>
      <c r="Y267" s="22" t="s">
        <v>742</v>
      </c>
      <c r="Z267" s="24" t="s">
        <v>40</v>
      </c>
      <c r="AA267" s="25" t="s">
        <v>70</v>
      </c>
      <c r="AB267" s="25" t="s">
        <v>70</v>
      </c>
      <c r="AC267" s="26"/>
    </row>
    <row r="268" spans="1:29" x14ac:dyDescent="0.25">
      <c r="A268" s="41"/>
      <c r="B268" s="42"/>
      <c r="C268" s="43"/>
      <c r="D268" s="43"/>
      <c r="E268" s="44">
        <v>0</v>
      </c>
      <c r="F268" s="44">
        <v>0</v>
      </c>
      <c r="G268" s="44">
        <v>0</v>
      </c>
      <c r="H268" s="44">
        <v>0</v>
      </c>
      <c r="I268" s="44">
        <v>0</v>
      </c>
      <c r="J268" s="44">
        <v>0</v>
      </c>
      <c r="K268" s="44">
        <v>0</v>
      </c>
      <c r="L268" s="44">
        <v>0</v>
      </c>
      <c r="M268" s="44">
        <v>0</v>
      </c>
      <c r="N268" s="44">
        <v>0</v>
      </c>
      <c r="O268" s="44">
        <v>0</v>
      </c>
      <c r="P268" s="44">
        <v>0</v>
      </c>
      <c r="Q268" s="44">
        <v>0</v>
      </c>
      <c r="R268" s="44">
        <v>0</v>
      </c>
      <c r="S268" s="44">
        <v>0</v>
      </c>
      <c r="T268" s="44">
        <v>0</v>
      </c>
      <c r="U268" s="44">
        <v>0</v>
      </c>
      <c r="V268" s="44">
        <v>0</v>
      </c>
      <c r="W268" s="44">
        <v>0</v>
      </c>
      <c r="X268" s="44">
        <v>0</v>
      </c>
      <c r="Y268" s="43" t="s">
        <v>743</v>
      </c>
      <c r="Z268" s="45" t="s">
        <v>40</v>
      </c>
      <c r="AA268" s="46" t="s">
        <v>678</v>
      </c>
      <c r="AB268" s="46" t="s">
        <v>678</v>
      </c>
      <c r="AC268" s="47"/>
    </row>
    <row r="269" spans="1:29" ht="46.5" x14ac:dyDescent="0.25">
      <c r="A269" s="27" t="s">
        <v>744</v>
      </c>
      <c r="B269" s="28" t="s">
        <v>745</v>
      </c>
      <c r="C269" s="29" t="s">
        <v>28</v>
      </c>
      <c r="D269" s="29" t="s">
        <v>737</v>
      </c>
      <c r="E269" s="30">
        <f>SUM(E270:E271)+21880</f>
        <v>21880</v>
      </c>
      <c r="F269" s="30">
        <f>SUM(F270:F271)+21880</f>
        <v>21880</v>
      </c>
      <c r="G269" s="30">
        <f t="shared" ref="G269:N269" si="199">SUM(G270:G271)</f>
        <v>0</v>
      </c>
      <c r="H269" s="30">
        <f t="shared" si="199"/>
        <v>0</v>
      </c>
      <c r="I269" s="30">
        <f t="shared" si="199"/>
        <v>0</v>
      </c>
      <c r="J269" s="30">
        <f t="shared" si="199"/>
        <v>0</v>
      </c>
      <c r="K269" s="30">
        <f t="shared" si="199"/>
        <v>0</v>
      </c>
      <c r="L269" s="30">
        <f t="shared" si="199"/>
        <v>0</v>
      </c>
      <c r="M269" s="30">
        <f t="shared" si="199"/>
        <v>0</v>
      </c>
      <c r="N269" s="30">
        <f t="shared" si="199"/>
        <v>0</v>
      </c>
      <c r="O269" s="30">
        <f>SUM(O270:O271)+21879.78</f>
        <v>21879.78</v>
      </c>
      <c r="P269" s="30">
        <f>SUM(P270:P271)+21879.78</f>
        <v>21879.78</v>
      </c>
      <c r="Q269" s="30">
        <f t="shared" ref="Q269:X269" si="200">SUM(Q270:Q271)</f>
        <v>0</v>
      </c>
      <c r="R269" s="30">
        <f t="shared" si="200"/>
        <v>0</v>
      </c>
      <c r="S269" s="30">
        <f t="shared" si="200"/>
        <v>0</v>
      </c>
      <c r="T269" s="30">
        <f t="shared" si="200"/>
        <v>0</v>
      </c>
      <c r="U269" s="30">
        <f t="shared" si="200"/>
        <v>0</v>
      </c>
      <c r="V269" s="30">
        <f t="shared" si="200"/>
        <v>0</v>
      </c>
      <c r="W269" s="30">
        <f t="shared" si="200"/>
        <v>0</v>
      </c>
      <c r="X269" s="30">
        <f t="shared" si="200"/>
        <v>0</v>
      </c>
      <c r="Y269" s="29" t="s">
        <v>731</v>
      </c>
      <c r="Z269" s="31" t="s">
        <v>40</v>
      </c>
      <c r="AA269" s="32" t="s">
        <v>176</v>
      </c>
      <c r="AB269" s="32" t="s">
        <v>176</v>
      </c>
      <c r="AC269" s="33"/>
    </row>
    <row r="270" spans="1:29" ht="46.5" x14ac:dyDescent="0.25">
      <c r="A270" s="34" t="s">
        <v>746</v>
      </c>
      <c r="B270" s="35" t="s">
        <v>747</v>
      </c>
      <c r="C270" s="36"/>
      <c r="D270" s="36"/>
      <c r="E270" s="37">
        <v>0</v>
      </c>
      <c r="F270" s="37">
        <v>0</v>
      </c>
      <c r="G270" s="37">
        <v>0</v>
      </c>
      <c r="H270" s="37">
        <v>0</v>
      </c>
      <c r="I270" s="37">
        <v>0</v>
      </c>
      <c r="J270" s="37">
        <v>0</v>
      </c>
      <c r="K270" s="37">
        <v>0</v>
      </c>
      <c r="L270" s="37">
        <v>0</v>
      </c>
      <c r="M270" s="37">
        <v>0</v>
      </c>
      <c r="N270" s="37">
        <v>0</v>
      </c>
      <c r="O270" s="37">
        <v>0</v>
      </c>
      <c r="P270" s="37">
        <v>0</v>
      </c>
      <c r="Q270" s="37">
        <v>0</v>
      </c>
      <c r="R270" s="37">
        <v>0</v>
      </c>
      <c r="S270" s="37">
        <v>0</v>
      </c>
      <c r="T270" s="37">
        <v>0</v>
      </c>
      <c r="U270" s="37">
        <v>0</v>
      </c>
      <c r="V270" s="37">
        <v>0</v>
      </c>
      <c r="W270" s="37">
        <v>0</v>
      </c>
      <c r="X270" s="37">
        <v>0</v>
      </c>
      <c r="Y270" s="36"/>
      <c r="Z270" s="38"/>
      <c r="AA270" s="39"/>
      <c r="AB270" s="39"/>
      <c r="AC270" s="40"/>
    </row>
    <row r="271" spans="1:29" ht="93" x14ac:dyDescent="0.25">
      <c r="A271" s="34" t="s">
        <v>748</v>
      </c>
      <c r="B271" s="35" t="s">
        <v>749</v>
      </c>
      <c r="C271" s="36"/>
      <c r="D271" s="36"/>
      <c r="E271" s="37">
        <v>0</v>
      </c>
      <c r="F271" s="37">
        <v>0</v>
      </c>
      <c r="G271" s="37">
        <v>0</v>
      </c>
      <c r="H271" s="37">
        <v>0</v>
      </c>
      <c r="I271" s="37">
        <v>0</v>
      </c>
      <c r="J271" s="37">
        <v>0</v>
      </c>
      <c r="K271" s="37">
        <v>0</v>
      </c>
      <c r="L271" s="37">
        <v>0</v>
      </c>
      <c r="M271" s="37">
        <v>0</v>
      </c>
      <c r="N271" s="37">
        <v>0</v>
      </c>
      <c r="O271" s="37">
        <v>0</v>
      </c>
      <c r="P271" s="37">
        <v>0</v>
      </c>
      <c r="Q271" s="37">
        <v>0</v>
      </c>
      <c r="R271" s="37">
        <v>0</v>
      </c>
      <c r="S271" s="37">
        <v>0</v>
      </c>
      <c r="T271" s="37">
        <v>0</v>
      </c>
      <c r="U271" s="37">
        <v>0</v>
      </c>
      <c r="V271" s="37">
        <v>0</v>
      </c>
      <c r="W271" s="37">
        <v>0</v>
      </c>
      <c r="X271" s="37">
        <v>0</v>
      </c>
      <c r="Y271" s="36"/>
      <c r="Z271" s="38"/>
      <c r="AA271" s="39"/>
      <c r="AB271" s="39"/>
      <c r="AC271" s="40"/>
    </row>
    <row r="272" spans="1:29" ht="46.5" x14ac:dyDescent="0.25">
      <c r="A272" s="27" t="s">
        <v>750</v>
      </c>
      <c r="B272" s="28" t="s">
        <v>751</v>
      </c>
      <c r="C272" s="29" t="s">
        <v>28</v>
      </c>
      <c r="D272" s="29" t="s">
        <v>737</v>
      </c>
      <c r="E272" s="30">
        <f>SUM(E273:E273)+1000</f>
        <v>1000</v>
      </c>
      <c r="F272" s="30">
        <f>SUM(F273:F273)+1000</f>
        <v>1000</v>
      </c>
      <c r="G272" s="30">
        <f t="shared" ref="G272:N272" si="201">SUM(G273:G273)</f>
        <v>0</v>
      </c>
      <c r="H272" s="30">
        <f t="shared" si="201"/>
        <v>0</v>
      </c>
      <c r="I272" s="30">
        <f t="shared" si="201"/>
        <v>0</v>
      </c>
      <c r="J272" s="30">
        <f t="shared" si="201"/>
        <v>0</v>
      </c>
      <c r="K272" s="30">
        <f t="shared" si="201"/>
        <v>0</v>
      </c>
      <c r="L272" s="30">
        <f t="shared" si="201"/>
        <v>0</v>
      </c>
      <c r="M272" s="30">
        <f t="shared" si="201"/>
        <v>0</v>
      </c>
      <c r="N272" s="30">
        <f t="shared" si="201"/>
        <v>0</v>
      </c>
      <c r="O272" s="30">
        <f>SUM(O273:O273)+1000</f>
        <v>1000</v>
      </c>
      <c r="P272" s="30">
        <f>SUM(P273:P273)+1000</f>
        <v>1000</v>
      </c>
      <c r="Q272" s="30">
        <f t="shared" ref="Q272:X272" si="202">SUM(Q273:Q273)</f>
        <v>0</v>
      </c>
      <c r="R272" s="30">
        <f t="shared" si="202"/>
        <v>0</v>
      </c>
      <c r="S272" s="30">
        <f t="shared" si="202"/>
        <v>0</v>
      </c>
      <c r="T272" s="30">
        <f t="shared" si="202"/>
        <v>0</v>
      </c>
      <c r="U272" s="30">
        <f t="shared" si="202"/>
        <v>0</v>
      </c>
      <c r="V272" s="30">
        <f t="shared" si="202"/>
        <v>0</v>
      </c>
      <c r="W272" s="30">
        <f t="shared" si="202"/>
        <v>0</v>
      </c>
      <c r="X272" s="30">
        <f t="shared" si="202"/>
        <v>0</v>
      </c>
      <c r="Y272" s="29" t="s">
        <v>752</v>
      </c>
      <c r="Z272" s="31" t="s">
        <v>40</v>
      </c>
      <c r="AA272" s="32" t="s">
        <v>54</v>
      </c>
      <c r="AB272" s="32" t="s">
        <v>54</v>
      </c>
      <c r="AC272" s="33"/>
    </row>
    <row r="273" spans="1:29" ht="46.5" x14ac:dyDescent="0.25">
      <c r="A273" s="34" t="s">
        <v>753</v>
      </c>
      <c r="B273" s="35" t="s">
        <v>754</v>
      </c>
      <c r="C273" s="36"/>
      <c r="D273" s="36"/>
      <c r="E273" s="37">
        <v>0</v>
      </c>
      <c r="F273" s="37">
        <v>0</v>
      </c>
      <c r="G273" s="37">
        <v>0</v>
      </c>
      <c r="H273" s="37">
        <v>0</v>
      </c>
      <c r="I273" s="37">
        <v>0</v>
      </c>
      <c r="J273" s="37">
        <v>0</v>
      </c>
      <c r="K273" s="37">
        <v>0</v>
      </c>
      <c r="L273" s="37">
        <v>0</v>
      </c>
      <c r="M273" s="37">
        <v>0</v>
      </c>
      <c r="N273" s="37">
        <v>0</v>
      </c>
      <c r="O273" s="37">
        <v>0</v>
      </c>
      <c r="P273" s="37">
        <v>0</v>
      </c>
      <c r="Q273" s="37">
        <v>0</v>
      </c>
      <c r="R273" s="37">
        <v>0</v>
      </c>
      <c r="S273" s="37">
        <v>0</v>
      </c>
      <c r="T273" s="37">
        <v>0</v>
      </c>
      <c r="U273" s="37">
        <v>0</v>
      </c>
      <c r="V273" s="37">
        <v>0</v>
      </c>
      <c r="W273" s="37">
        <v>0</v>
      </c>
      <c r="X273" s="37">
        <v>0</v>
      </c>
      <c r="Y273" s="36"/>
      <c r="Z273" s="38"/>
      <c r="AA273" s="39"/>
      <c r="AB273" s="39"/>
      <c r="AC273" s="40"/>
    </row>
    <row r="274" spans="1:29" ht="69.75" x14ac:dyDescent="0.25">
      <c r="A274" s="27" t="s">
        <v>755</v>
      </c>
      <c r="B274" s="28" t="s">
        <v>756</v>
      </c>
      <c r="C274" s="29" t="s">
        <v>28</v>
      </c>
      <c r="D274" s="29" t="s">
        <v>737</v>
      </c>
      <c r="E274" s="30">
        <f>SUM(E275:E275)+7948.2</f>
        <v>7948.2</v>
      </c>
      <c r="F274" s="30">
        <f>SUM(F275:F275)+7948.2</f>
        <v>7948.2</v>
      </c>
      <c r="G274" s="30">
        <f t="shared" ref="G274:N274" si="203">SUM(G275:G275)</f>
        <v>0</v>
      </c>
      <c r="H274" s="30">
        <f t="shared" si="203"/>
        <v>0</v>
      </c>
      <c r="I274" s="30">
        <f t="shared" si="203"/>
        <v>0</v>
      </c>
      <c r="J274" s="30">
        <f t="shared" si="203"/>
        <v>0</v>
      </c>
      <c r="K274" s="30">
        <f t="shared" si="203"/>
        <v>0</v>
      </c>
      <c r="L274" s="30">
        <f t="shared" si="203"/>
        <v>0</v>
      </c>
      <c r="M274" s="30">
        <f t="shared" si="203"/>
        <v>0</v>
      </c>
      <c r="N274" s="30">
        <f t="shared" si="203"/>
        <v>0</v>
      </c>
      <c r="O274" s="30">
        <f>SUM(O275:O275)+7941.03</f>
        <v>7941.03</v>
      </c>
      <c r="P274" s="30">
        <f>SUM(P275:P275)+7941.03</f>
        <v>7941.03</v>
      </c>
      <c r="Q274" s="30">
        <f t="shared" ref="Q274:X274" si="204">SUM(Q275:Q275)</f>
        <v>0</v>
      </c>
      <c r="R274" s="30">
        <f t="shared" si="204"/>
        <v>0</v>
      </c>
      <c r="S274" s="30">
        <f t="shared" si="204"/>
        <v>0</v>
      </c>
      <c r="T274" s="30">
        <f t="shared" si="204"/>
        <v>0</v>
      </c>
      <c r="U274" s="30">
        <f t="shared" si="204"/>
        <v>0</v>
      </c>
      <c r="V274" s="30">
        <f t="shared" si="204"/>
        <v>0</v>
      </c>
      <c r="W274" s="30">
        <f t="shared" si="204"/>
        <v>0</v>
      </c>
      <c r="X274" s="30">
        <f t="shared" si="204"/>
        <v>0</v>
      </c>
      <c r="Y274" s="29" t="s">
        <v>757</v>
      </c>
      <c r="Z274" s="31" t="s">
        <v>40</v>
      </c>
      <c r="AA274" s="32" t="s">
        <v>176</v>
      </c>
      <c r="AB274" s="32" t="s">
        <v>73</v>
      </c>
      <c r="AC274" s="33" t="s">
        <v>758</v>
      </c>
    </row>
    <row r="275" spans="1:29" ht="46.5" x14ac:dyDescent="0.25">
      <c r="A275" s="34" t="s">
        <v>759</v>
      </c>
      <c r="B275" s="35" t="s">
        <v>760</v>
      </c>
      <c r="C275" s="36"/>
      <c r="D275" s="36"/>
      <c r="E275" s="37">
        <v>0</v>
      </c>
      <c r="F275" s="37">
        <v>0</v>
      </c>
      <c r="G275" s="37">
        <v>0</v>
      </c>
      <c r="H275" s="37">
        <v>0</v>
      </c>
      <c r="I275" s="37">
        <v>0</v>
      </c>
      <c r="J275" s="37">
        <v>0</v>
      </c>
      <c r="K275" s="37">
        <v>0</v>
      </c>
      <c r="L275" s="37">
        <v>0</v>
      </c>
      <c r="M275" s="37">
        <v>0</v>
      </c>
      <c r="N275" s="37">
        <v>0</v>
      </c>
      <c r="O275" s="37">
        <v>0</v>
      </c>
      <c r="P275" s="37">
        <v>0</v>
      </c>
      <c r="Q275" s="37">
        <v>0</v>
      </c>
      <c r="R275" s="37">
        <v>0</v>
      </c>
      <c r="S275" s="37">
        <v>0</v>
      </c>
      <c r="T275" s="37">
        <v>0</v>
      </c>
      <c r="U275" s="37">
        <v>0</v>
      </c>
      <c r="V275" s="37">
        <v>0</v>
      </c>
      <c r="W275" s="37">
        <v>0</v>
      </c>
      <c r="X275" s="37">
        <v>0</v>
      </c>
      <c r="Y275" s="36"/>
      <c r="Z275" s="38"/>
      <c r="AA275" s="39"/>
      <c r="AB275" s="39"/>
      <c r="AC275" s="40"/>
    </row>
    <row r="276" spans="1:29" ht="67.5" x14ac:dyDescent="0.25">
      <c r="A276" s="20" t="s">
        <v>761</v>
      </c>
      <c r="B276" s="21" t="s">
        <v>762</v>
      </c>
      <c r="C276" s="22" t="s">
        <v>28</v>
      </c>
      <c r="D276" s="22" t="s">
        <v>737</v>
      </c>
      <c r="E276" s="23">
        <f t="shared" ref="E276:X276" si="205">SUM(E277:E277)</f>
        <v>12000</v>
      </c>
      <c r="F276" s="23">
        <f t="shared" si="205"/>
        <v>12000</v>
      </c>
      <c r="G276" s="23">
        <f t="shared" si="205"/>
        <v>0</v>
      </c>
      <c r="H276" s="23">
        <f t="shared" si="205"/>
        <v>0</v>
      </c>
      <c r="I276" s="23">
        <f t="shared" si="205"/>
        <v>0</v>
      </c>
      <c r="J276" s="23">
        <f t="shared" si="205"/>
        <v>0</v>
      </c>
      <c r="K276" s="23">
        <f t="shared" si="205"/>
        <v>0</v>
      </c>
      <c r="L276" s="23">
        <f t="shared" si="205"/>
        <v>0</v>
      </c>
      <c r="M276" s="23">
        <f t="shared" si="205"/>
        <v>0</v>
      </c>
      <c r="N276" s="23">
        <f t="shared" si="205"/>
        <v>0</v>
      </c>
      <c r="O276" s="23">
        <f t="shared" si="205"/>
        <v>11999</v>
      </c>
      <c r="P276" s="23">
        <f t="shared" si="205"/>
        <v>11999</v>
      </c>
      <c r="Q276" s="23">
        <f t="shared" si="205"/>
        <v>0</v>
      </c>
      <c r="R276" s="23">
        <f t="shared" si="205"/>
        <v>0</v>
      </c>
      <c r="S276" s="23">
        <f t="shared" si="205"/>
        <v>0</v>
      </c>
      <c r="T276" s="23">
        <f t="shared" si="205"/>
        <v>0</v>
      </c>
      <c r="U276" s="23">
        <f t="shared" si="205"/>
        <v>0</v>
      </c>
      <c r="V276" s="23">
        <f t="shared" si="205"/>
        <v>0</v>
      </c>
      <c r="W276" s="23">
        <f t="shared" si="205"/>
        <v>0</v>
      </c>
      <c r="X276" s="23">
        <f t="shared" si="205"/>
        <v>0</v>
      </c>
      <c r="Y276" s="22" t="s">
        <v>763</v>
      </c>
      <c r="Z276" s="24" t="s">
        <v>40</v>
      </c>
      <c r="AA276" s="25" t="s">
        <v>267</v>
      </c>
      <c r="AB276" s="25" t="s">
        <v>390</v>
      </c>
      <c r="AC276" s="26" t="s">
        <v>764</v>
      </c>
    </row>
    <row r="277" spans="1:29" ht="69.75" x14ac:dyDescent="0.25">
      <c r="A277" s="27" t="s">
        <v>765</v>
      </c>
      <c r="B277" s="28" t="s">
        <v>766</v>
      </c>
      <c r="C277" s="29" t="s">
        <v>28</v>
      </c>
      <c r="D277" s="29" t="s">
        <v>737</v>
      </c>
      <c r="E277" s="30">
        <f>SUM(E278:E278)+12000</f>
        <v>12000</v>
      </c>
      <c r="F277" s="30">
        <f>SUM(F278:F278)+12000</f>
        <v>12000</v>
      </c>
      <c r="G277" s="30">
        <f t="shared" ref="G277:N277" si="206">SUM(G278:G278)</f>
        <v>0</v>
      </c>
      <c r="H277" s="30">
        <f t="shared" si="206"/>
        <v>0</v>
      </c>
      <c r="I277" s="30">
        <f t="shared" si="206"/>
        <v>0</v>
      </c>
      <c r="J277" s="30">
        <f t="shared" si="206"/>
        <v>0</v>
      </c>
      <c r="K277" s="30">
        <f t="shared" si="206"/>
        <v>0</v>
      </c>
      <c r="L277" s="30">
        <f t="shared" si="206"/>
        <v>0</v>
      </c>
      <c r="M277" s="30">
        <f t="shared" si="206"/>
        <v>0</v>
      </c>
      <c r="N277" s="30">
        <f t="shared" si="206"/>
        <v>0</v>
      </c>
      <c r="O277" s="30">
        <f>SUM(O278:O278)+11999</f>
        <v>11999</v>
      </c>
      <c r="P277" s="30">
        <f>SUM(P278:P278)+11999</f>
        <v>11999</v>
      </c>
      <c r="Q277" s="30">
        <f t="shared" ref="Q277:X277" si="207">SUM(Q278:Q278)</f>
        <v>0</v>
      </c>
      <c r="R277" s="30">
        <f t="shared" si="207"/>
        <v>0</v>
      </c>
      <c r="S277" s="30">
        <f t="shared" si="207"/>
        <v>0</v>
      </c>
      <c r="T277" s="30">
        <f t="shared" si="207"/>
        <v>0</v>
      </c>
      <c r="U277" s="30">
        <f t="shared" si="207"/>
        <v>0</v>
      </c>
      <c r="V277" s="30">
        <f t="shared" si="207"/>
        <v>0</v>
      </c>
      <c r="W277" s="30">
        <f t="shared" si="207"/>
        <v>0</v>
      </c>
      <c r="X277" s="30">
        <f t="shared" si="207"/>
        <v>0</v>
      </c>
      <c r="Y277" s="29" t="s">
        <v>767</v>
      </c>
      <c r="Z277" s="31" t="s">
        <v>40</v>
      </c>
      <c r="AA277" s="32" t="s">
        <v>267</v>
      </c>
      <c r="AB277" s="32" t="s">
        <v>390</v>
      </c>
      <c r="AC277" s="33" t="s">
        <v>764</v>
      </c>
    </row>
    <row r="278" spans="1:29" x14ac:dyDescent="0.25">
      <c r="A278" s="34" t="s">
        <v>768</v>
      </c>
      <c r="B278" s="35" t="s">
        <v>769</v>
      </c>
      <c r="C278" s="36"/>
      <c r="D278" s="36"/>
      <c r="E278" s="37">
        <v>0</v>
      </c>
      <c r="F278" s="37">
        <v>0</v>
      </c>
      <c r="G278" s="37">
        <v>0</v>
      </c>
      <c r="H278" s="37">
        <v>0</v>
      </c>
      <c r="I278" s="37">
        <v>0</v>
      </c>
      <c r="J278" s="37">
        <v>0</v>
      </c>
      <c r="K278" s="37">
        <v>0</v>
      </c>
      <c r="L278" s="37">
        <v>0</v>
      </c>
      <c r="M278" s="37">
        <v>0</v>
      </c>
      <c r="N278" s="37">
        <v>0</v>
      </c>
      <c r="O278" s="37">
        <v>0</v>
      </c>
      <c r="P278" s="37">
        <v>0</v>
      </c>
      <c r="Q278" s="37">
        <v>0</v>
      </c>
      <c r="R278" s="37">
        <v>0</v>
      </c>
      <c r="S278" s="37">
        <v>0</v>
      </c>
      <c r="T278" s="37">
        <v>0</v>
      </c>
      <c r="U278" s="37">
        <v>0</v>
      </c>
      <c r="V278" s="37">
        <v>0</v>
      </c>
      <c r="W278" s="37">
        <v>0</v>
      </c>
      <c r="X278" s="37">
        <v>0</v>
      </c>
      <c r="Y278" s="36"/>
      <c r="Z278" s="38"/>
      <c r="AA278" s="39"/>
      <c r="AB278" s="39"/>
      <c r="AC278" s="40"/>
    </row>
    <row r="279" spans="1:29" x14ac:dyDescent="0.25">
      <c r="A279" s="6" t="s">
        <v>770</v>
      </c>
      <c r="B279" s="7" t="s">
        <v>771</v>
      </c>
      <c r="C279" s="8" t="s">
        <v>772</v>
      </c>
      <c r="D279" s="8" t="s">
        <v>773</v>
      </c>
      <c r="E279" s="9">
        <f t="shared" ref="E279:X279" si="208">E280+E367</f>
        <v>7168226.2600000007</v>
      </c>
      <c r="F279" s="9">
        <f t="shared" si="208"/>
        <v>6526248.0600000005</v>
      </c>
      <c r="G279" s="9">
        <f t="shared" si="208"/>
        <v>1783.65</v>
      </c>
      <c r="H279" s="9">
        <f t="shared" si="208"/>
        <v>0</v>
      </c>
      <c r="I279" s="9">
        <f t="shared" si="208"/>
        <v>529628</v>
      </c>
      <c r="J279" s="9">
        <f t="shared" si="208"/>
        <v>0</v>
      </c>
      <c r="K279" s="9">
        <f t="shared" si="208"/>
        <v>0</v>
      </c>
      <c r="L279" s="9">
        <f t="shared" si="208"/>
        <v>48251.55</v>
      </c>
      <c r="M279" s="9">
        <f t="shared" si="208"/>
        <v>0</v>
      </c>
      <c r="N279" s="9">
        <f t="shared" si="208"/>
        <v>0</v>
      </c>
      <c r="O279" s="9">
        <f t="shared" si="208"/>
        <v>6707155.1799999997</v>
      </c>
      <c r="P279" s="9">
        <f t="shared" si="208"/>
        <v>5793778.8400000017</v>
      </c>
      <c r="Q279" s="9">
        <f t="shared" si="208"/>
        <v>1200.83</v>
      </c>
      <c r="R279" s="9">
        <f t="shared" si="208"/>
        <v>0</v>
      </c>
      <c r="S279" s="9">
        <f t="shared" si="208"/>
        <v>0</v>
      </c>
      <c r="T279" s="9">
        <f t="shared" si="208"/>
        <v>0</v>
      </c>
      <c r="U279" s="9">
        <f t="shared" si="208"/>
        <v>0</v>
      </c>
      <c r="V279" s="9">
        <f t="shared" si="208"/>
        <v>0</v>
      </c>
      <c r="W279" s="9">
        <f t="shared" si="208"/>
        <v>0</v>
      </c>
      <c r="X279" s="9">
        <f t="shared" si="208"/>
        <v>0</v>
      </c>
      <c r="Y279" s="8"/>
      <c r="Z279" s="10"/>
      <c r="AA279" s="11"/>
      <c r="AB279" s="11"/>
      <c r="AC279" s="12"/>
    </row>
    <row r="280" spans="1:29" ht="90" x14ac:dyDescent="0.25">
      <c r="A280" s="13" t="s">
        <v>774</v>
      </c>
      <c r="B280" s="14" t="s">
        <v>775</v>
      </c>
      <c r="C280" s="15" t="s">
        <v>772</v>
      </c>
      <c r="D280" s="15" t="s">
        <v>773</v>
      </c>
      <c r="E280" s="16">
        <f t="shared" ref="E280:X280" si="209">E281+E328+E331+E338+E341+E352+E357</f>
        <v>7157926.2600000007</v>
      </c>
      <c r="F280" s="16">
        <f t="shared" si="209"/>
        <v>6515948.0600000005</v>
      </c>
      <c r="G280" s="16">
        <f t="shared" si="209"/>
        <v>1783.65</v>
      </c>
      <c r="H280" s="16">
        <f t="shared" si="209"/>
        <v>0</v>
      </c>
      <c r="I280" s="16">
        <f t="shared" si="209"/>
        <v>529628</v>
      </c>
      <c r="J280" s="16">
        <f t="shared" si="209"/>
        <v>0</v>
      </c>
      <c r="K280" s="16">
        <f t="shared" si="209"/>
        <v>0</v>
      </c>
      <c r="L280" s="16">
        <f t="shared" si="209"/>
        <v>48251.55</v>
      </c>
      <c r="M280" s="16">
        <f t="shared" si="209"/>
        <v>0</v>
      </c>
      <c r="N280" s="16">
        <f t="shared" si="209"/>
        <v>0</v>
      </c>
      <c r="O280" s="16">
        <f t="shared" si="209"/>
        <v>6706855.3399999999</v>
      </c>
      <c r="P280" s="16">
        <f t="shared" si="209"/>
        <v>5793479.0000000019</v>
      </c>
      <c r="Q280" s="16">
        <f t="shared" si="209"/>
        <v>1200.83</v>
      </c>
      <c r="R280" s="16">
        <f t="shared" si="209"/>
        <v>0</v>
      </c>
      <c r="S280" s="16">
        <f t="shared" si="209"/>
        <v>0</v>
      </c>
      <c r="T280" s="16">
        <f t="shared" si="209"/>
        <v>0</v>
      </c>
      <c r="U280" s="16">
        <f t="shared" si="209"/>
        <v>0</v>
      </c>
      <c r="V280" s="16">
        <f t="shared" si="209"/>
        <v>0</v>
      </c>
      <c r="W280" s="16">
        <f t="shared" si="209"/>
        <v>0</v>
      </c>
      <c r="X280" s="16">
        <f t="shared" si="209"/>
        <v>0</v>
      </c>
      <c r="Y280" s="15" t="s">
        <v>776</v>
      </c>
      <c r="Z280" s="17" t="s">
        <v>34</v>
      </c>
      <c r="AA280" s="18" t="s">
        <v>35</v>
      </c>
      <c r="AB280" s="18" t="s">
        <v>35</v>
      </c>
      <c r="AC280" s="19"/>
    </row>
    <row r="281" spans="1:29" ht="90" x14ac:dyDescent="0.25">
      <c r="A281" s="20" t="s">
        <v>777</v>
      </c>
      <c r="B281" s="21" t="s">
        <v>778</v>
      </c>
      <c r="C281" s="22" t="s">
        <v>772</v>
      </c>
      <c r="D281" s="22" t="s">
        <v>773</v>
      </c>
      <c r="E281" s="23">
        <f t="shared" ref="E281:X281" si="210">E282+E284+E286+E288+E290+E292+E294+E298+E301+E303+E305+E307+E309+E311+E313+E315+E317+E320+E322+E324+E326</f>
        <v>5474008.6500000004</v>
      </c>
      <c r="F281" s="23">
        <f t="shared" si="210"/>
        <v>4880282</v>
      </c>
      <c r="G281" s="23">
        <f t="shared" si="210"/>
        <v>1783.65</v>
      </c>
      <c r="H281" s="23">
        <f t="shared" si="210"/>
        <v>0</v>
      </c>
      <c r="I281" s="23">
        <f t="shared" si="210"/>
        <v>529628</v>
      </c>
      <c r="J281" s="23">
        <f t="shared" si="210"/>
        <v>0</v>
      </c>
      <c r="K281" s="23">
        <f t="shared" si="210"/>
        <v>0</v>
      </c>
      <c r="L281" s="23">
        <f t="shared" si="210"/>
        <v>0</v>
      </c>
      <c r="M281" s="23">
        <f t="shared" si="210"/>
        <v>0</v>
      </c>
      <c r="N281" s="23">
        <f t="shared" si="210"/>
        <v>0</v>
      </c>
      <c r="O281" s="23">
        <f t="shared" si="210"/>
        <v>5387829.7500000009</v>
      </c>
      <c r="P281" s="23">
        <f t="shared" si="210"/>
        <v>4547853.2100000009</v>
      </c>
      <c r="Q281" s="23">
        <f t="shared" si="210"/>
        <v>1200.83</v>
      </c>
      <c r="R281" s="23">
        <f t="shared" si="210"/>
        <v>0</v>
      </c>
      <c r="S281" s="23">
        <f t="shared" si="210"/>
        <v>0</v>
      </c>
      <c r="T281" s="23">
        <f t="shared" si="210"/>
        <v>0</v>
      </c>
      <c r="U281" s="23">
        <f t="shared" si="210"/>
        <v>0</v>
      </c>
      <c r="V281" s="23">
        <f t="shared" si="210"/>
        <v>0</v>
      </c>
      <c r="W281" s="23">
        <f t="shared" si="210"/>
        <v>0</v>
      </c>
      <c r="X281" s="23">
        <f t="shared" si="210"/>
        <v>0</v>
      </c>
      <c r="Y281" s="22" t="s">
        <v>779</v>
      </c>
      <c r="Z281" s="24" t="s">
        <v>40</v>
      </c>
      <c r="AA281" s="25" t="s">
        <v>780</v>
      </c>
      <c r="AB281" s="25" t="s">
        <v>781</v>
      </c>
      <c r="AC281" s="26" t="s">
        <v>782</v>
      </c>
    </row>
    <row r="282" spans="1:29" ht="46.5" x14ac:dyDescent="0.25">
      <c r="A282" s="27" t="s">
        <v>783</v>
      </c>
      <c r="B282" s="28" t="s">
        <v>784</v>
      </c>
      <c r="C282" s="29" t="s">
        <v>772</v>
      </c>
      <c r="D282" s="29" t="s">
        <v>773</v>
      </c>
      <c r="E282" s="30">
        <f>SUM(E283:E283)+312430</f>
        <v>312430</v>
      </c>
      <c r="F282" s="30">
        <f>SUM(F283:F283)+312430</f>
        <v>312430</v>
      </c>
      <c r="G282" s="30">
        <f t="shared" ref="G282:N282" si="211">SUM(G283:G283)</f>
        <v>0</v>
      </c>
      <c r="H282" s="30">
        <f t="shared" si="211"/>
        <v>0</v>
      </c>
      <c r="I282" s="30">
        <f t="shared" si="211"/>
        <v>0</v>
      </c>
      <c r="J282" s="30">
        <f t="shared" si="211"/>
        <v>0</v>
      </c>
      <c r="K282" s="30">
        <f t="shared" si="211"/>
        <v>0</v>
      </c>
      <c r="L282" s="30">
        <f t="shared" si="211"/>
        <v>0</v>
      </c>
      <c r="M282" s="30">
        <f t="shared" si="211"/>
        <v>0</v>
      </c>
      <c r="N282" s="30">
        <f t="shared" si="211"/>
        <v>0</v>
      </c>
      <c r="O282" s="30">
        <f>SUM(O283:O283)+310202.39</f>
        <v>310202.39</v>
      </c>
      <c r="P282" s="30">
        <f>SUM(P283:P283)+310202.39</f>
        <v>310202.39</v>
      </c>
      <c r="Q282" s="30">
        <f t="shared" ref="Q282:X282" si="212">SUM(Q283:Q283)</f>
        <v>0</v>
      </c>
      <c r="R282" s="30">
        <f t="shared" si="212"/>
        <v>0</v>
      </c>
      <c r="S282" s="30">
        <f t="shared" si="212"/>
        <v>0</v>
      </c>
      <c r="T282" s="30">
        <f t="shared" si="212"/>
        <v>0</v>
      </c>
      <c r="U282" s="30">
        <f t="shared" si="212"/>
        <v>0</v>
      </c>
      <c r="V282" s="30">
        <f t="shared" si="212"/>
        <v>0</v>
      </c>
      <c r="W282" s="30">
        <f t="shared" si="212"/>
        <v>0</v>
      </c>
      <c r="X282" s="30">
        <f t="shared" si="212"/>
        <v>0</v>
      </c>
      <c r="Y282" s="29" t="s">
        <v>785</v>
      </c>
      <c r="Z282" s="31" t="s">
        <v>40</v>
      </c>
      <c r="AA282" s="32" t="s">
        <v>786</v>
      </c>
      <c r="AB282" s="32" t="s">
        <v>786</v>
      </c>
      <c r="AC282" s="33"/>
    </row>
    <row r="283" spans="1:29" ht="93" x14ac:dyDescent="0.25">
      <c r="A283" s="34" t="s">
        <v>787</v>
      </c>
      <c r="B283" s="35" t="s">
        <v>788</v>
      </c>
      <c r="C283" s="36"/>
      <c r="D283" s="36"/>
      <c r="E283" s="37">
        <v>0</v>
      </c>
      <c r="F283" s="37">
        <v>0</v>
      </c>
      <c r="G283" s="37">
        <v>0</v>
      </c>
      <c r="H283" s="37">
        <v>0</v>
      </c>
      <c r="I283" s="37">
        <v>0</v>
      </c>
      <c r="J283" s="37">
        <v>0</v>
      </c>
      <c r="K283" s="37">
        <v>0</v>
      </c>
      <c r="L283" s="37">
        <v>0</v>
      </c>
      <c r="M283" s="37">
        <v>0</v>
      </c>
      <c r="N283" s="37">
        <v>0</v>
      </c>
      <c r="O283" s="37">
        <v>0</v>
      </c>
      <c r="P283" s="37">
        <v>0</v>
      </c>
      <c r="Q283" s="37">
        <v>0</v>
      </c>
      <c r="R283" s="37">
        <v>0</v>
      </c>
      <c r="S283" s="37">
        <v>0</v>
      </c>
      <c r="T283" s="37">
        <v>0</v>
      </c>
      <c r="U283" s="37">
        <v>0</v>
      </c>
      <c r="V283" s="37">
        <v>0</v>
      </c>
      <c r="W283" s="37">
        <v>0</v>
      </c>
      <c r="X283" s="37">
        <v>0</v>
      </c>
      <c r="Y283" s="36"/>
      <c r="Z283" s="38"/>
      <c r="AA283" s="39"/>
      <c r="AB283" s="39"/>
      <c r="AC283" s="40"/>
    </row>
    <row r="284" spans="1:29" ht="69.75" x14ac:dyDescent="0.25">
      <c r="A284" s="27" t="s">
        <v>789</v>
      </c>
      <c r="B284" s="28" t="s">
        <v>790</v>
      </c>
      <c r="C284" s="29" t="s">
        <v>772</v>
      </c>
      <c r="D284" s="29" t="s">
        <v>773</v>
      </c>
      <c r="E284" s="30">
        <f>SUM(E285:E285)+245017</f>
        <v>245017</v>
      </c>
      <c r="F284" s="30">
        <f>SUM(F285:F285)+245017</f>
        <v>245017</v>
      </c>
      <c r="G284" s="30">
        <f t="shared" ref="G284:N284" si="213">SUM(G285:G285)</f>
        <v>0</v>
      </c>
      <c r="H284" s="30">
        <f t="shared" si="213"/>
        <v>0</v>
      </c>
      <c r="I284" s="30">
        <f t="shared" si="213"/>
        <v>0</v>
      </c>
      <c r="J284" s="30">
        <f t="shared" si="213"/>
        <v>0</v>
      </c>
      <c r="K284" s="30">
        <f t="shared" si="213"/>
        <v>0</v>
      </c>
      <c r="L284" s="30">
        <f t="shared" si="213"/>
        <v>0</v>
      </c>
      <c r="M284" s="30">
        <f t="shared" si="213"/>
        <v>0</v>
      </c>
      <c r="N284" s="30">
        <f t="shared" si="213"/>
        <v>0</v>
      </c>
      <c r="O284" s="30">
        <f>SUM(O285:O285)+244789.21</f>
        <v>244789.21</v>
      </c>
      <c r="P284" s="30">
        <f>SUM(P285:P285)+244789.21</f>
        <v>244789.21</v>
      </c>
      <c r="Q284" s="30">
        <f t="shared" ref="Q284:X284" si="214">SUM(Q285:Q285)</f>
        <v>0</v>
      </c>
      <c r="R284" s="30">
        <f t="shared" si="214"/>
        <v>0</v>
      </c>
      <c r="S284" s="30">
        <f t="shared" si="214"/>
        <v>0</v>
      </c>
      <c r="T284" s="30">
        <f t="shared" si="214"/>
        <v>0</v>
      </c>
      <c r="U284" s="30">
        <f t="shared" si="214"/>
        <v>0</v>
      </c>
      <c r="V284" s="30">
        <f t="shared" si="214"/>
        <v>0</v>
      </c>
      <c r="W284" s="30">
        <f t="shared" si="214"/>
        <v>0</v>
      </c>
      <c r="X284" s="30">
        <f t="shared" si="214"/>
        <v>0</v>
      </c>
      <c r="Y284" s="29" t="s">
        <v>791</v>
      </c>
      <c r="Z284" s="31" t="s">
        <v>40</v>
      </c>
      <c r="AA284" s="32" t="s">
        <v>267</v>
      </c>
      <c r="AB284" s="32" t="s">
        <v>267</v>
      </c>
      <c r="AC284" s="33"/>
    </row>
    <row r="285" spans="1:29" ht="116.25" x14ac:dyDescent="0.25">
      <c r="A285" s="34" t="s">
        <v>792</v>
      </c>
      <c r="B285" s="35" t="s">
        <v>793</v>
      </c>
      <c r="C285" s="36"/>
      <c r="D285" s="36"/>
      <c r="E285" s="37">
        <v>0</v>
      </c>
      <c r="F285" s="37">
        <v>0</v>
      </c>
      <c r="G285" s="37">
        <v>0</v>
      </c>
      <c r="H285" s="37">
        <v>0</v>
      </c>
      <c r="I285" s="37">
        <v>0</v>
      </c>
      <c r="J285" s="37">
        <v>0</v>
      </c>
      <c r="K285" s="37">
        <v>0</v>
      </c>
      <c r="L285" s="37">
        <v>0</v>
      </c>
      <c r="M285" s="37">
        <v>0</v>
      </c>
      <c r="N285" s="37">
        <v>0</v>
      </c>
      <c r="O285" s="37">
        <v>0</v>
      </c>
      <c r="P285" s="37">
        <v>0</v>
      </c>
      <c r="Q285" s="37">
        <v>0</v>
      </c>
      <c r="R285" s="37">
        <v>0</v>
      </c>
      <c r="S285" s="37">
        <v>0</v>
      </c>
      <c r="T285" s="37">
        <v>0</v>
      </c>
      <c r="U285" s="37">
        <v>0</v>
      </c>
      <c r="V285" s="37">
        <v>0</v>
      </c>
      <c r="W285" s="37">
        <v>0</v>
      </c>
      <c r="X285" s="37">
        <v>0</v>
      </c>
      <c r="Y285" s="36"/>
      <c r="Z285" s="38"/>
      <c r="AA285" s="39"/>
      <c r="AB285" s="39"/>
      <c r="AC285" s="40"/>
    </row>
    <row r="286" spans="1:29" ht="69.75" x14ac:dyDescent="0.25">
      <c r="A286" s="27" t="s">
        <v>794</v>
      </c>
      <c r="B286" s="28" t="s">
        <v>795</v>
      </c>
      <c r="C286" s="29" t="s">
        <v>796</v>
      </c>
      <c r="D286" s="29" t="s">
        <v>773</v>
      </c>
      <c r="E286" s="30">
        <f>SUM(E287:E287)+91755</f>
        <v>91755</v>
      </c>
      <c r="F286" s="30">
        <f>SUM(F287:F287)+91755</f>
        <v>91755</v>
      </c>
      <c r="G286" s="30">
        <f t="shared" ref="G286:N286" si="215">SUM(G287:G287)</f>
        <v>0</v>
      </c>
      <c r="H286" s="30">
        <f t="shared" si="215"/>
        <v>0</v>
      </c>
      <c r="I286" s="30">
        <f t="shared" si="215"/>
        <v>0</v>
      </c>
      <c r="J286" s="30">
        <f t="shared" si="215"/>
        <v>0</v>
      </c>
      <c r="K286" s="30">
        <f t="shared" si="215"/>
        <v>0</v>
      </c>
      <c r="L286" s="30">
        <f t="shared" si="215"/>
        <v>0</v>
      </c>
      <c r="M286" s="30">
        <f t="shared" si="215"/>
        <v>0</v>
      </c>
      <c r="N286" s="30">
        <f t="shared" si="215"/>
        <v>0</v>
      </c>
      <c r="O286" s="30">
        <f>SUM(O287:O287)+91662.3</f>
        <v>91662.3</v>
      </c>
      <c r="P286" s="30">
        <f>SUM(P287:P287)+91662.3</f>
        <v>91662.3</v>
      </c>
      <c r="Q286" s="30">
        <f t="shared" ref="Q286:X286" si="216">SUM(Q287:Q287)</f>
        <v>0</v>
      </c>
      <c r="R286" s="30">
        <f t="shared" si="216"/>
        <v>0</v>
      </c>
      <c r="S286" s="30">
        <f t="shared" si="216"/>
        <v>0</v>
      </c>
      <c r="T286" s="30">
        <f t="shared" si="216"/>
        <v>0</v>
      </c>
      <c r="U286" s="30">
        <f t="shared" si="216"/>
        <v>0</v>
      </c>
      <c r="V286" s="30">
        <f t="shared" si="216"/>
        <v>0</v>
      </c>
      <c r="W286" s="30">
        <f t="shared" si="216"/>
        <v>0</v>
      </c>
      <c r="X286" s="30">
        <f t="shared" si="216"/>
        <v>0</v>
      </c>
      <c r="Y286" s="29" t="s">
        <v>797</v>
      </c>
      <c r="Z286" s="31" t="s">
        <v>40</v>
      </c>
      <c r="AA286" s="32" t="s">
        <v>41</v>
      </c>
      <c r="AB286" s="32" t="s">
        <v>41</v>
      </c>
      <c r="AC286" s="33"/>
    </row>
    <row r="287" spans="1:29" ht="116.25" x14ac:dyDescent="0.25">
      <c r="A287" s="34" t="s">
        <v>798</v>
      </c>
      <c r="B287" s="35" t="s">
        <v>799</v>
      </c>
      <c r="C287" s="36"/>
      <c r="D287" s="36"/>
      <c r="E287" s="37">
        <v>0</v>
      </c>
      <c r="F287" s="37">
        <v>0</v>
      </c>
      <c r="G287" s="37">
        <v>0</v>
      </c>
      <c r="H287" s="37">
        <v>0</v>
      </c>
      <c r="I287" s="37">
        <v>0</v>
      </c>
      <c r="J287" s="37">
        <v>0</v>
      </c>
      <c r="K287" s="37">
        <v>0</v>
      </c>
      <c r="L287" s="37">
        <v>0</v>
      </c>
      <c r="M287" s="37">
        <v>0</v>
      </c>
      <c r="N287" s="37">
        <v>0</v>
      </c>
      <c r="O287" s="37">
        <v>0</v>
      </c>
      <c r="P287" s="37">
        <v>0</v>
      </c>
      <c r="Q287" s="37">
        <v>0</v>
      </c>
      <c r="R287" s="37">
        <v>0</v>
      </c>
      <c r="S287" s="37">
        <v>0</v>
      </c>
      <c r="T287" s="37">
        <v>0</v>
      </c>
      <c r="U287" s="37">
        <v>0</v>
      </c>
      <c r="V287" s="37">
        <v>0</v>
      </c>
      <c r="W287" s="37">
        <v>0</v>
      </c>
      <c r="X287" s="37">
        <v>0</v>
      </c>
      <c r="Y287" s="36"/>
      <c r="Z287" s="38"/>
      <c r="AA287" s="39"/>
      <c r="AB287" s="39"/>
      <c r="AC287" s="40"/>
    </row>
    <row r="288" spans="1:29" ht="46.5" x14ac:dyDescent="0.25">
      <c r="A288" s="27" t="s">
        <v>800</v>
      </c>
      <c r="B288" s="28" t="s">
        <v>801</v>
      </c>
      <c r="C288" s="29" t="s">
        <v>772</v>
      </c>
      <c r="D288" s="29" t="s">
        <v>802</v>
      </c>
      <c r="E288" s="30">
        <f>SUM(E289:E289)+4466870.2</f>
        <v>4466870.2</v>
      </c>
      <c r="F288" s="30">
        <f>SUM(F289:F289)+3874913.12</f>
        <v>3874913.12</v>
      </c>
      <c r="G288" s="30">
        <f>SUM(G289:G289)+14.08</f>
        <v>14.08</v>
      </c>
      <c r="H288" s="30">
        <f>SUM(H289:H289)</f>
        <v>0</v>
      </c>
      <c r="I288" s="30">
        <f>SUM(I289:I289)+529628</f>
        <v>529628</v>
      </c>
      <c r="J288" s="30">
        <f>SUM(J289:J289)</f>
        <v>0</v>
      </c>
      <c r="K288" s="30">
        <f>SUM(K289:K289)</f>
        <v>0</v>
      </c>
      <c r="L288" s="30">
        <f>SUM(L289:L289)</f>
        <v>0</v>
      </c>
      <c r="M288" s="30">
        <f>SUM(M289:M289)</f>
        <v>0</v>
      </c>
      <c r="N288" s="30">
        <f>SUM(N289:N289)</f>
        <v>0</v>
      </c>
      <c r="O288" s="30">
        <f>SUM(O289:O289)+4383985.21</f>
        <v>4383985.21</v>
      </c>
      <c r="P288" s="30">
        <f>SUM(P289:P289)+3545379.07</f>
        <v>3545379.07</v>
      </c>
      <c r="Q288" s="30">
        <f t="shared" ref="Q288:X288" si="217">SUM(Q289:Q289)</f>
        <v>0</v>
      </c>
      <c r="R288" s="30">
        <f t="shared" si="217"/>
        <v>0</v>
      </c>
      <c r="S288" s="30">
        <f t="shared" si="217"/>
        <v>0</v>
      </c>
      <c r="T288" s="30">
        <f t="shared" si="217"/>
        <v>0</v>
      </c>
      <c r="U288" s="30">
        <f t="shared" si="217"/>
        <v>0</v>
      </c>
      <c r="V288" s="30">
        <f t="shared" si="217"/>
        <v>0</v>
      </c>
      <c r="W288" s="30">
        <f t="shared" si="217"/>
        <v>0</v>
      </c>
      <c r="X288" s="30">
        <f t="shared" si="217"/>
        <v>0</v>
      </c>
      <c r="Y288" s="29" t="s">
        <v>803</v>
      </c>
      <c r="Z288" s="31" t="s">
        <v>40</v>
      </c>
      <c r="AA288" s="32" t="s">
        <v>804</v>
      </c>
      <c r="AB288" s="32" t="s">
        <v>149</v>
      </c>
      <c r="AC288" s="33" t="s">
        <v>782</v>
      </c>
    </row>
    <row r="289" spans="1:29" ht="69.75" x14ac:dyDescent="0.25">
      <c r="A289" s="34" t="s">
        <v>805</v>
      </c>
      <c r="B289" s="35" t="s">
        <v>806</v>
      </c>
      <c r="C289" s="36"/>
      <c r="D289" s="36"/>
      <c r="E289" s="37">
        <v>0</v>
      </c>
      <c r="F289" s="37">
        <v>0</v>
      </c>
      <c r="G289" s="37">
        <v>0</v>
      </c>
      <c r="H289" s="37">
        <v>0</v>
      </c>
      <c r="I289" s="37">
        <v>0</v>
      </c>
      <c r="J289" s="37">
        <v>0</v>
      </c>
      <c r="K289" s="37">
        <v>0</v>
      </c>
      <c r="L289" s="37">
        <v>0</v>
      </c>
      <c r="M289" s="37">
        <v>0</v>
      </c>
      <c r="N289" s="37">
        <v>0</v>
      </c>
      <c r="O289" s="37">
        <v>0</v>
      </c>
      <c r="P289" s="37">
        <v>0</v>
      </c>
      <c r="Q289" s="37">
        <v>0</v>
      </c>
      <c r="R289" s="37">
        <v>0</v>
      </c>
      <c r="S289" s="37">
        <v>0</v>
      </c>
      <c r="T289" s="37">
        <v>0</v>
      </c>
      <c r="U289" s="37">
        <v>0</v>
      </c>
      <c r="V289" s="37">
        <v>0</v>
      </c>
      <c r="W289" s="37">
        <v>0</v>
      </c>
      <c r="X289" s="37">
        <v>0</v>
      </c>
      <c r="Y289" s="36"/>
      <c r="Z289" s="38"/>
      <c r="AA289" s="39"/>
      <c r="AB289" s="39"/>
      <c r="AC289" s="40"/>
    </row>
    <row r="290" spans="1:29" ht="69.75" x14ac:dyDescent="0.25">
      <c r="A290" s="27" t="s">
        <v>807</v>
      </c>
      <c r="B290" s="28" t="s">
        <v>808</v>
      </c>
      <c r="C290" s="29" t="s">
        <v>772</v>
      </c>
      <c r="D290" s="29" t="s">
        <v>773</v>
      </c>
      <c r="E290" s="30">
        <f>SUM(E291:E291)+18570</f>
        <v>18570</v>
      </c>
      <c r="F290" s="30">
        <f>SUM(F291:F291)+18570</f>
        <v>18570</v>
      </c>
      <c r="G290" s="30">
        <f t="shared" ref="G290:N290" si="218">SUM(G291:G291)</f>
        <v>0</v>
      </c>
      <c r="H290" s="30">
        <f t="shared" si="218"/>
        <v>0</v>
      </c>
      <c r="I290" s="30">
        <f t="shared" si="218"/>
        <v>0</v>
      </c>
      <c r="J290" s="30">
        <f t="shared" si="218"/>
        <v>0</v>
      </c>
      <c r="K290" s="30">
        <f t="shared" si="218"/>
        <v>0</v>
      </c>
      <c r="L290" s="30">
        <f t="shared" si="218"/>
        <v>0</v>
      </c>
      <c r="M290" s="30">
        <f t="shared" si="218"/>
        <v>0</v>
      </c>
      <c r="N290" s="30">
        <f t="shared" si="218"/>
        <v>0</v>
      </c>
      <c r="O290" s="30">
        <f>SUM(O291:O291)+18570</f>
        <v>18570</v>
      </c>
      <c r="P290" s="30">
        <f>SUM(P291:P291)+18570</f>
        <v>18570</v>
      </c>
      <c r="Q290" s="30">
        <f t="shared" ref="Q290:X290" si="219">SUM(Q291:Q291)</f>
        <v>0</v>
      </c>
      <c r="R290" s="30">
        <f t="shared" si="219"/>
        <v>0</v>
      </c>
      <c r="S290" s="30">
        <f t="shared" si="219"/>
        <v>0</v>
      </c>
      <c r="T290" s="30">
        <f t="shared" si="219"/>
        <v>0</v>
      </c>
      <c r="U290" s="30">
        <f t="shared" si="219"/>
        <v>0</v>
      </c>
      <c r="V290" s="30">
        <f t="shared" si="219"/>
        <v>0</v>
      </c>
      <c r="W290" s="30">
        <f t="shared" si="219"/>
        <v>0</v>
      </c>
      <c r="X290" s="30">
        <f t="shared" si="219"/>
        <v>0</v>
      </c>
      <c r="Y290" s="29" t="s">
        <v>809</v>
      </c>
      <c r="Z290" s="31" t="s">
        <v>34</v>
      </c>
      <c r="AA290" s="32" t="s">
        <v>35</v>
      </c>
      <c r="AB290" s="32" t="s">
        <v>35</v>
      </c>
      <c r="AC290" s="33"/>
    </row>
    <row r="291" spans="1:29" ht="46.5" x14ac:dyDescent="0.25">
      <c r="A291" s="34" t="s">
        <v>810</v>
      </c>
      <c r="B291" s="35" t="s">
        <v>811</v>
      </c>
      <c r="C291" s="36"/>
      <c r="D291" s="36"/>
      <c r="E291" s="37">
        <v>0</v>
      </c>
      <c r="F291" s="37">
        <v>0</v>
      </c>
      <c r="G291" s="37">
        <v>0</v>
      </c>
      <c r="H291" s="37">
        <v>0</v>
      </c>
      <c r="I291" s="37">
        <v>0</v>
      </c>
      <c r="J291" s="37">
        <v>0</v>
      </c>
      <c r="K291" s="37">
        <v>0</v>
      </c>
      <c r="L291" s="37">
        <v>0</v>
      </c>
      <c r="M291" s="37">
        <v>0</v>
      </c>
      <c r="N291" s="37">
        <v>0</v>
      </c>
      <c r="O291" s="37">
        <v>0</v>
      </c>
      <c r="P291" s="37">
        <v>0</v>
      </c>
      <c r="Q291" s="37">
        <v>0</v>
      </c>
      <c r="R291" s="37">
        <v>0</v>
      </c>
      <c r="S291" s="37">
        <v>0</v>
      </c>
      <c r="T291" s="37">
        <v>0</v>
      </c>
      <c r="U291" s="37">
        <v>0</v>
      </c>
      <c r="V291" s="37">
        <v>0</v>
      </c>
      <c r="W291" s="37">
        <v>0</v>
      </c>
      <c r="X291" s="37">
        <v>0</v>
      </c>
      <c r="Y291" s="36"/>
      <c r="Z291" s="38"/>
      <c r="AA291" s="39"/>
      <c r="AB291" s="39"/>
      <c r="AC291" s="40"/>
    </row>
    <row r="292" spans="1:29" ht="69.75" x14ac:dyDescent="0.25">
      <c r="A292" s="27" t="s">
        <v>812</v>
      </c>
      <c r="B292" s="28" t="s">
        <v>813</v>
      </c>
      <c r="C292" s="29" t="s">
        <v>772</v>
      </c>
      <c r="D292" s="29" t="s">
        <v>773</v>
      </c>
      <c r="E292" s="30">
        <f>SUM(E293:E293)+170</f>
        <v>170</v>
      </c>
      <c r="F292" s="30">
        <f>SUM(F293:F293)+170</f>
        <v>170</v>
      </c>
      <c r="G292" s="30">
        <f t="shared" ref="G292:N292" si="220">SUM(G293:G293)</f>
        <v>0</v>
      </c>
      <c r="H292" s="30">
        <f t="shared" si="220"/>
        <v>0</v>
      </c>
      <c r="I292" s="30">
        <f t="shared" si="220"/>
        <v>0</v>
      </c>
      <c r="J292" s="30">
        <f t="shared" si="220"/>
        <v>0</v>
      </c>
      <c r="K292" s="30">
        <f t="shared" si="220"/>
        <v>0</v>
      </c>
      <c r="L292" s="30">
        <f t="shared" si="220"/>
        <v>0</v>
      </c>
      <c r="M292" s="30">
        <f t="shared" si="220"/>
        <v>0</v>
      </c>
      <c r="N292" s="30">
        <f t="shared" si="220"/>
        <v>0</v>
      </c>
      <c r="O292" s="30">
        <f>SUM(O293:O293)+1886.32</f>
        <v>1886.32</v>
      </c>
      <c r="P292" s="30">
        <f>SUM(P293:P293)+1886.32</f>
        <v>1886.32</v>
      </c>
      <c r="Q292" s="30">
        <f t="shared" ref="Q292:X292" si="221">SUM(Q293:Q293)</f>
        <v>0</v>
      </c>
      <c r="R292" s="30">
        <f t="shared" si="221"/>
        <v>0</v>
      </c>
      <c r="S292" s="30">
        <f t="shared" si="221"/>
        <v>0</v>
      </c>
      <c r="T292" s="30">
        <f t="shared" si="221"/>
        <v>0</v>
      </c>
      <c r="U292" s="30">
        <f t="shared" si="221"/>
        <v>0</v>
      </c>
      <c r="V292" s="30">
        <f t="shared" si="221"/>
        <v>0</v>
      </c>
      <c r="W292" s="30">
        <f t="shared" si="221"/>
        <v>0</v>
      </c>
      <c r="X292" s="30">
        <f t="shared" si="221"/>
        <v>0</v>
      </c>
      <c r="Y292" s="29" t="s">
        <v>809</v>
      </c>
      <c r="Z292" s="31" t="s">
        <v>34</v>
      </c>
      <c r="AA292" s="32" t="s">
        <v>35</v>
      </c>
      <c r="AB292" s="32" t="s">
        <v>35</v>
      </c>
      <c r="AC292" s="33"/>
    </row>
    <row r="293" spans="1:29" ht="46.5" x14ac:dyDescent="0.25">
      <c r="A293" s="34" t="s">
        <v>814</v>
      </c>
      <c r="B293" s="35" t="s">
        <v>815</v>
      </c>
      <c r="C293" s="36"/>
      <c r="D293" s="36"/>
      <c r="E293" s="37">
        <v>0</v>
      </c>
      <c r="F293" s="37">
        <v>0</v>
      </c>
      <c r="G293" s="37">
        <v>0</v>
      </c>
      <c r="H293" s="37">
        <v>0</v>
      </c>
      <c r="I293" s="37">
        <v>0</v>
      </c>
      <c r="J293" s="37">
        <v>0</v>
      </c>
      <c r="K293" s="37">
        <v>0</v>
      </c>
      <c r="L293" s="37">
        <v>0</v>
      </c>
      <c r="M293" s="37">
        <v>0</v>
      </c>
      <c r="N293" s="37">
        <v>0</v>
      </c>
      <c r="O293" s="37">
        <v>0</v>
      </c>
      <c r="P293" s="37">
        <v>0</v>
      </c>
      <c r="Q293" s="37">
        <v>0</v>
      </c>
      <c r="R293" s="37">
        <v>0</v>
      </c>
      <c r="S293" s="37">
        <v>0</v>
      </c>
      <c r="T293" s="37">
        <v>0</v>
      </c>
      <c r="U293" s="37">
        <v>0</v>
      </c>
      <c r="V293" s="37">
        <v>0</v>
      </c>
      <c r="W293" s="37">
        <v>0</v>
      </c>
      <c r="X293" s="37">
        <v>0</v>
      </c>
      <c r="Y293" s="36"/>
      <c r="Z293" s="38"/>
      <c r="AA293" s="39"/>
      <c r="AB293" s="39"/>
      <c r="AC293" s="40"/>
    </row>
    <row r="294" spans="1:29" ht="69.75" x14ac:dyDescent="0.25">
      <c r="A294" s="27" t="s">
        <v>816</v>
      </c>
      <c r="B294" s="28" t="s">
        <v>817</v>
      </c>
      <c r="C294" s="29" t="s">
        <v>818</v>
      </c>
      <c r="D294" s="29" t="s">
        <v>819</v>
      </c>
      <c r="E294" s="30">
        <f>SUM(E295:E297)+45678.88</f>
        <v>45678.879999999997</v>
      </c>
      <c r="F294" s="30">
        <f>SUM(F295:F297)+45678.88</f>
        <v>45678.879999999997</v>
      </c>
      <c r="G294" s="30">
        <f t="shared" ref="G294:N294" si="222">SUM(G295:G297)</f>
        <v>0</v>
      </c>
      <c r="H294" s="30">
        <f t="shared" si="222"/>
        <v>0</v>
      </c>
      <c r="I294" s="30">
        <f t="shared" si="222"/>
        <v>0</v>
      </c>
      <c r="J294" s="30">
        <f t="shared" si="222"/>
        <v>0</v>
      </c>
      <c r="K294" s="30">
        <f t="shared" si="222"/>
        <v>0</v>
      </c>
      <c r="L294" s="30">
        <f t="shared" si="222"/>
        <v>0</v>
      </c>
      <c r="M294" s="30">
        <f t="shared" si="222"/>
        <v>0</v>
      </c>
      <c r="N294" s="30">
        <f t="shared" si="222"/>
        <v>0</v>
      </c>
      <c r="O294" s="30">
        <f>SUM(O295:O297)+43681.88</f>
        <v>43681.88</v>
      </c>
      <c r="P294" s="30">
        <f>SUM(P295:P297)+43681.88</f>
        <v>43681.88</v>
      </c>
      <c r="Q294" s="30">
        <f t="shared" ref="Q294:X294" si="223">SUM(Q295:Q297)</f>
        <v>0</v>
      </c>
      <c r="R294" s="30">
        <f t="shared" si="223"/>
        <v>0</v>
      </c>
      <c r="S294" s="30">
        <f t="shared" si="223"/>
        <v>0</v>
      </c>
      <c r="T294" s="30">
        <f t="shared" si="223"/>
        <v>0</v>
      </c>
      <c r="U294" s="30">
        <f t="shared" si="223"/>
        <v>0</v>
      </c>
      <c r="V294" s="30">
        <f t="shared" si="223"/>
        <v>0</v>
      </c>
      <c r="W294" s="30">
        <f t="shared" si="223"/>
        <v>0</v>
      </c>
      <c r="X294" s="30">
        <f t="shared" si="223"/>
        <v>0</v>
      </c>
      <c r="Y294" s="29" t="s">
        <v>820</v>
      </c>
      <c r="Z294" s="31" t="s">
        <v>40</v>
      </c>
      <c r="AA294" s="32" t="s">
        <v>267</v>
      </c>
      <c r="AB294" s="32" t="s">
        <v>267</v>
      </c>
      <c r="AC294" s="33"/>
    </row>
    <row r="295" spans="1:29" ht="46.5" x14ac:dyDescent="0.25">
      <c r="A295" s="41"/>
      <c r="B295" s="42"/>
      <c r="C295" s="43"/>
      <c r="D295" s="43"/>
      <c r="E295" s="44">
        <v>0</v>
      </c>
      <c r="F295" s="44">
        <v>0</v>
      </c>
      <c r="G295" s="44">
        <v>0</v>
      </c>
      <c r="H295" s="44">
        <v>0</v>
      </c>
      <c r="I295" s="44">
        <v>0</v>
      </c>
      <c r="J295" s="44">
        <v>0</v>
      </c>
      <c r="K295" s="44">
        <v>0</v>
      </c>
      <c r="L295" s="44">
        <v>0</v>
      </c>
      <c r="M295" s="44">
        <v>0</v>
      </c>
      <c r="N295" s="44">
        <v>0</v>
      </c>
      <c r="O295" s="44">
        <v>0</v>
      </c>
      <c r="P295" s="44">
        <v>0</v>
      </c>
      <c r="Q295" s="44">
        <v>0</v>
      </c>
      <c r="R295" s="44">
        <v>0</v>
      </c>
      <c r="S295" s="44">
        <v>0</v>
      </c>
      <c r="T295" s="44">
        <v>0</v>
      </c>
      <c r="U295" s="44">
        <v>0</v>
      </c>
      <c r="V295" s="44">
        <v>0</v>
      </c>
      <c r="W295" s="44">
        <v>0</v>
      </c>
      <c r="X295" s="44">
        <v>0</v>
      </c>
      <c r="Y295" s="43" t="s">
        <v>821</v>
      </c>
      <c r="Z295" s="45" t="s">
        <v>40</v>
      </c>
      <c r="AA295" s="46" t="s">
        <v>267</v>
      </c>
      <c r="AB295" s="46" t="s">
        <v>267</v>
      </c>
      <c r="AC295" s="47"/>
    </row>
    <row r="296" spans="1:29" ht="46.5" x14ac:dyDescent="0.25">
      <c r="A296" s="41"/>
      <c r="B296" s="42"/>
      <c r="C296" s="43"/>
      <c r="D296" s="43"/>
      <c r="E296" s="44">
        <v>0</v>
      </c>
      <c r="F296" s="44">
        <v>0</v>
      </c>
      <c r="G296" s="44">
        <v>0</v>
      </c>
      <c r="H296" s="44">
        <v>0</v>
      </c>
      <c r="I296" s="44">
        <v>0</v>
      </c>
      <c r="J296" s="44">
        <v>0</v>
      </c>
      <c r="K296" s="44">
        <v>0</v>
      </c>
      <c r="L296" s="44">
        <v>0</v>
      </c>
      <c r="M296" s="44">
        <v>0</v>
      </c>
      <c r="N296" s="44">
        <v>0</v>
      </c>
      <c r="O296" s="44">
        <v>0</v>
      </c>
      <c r="P296" s="44">
        <v>0</v>
      </c>
      <c r="Q296" s="44">
        <v>0</v>
      </c>
      <c r="R296" s="44">
        <v>0</v>
      </c>
      <c r="S296" s="44">
        <v>0</v>
      </c>
      <c r="T296" s="44">
        <v>0</v>
      </c>
      <c r="U296" s="44">
        <v>0</v>
      </c>
      <c r="V296" s="44">
        <v>0</v>
      </c>
      <c r="W296" s="44">
        <v>0</v>
      </c>
      <c r="X296" s="44">
        <v>0</v>
      </c>
      <c r="Y296" s="43" t="s">
        <v>822</v>
      </c>
      <c r="Z296" s="45" t="s">
        <v>40</v>
      </c>
      <c r="AA296" s="46" t="s">
        <v>70</v>
      </c>
      <c r="AB296" s="46" t="s">
        <v>70</v>
      </c>
      <c r="AC296" s="47"/>
    </row>
    <row r="297" spans="1:29" ht="46.5" x14ac:dyDescent="0.25">
      <c r="A297" s="34" t="s">
        <v>823</v>
      </c>
      <c r="B297" s="35" t="s">
        <v>824</v>
      </c>
      <c r="C297" s="36"/>
      <c r="D297" s="36"/>
      <c r="E297" s="37">
        <v>0</v>
      </c>
      <c r="F297" s="37">
        <v>0</v>
      </c>
      <c r="G297" s="37">
        <v>0</v>
      </c>
      <c r="H297" s="37">
        <v>0</v>
      </c>
      <c r="I297" s="37">
        <v>0</v>
      </c>
      <c r="J297" s="37">
        <v>0</v>
      </c>
      <c r="K297" s="37">
        <v>0</v>
      </c>
      <c r="L297" s="37">
        <v>0</v>
      </c>
      <c r="M297" s="37">
        <v>0</v>
      </c>
      <c r="N297" s="37">
        <v>0</v>
      </c>
      <c r="O297" s="37">
        <v>0</v>
      </c>
      <c r="P297" s="37">
        <v>0</v>
      </c>
      <c r="Q297" s="37">
        <v>0</v>
      </c>
      <c r="R297" s="37">
        <v>0</v>
      </c>
      <c r="S297" s="37">
        <v>0</v>
      </c>
      <c r="T297" s="37">
        <v>0</v>
      </c>
      <c r="U297" s="37">
        <v>0</v>
      </c>
      <c r="V297" s="37">
        <v>0</v>
      </c>
      <c r="W297" s="37">
        <v>0</v>
      </c>
      <c r="X297" s="37">
        <v>0</v>
      </c>
      <c r="Y297" s="36"/>
      <c r="Z297" s="38"/>
      <c r="AA297" s="39"/>
      <c r="AB297" s="39"/>
      <c r="AC297" s="40"/>
    </row>
    <row r="298" spans="1:29" ht="69.75" x14ac:dyDescent="0.25">
      <c r="A298" s="27" t="s">
        <v>825</v>
      </c>
      <c r="B298" s="28" t="s">
        <v>826</v>
      </c>
      <c r="C298" s="29" t="s">
        <v>827</v>
      </c>
      <c r="D298" s="29" t="s">
        <v>828</v>
      </c>
      <c r="E298" s="30">
        <f>SUM(E299:E300)+39201.96</f>
        <v>39201.96</v>
      </c>
      <c r="F298" s="30">
        <f>SUM(F299:F300)+38300</f>
        <v>38300</v>
      </c>
      <c r="G298" s="30">
        <f>SUM(G299:G300)+901.96</f>
        <v>901.96</v>
      </c>
      <c r="H298" s="30">
        <f t="shared" ref="H298:N298" si="224">SUM(H299:H300)</f>
        <v>0</v>
      </c>
      <c r="I298" s="30">
        <f t="shared" si="224"/>
        <v>0</v>
      </c>
      <c r="J298" s="30">
        <f t="shared" si="224"/>
        <v>0</v>
      </c>
      <c r="K298" s="30">
        <f t="shared" si="224"/>
        <v>0</v>
      </c>
      <c r="L298" s="30">
        <f t="shared" si="224"/>
        <v>0</v>
      </c>
      <c r="M298" s="30">
        <f t="shared" si="224"/>
        <v>0</v>
      </c>
      <c r="N298" s="30">
        <f t="shared" si="224"/>
        <v>0</v>
      </c>
      <c r="O298" s="30">
        <f>SUM(O299:O300)+38798.66</f>
        <v>38798.660000000003</v>
      </c>
      <c r="P298" s="30">
        <f>SUM(P299:P300)+38295.87</f>
        <v>38295.870000000003</v>
      </c>
      <c r="Q298" s="30">
        <f>SUM(Q299:Q300)+400.83</f>
        <v>400.83</v>
      </c>
      <c r="R298" s="30">
        <f t="shared" ref="R298:X298" si="225">SUM(R299:R300)</f>
        <v>0</v>
      </c>
      <c r="S298" s="30">
        <f t="shared" si="225"/>
        <v>0</v>
      </c>
      <c r="T298" s="30">
        <f t="shared" si="225"/>
        <v>0</v>
      </c>
      <c r="U298" s="30">
        <f t="shared" si="225"/>
        <v>0</v>
      </c>
      <c r="V298" s="30">
        <f t="shared" si="225"/>
        <v>0</v>
      </c>
      <c r="W298" s="30">
        <f t="shared" si="225"/>
        <v>0</v>
      </c>
      <c r="X298" s="30">
        <f t="shared" si="225"/>
        <v>0</v>
      </c>
      <c r="Y298" s="29" t="s">
        <v>829</v>
      </c>
      <c r="Z298" s="31" t="s">
        <v>40</v>
      </c>
      <c r="AA298" s="32" t="s">
        <v>41</v>
      </c>
      <c r="AB298" s="32" t="s">
        <v>41</v>
      </c>
      <c r="AC298" s="33"/>
    </row>
    <row r="299" spans="1:29" ht="69.75" x14ac:dyDescent="0.25">
      <c r="A299" s="34" t="s">
        <v>830</v>
      </c>
      <c r="B299" s="35" t="s">
        <v>831</v>
      </c>
      <c r="C299" s="36"/>
      <c r="D299" s="36"/>
      <c r="E299" s="37">
        <v>0</v>
      </c>
      <c r="F299" s="37">
        <v>0</v>
      </c>
      <c r="G299" s="37">
        <v>0</v>
      </c>
      <c r="H299" s="37">
        <v>0</v>
      </c>
      <c r="I299" s="37">
        <v>0</v>
      </c>
      <c r="J299" s="37">
        <v>0</v>
      </c>
      <c r="K299" s="37">
        <v>0</v>
      </c>
      <c r="L299" s="37">
        <v>0</v>
      </c>
      <c r="M299" s="37">
        <v>0</v>
      </c>
      <c r="N299" s="37">
        <v>0</v>
      </c>
      <c r="O299" s="37">
        <v>0</v>
      </c>
      <c r="P299" s="37">
        <v>0</v>
      </c>
      <c r="Q299" s="37">
        <v>0</v>
      </c>
      <c r="R299" s="37">
        <v>0</v>
      </c>
      <c r="S299" s="37">
        <v>0</v>
      </c>
      <c r="T299" s="37">
        <v>0</v>
      </c>
      <c r="U299" s="37">
        <v>0</v>
      </c>
      <c r="V299" s="37">
        <v>0</v>
      </c>
      <c r="W299" s="37">
        <v>0</v>
      </c>
      <c r="X299" s="37">
        <v>0</v>
      </c>
      <c r="Y299" s="36"/>
      <c r="Z299" s="38"/>
      <c r="AA299" s="39"/>
      <c r="AB299" s="39"/>
      <c r="AC299" s="40"/>
    </row>
    <row r="300" spans="1:29" ht="93" x14ac:dyDescent="0.25">
      <c r="A300" s="34" t="s">
        <v>832</v>
      </c>
      <c r="B300" s="35" t="s">
        <v>833</v>
      </c>
      <c r="C300" s="36"/>
      <c r="D300" s="36"/>
      <c r="E300" s="37">
        <v>0</v>
      </c>
      <c r="F300" s="37">
        <v>0</v>
      </c>
      <c r="G300" s="37">
        <v>0</v>
      </c>
      <c r="H300" s="37">
        <v>0</v>
      </c>
      <c r="I300" s="37">
        <v>0</v>
      </c>
      <c r="J300" s="37">
        <v>0</v>
      </c>
      <c r="K300" s="37">
        <v>0</v>
      </c>
      <c r="L300" s="37">
        <v>0</v>
      </c>
      <c r="M300" s="37">
        <v>0</v>
      </c>
      <c r="N300" s="37">
        <v>0</v>
      </c>
      <c r="O300" s="37">
        <v>0</v>
      </c>
      <c r="P300" s="37">
        <v>0</v>
      </c>
      <c r="Q300" s="37">
        <v>0</v>
      </c>
      <c r="R300" s="37">
        <v>0</v>
      </c>
      <c r="S300" s="37">
        <v>0</v>
      </c>
      <c r="T300" s="37">
        <v>0</v>
      </c>
      <c r="U300" s="37">
        <v>0</v>
      </c>
      <c r="V300" s="37">
        <v>0</v>
      </c>
      <c r="W300" s="37">
        <v>0</v>
      </c>
      <c r="X300" s="37">
        <v>0</v>
      </c>
      <c r="Y300" s="36"/>
      <c r="Z300" s="38"/>
      <c r="AA300" s="39"/>
      <c r="AB300" s="39"/>
      <c r="AC300" s="40"/>
    </row>
    <row r="301" spans="1:29" ht="69.75" x14ac:dyDescent="0.25">
      <c r="A301" s="27" t="s">
        <v>834</v>
      </c>
      <c r="B301" s="28" t="s">
        <v>835</v>
      </c>
      <c r="C301" s="29" t="s">
        <v>836</v>
      </c>
      <c r="D301" s="29" t="s">
        <v>837</v>
      </c>
      <c r="E301" s="30">
        <f>SUM(E302:E302)+18966</f>
        <v>18966</v>
      </c>
      <c r="F301" s="30">
        <f>SUM(F302:F302)+18966</f>
        <v>18966</v>
      </c>
      <c r="G301" s="30">
        <f t="shared" ref="G301:N301" si="226">SUM(G302:G302)</f>
        <v>0</v>
      </c>
      <c r="H301" s="30">
        <f t="shared" si="226"/>
        <v>0</v>
      </c>
      <c r="I301" s="30">
        <f t="shared" si="226"/>
        <v>0</v>
      </c>
      <c r="J301" s="30">
        <f t="shared" si="226"/>
        <v>0</v>
      </c>
      <c r="K301" s="30">
        <f t="shared" si="226"/>
        <v>0</v>
      </c>
      <c r="L301" s="30">
        <f t="shared" si="226"/>
        <v>0</v>
      </c>
      <c r="M301" s="30">
        <f t="shared" si="226"/>
        <v>0</v>
      </c>
      <c r="N301" s="30">
        <f t="shared" si="226"/>
        <v>0</v>
      </c>
      <c r="O301" s="30">
        <f>SUM(O302:O302)+18961.72</f>
        <v>18961.72</v>
      </c>
      <c r="P301" s="30">
        <f>SUM(P302:P302)+18961.72</f>
        <v>18961.72</v>
      </c>
      <c r="Q301" s="30">
        <f t="shared" ref="Q301:X301" si="227">SUM(Q302:Q302)</f>
        <v>0</v>
      </c>
      <c r="R301" s="30">
        <f t="shared" si="227"/>
        <v>0</v>
      </c>
      <c r="S301" s="30">
        <f t="shared" si="227"/>
        <v>0</v>
      </c>
      <c r="T301" s="30">
        <f t="shared" si="227"/>
        <v>0</v>
      </c>
      <c r="U301" s="30">
        <f t="shared" si="227"/>
        <v>0</v>
      </c>
      <c r="V301" s="30">
        <f t="shared" si="227"/>
        <v>0</v>
      </c>
      <c r="W301" s="30">
        <f t="shared" si="227"/>
        <v>0</v>
      </c>
      <c r="X301" s="30">
        <f t="shared" si="227"/>
        <v>0</v>
      </c>
      <c r="Y301" s="29" t="s">
        <v>829</v>
      </c>
      <c r="Z301" s="31" t="s">
        <v>40</v>
      </c>
      <c r="AA301" s="32" t="s">
        <v>41</v>
      </c>
      <c r="AB301" s="32" t="s">
        <v>41</v>
      </c>
      <c r="AC301" s="33"/>
    </row>
    <row r="302" spans="1:29" ht="69.75" x14ac:dyDescent="0.25">
      <c r="A302" s="34" t="s">
        <v>838</v>
      </c>
      <c r="B302" s="35" t="s">
        <v>839</v>
      </c>
      <c r="C302" s="36"/>
      <c r="D302" s="36"/>
      <c r="E302" s="37">
        <v>0</v>
      </c>
      <c r="F302" s="37">
        <v>0</v>
      </c>
      <c r="G302" s="37">
        <v>0</v>
      </c>
      <c r="H302" s="37">
        <v>0</v>
      </c>
      <c r="I302" s="37">
        <v>0</v>
      </c>
      <c r="J302" s="37">
        <v>0</v>
      </c>
      <c r="K302" s="37">
        <v>0</v>
      </c>
      <c r="L302" s="37">
        <v>0</v>
      </c>
      <c r="M302" s="37">
        <v>0</v>
      </c>
      <c r="N302" s="37">
        <v>0</v>
      </c>
      <c r="O302" s="37">
        <v>0</v>
      </c>
      <c r="P302" s="37">
        <v>0</v>
      </c>
      <c r="Q302" s="37">
        <v>0</v>
      </c>
      <c r="R302" s="37">
        <v>0</v>
      </c>
      <c r="S302" s="37">
        <v>0</v>
      </c>
      <c r="T302" s="37">
        <v>0</v>
      </c>
      <c r="U302" s="37">
        <v>0</v>
      </c>
      <c r="V302" s="37">
        <v>0</v>
      </c>
      <c r="W302" s="37">
        <v>0</v>
      </c>
      <c r="X302" s="37">
        <v>0</v>
      </c>
      <c r="Y302" s="36"/>
      <c r="Z302" s="38"/>
      <c r="AA302" s="39"/>
      <c r="AB302" s="39"/>
      <c r="AC302" s="40"/>
    </row>
    <row r="303" spans="1:29" ht="69.75" x14ac:dyDescent="0.25">
      <c r="A303" s="27" t="s">
        <v>840</v>
      </c>
      <c r="B303" s="28" t="s">
        <v>841</v>
      </c>
      <c r="C303" s="29" t="s">
        <v>98</v>
      </c>
      <c r="D303" s="29" t="s">
        <v>842</v>
      </c>
      <c r="E303" s="30">
        <f>SUM(E304:E304)+14272</f>
        <v>14272</v>
      </c>
      <c r="F303" s="30">
        <f>SUM(F304:F304)+14272</f>
        <v>14272</v>
      </c>
      <c r="G303" s="30">
        <f t="shared" ref="G303:N303" si="228">SUM(G304:G304)</f>
        <v>0</v>
      </c>
      <c r="H303" s="30">
        <f t="shared" si="228"/>
        <v>0</v>
      </c>
      <c r="I303" s="30">
        <f t="shared" si="228"/>
        <v>0</v>
      </c>
      <c r="J303" s="30">
        <f t="shared" si="228"/>
        <v>0</v>
      </c>
      <c r="K303" s="30">
        <f t="shared" si="228"/>
        <v>0</v>
      </c>
      <c r="L303" s="30">
        <f t="shared" si="228"/>
        <v>0</v>
      </c>
      <c r="M303" s="30">
        <f t="shared" si="228"/>
        <v>0</v>
      </c>
      <c r="N303" s="30">
        <f t="shared" si="228"/>
        <v>0</v>
      </c>
      <c r="O303" s="30">
        <f>SUM(O304:O304)+14269.7</f>
        <v>14269.7</v>
      </c>
      <c r="P303" s="30">
        <f>SUM(P304:P304)+14269.7</f>
        <v>14269.7</v>
      </c>
      <c r="Q303" s="30">
        <f t="shared" ref="Q303:X303" si="229">SUM(Q304:Q304)</f>
        <v>0</v>
      </c>
      <c r="R303" s="30">
        <f t="shared" si="229"/>
        <v>0</v>
      </c>
      <c r="S303" s="30">
        <f t="shared" si="229"/>
        <v>0</v>
      </c>
      <c r="T303" s="30">
        <f t="shared" si="229"/>
        <v>0</v>
      </c>
      <c r="U303" s="30">
        <f t="shared" si="229"/>
        <v>0</v>
      </c>
      <c r="V303" s="30">
        <f t="shared" si="229"/>
        <v>0</v>
      </c>
      <c r="W303" s="30">
        <f t="shared" si="229"/>
        <v>0</v>
      </c>
      <c r="X303" s="30">
        <f t="shared" si="229"/>
        <v>0</v>
      </c>
      <c r="Y303" s="29" t="s">
        <v>829</v>
      </c>
      <c r="Z303" s="31" t="s">
        <v>40</v>
      </c>
      <c r="AA303" s="32" t="s">
        <v>41</v>
      </c>
      <c r="AB303" s="32" t="s">
        <v>41</v>
      </c>
      <c r="AC303" s="33"/>
    </row>
    <row r="304" spans="1:29" ht="69.75" x14ac:dyDescent="0.25">
      <c r="A304" s="34" t="s">
        <v>843</v>
      </c>
      <c r="B304" s="35" t="s">
        <v>844</v>
      </c>
      <c r="C304" s="36"/>
      <c r="D304" s="36"/>
      <c r="E304" s="37">
        <v>0</v>
      </c>
      <c r="F304" s="37">
        <v>0</v>
      </c>
      <c r="G304" s="37">
        <v>0</v>
      </c>
      <c r="H304" s="37">
        <v>0</v>
      </c>
      <c r="I304" s="37">
        <v>0</v>
      </c>
      <c r="J304" s="37">
        <v>0</v>
      </c>
      <c r="K304" s="37">
        <v>0</v>
      </c>
      <c r="L304" s="37">
        <v>0</v>
      </c>
      <c r="M304" s="37">
        <v>0</v>
      </c>
      <c r="N304" s="37">
        <v>0</v>
      </c>
      <c r="O304" s="37">
        <v>0</v>
      </c>
      <c r="P304" s="37">
        <v>0</v>
      </c>
      <c r="Q304" s="37">
        <v>0</v>
      </c>
      <c r="R304" s="37">
        <v>0</v>
      </c>
      <c r="S304" s="37">
        <v>0</v>
      </c>
      <c r="T304" s="37">
        <v>0</v>
      </c>
      <c r="U304" s="37">
        <v>0</v>
      </c>
      <c r="V304" s="37">
        <v>0</v>
      </c>
      <c r="W304" s="37">
        <v>0</v>
      </c>
      <c r="X304" s="37">
        <v>0</v>
      </c>
      <c r="Y304" s="36"/>
      <c r="Z304" s="38"/>
      <c r="AA304" s="39"/>
      <c r="AB304" s="39"/>
      <c r="AC304" s="40"/>
    </row>
    <row r="305" spans="1:29" ht="69.75" x14ac:dyDescent="0.25">
      <c r="A305" s="27" t="s">
        <v>845</v>
      </c>
      <c r="B305" s="28" t="s">
        <v>846</v>
      </c>
      <c r="C305" s="29" t="s">
        <v>847</v>
      </c>
      <c r="D305" s="29" t="s">
        <v>848</v>
      </c>
      <c r="E305" s="30">
        <f>SUM(E306:E306)+14126</f>
        <v>14126</v>
      </c>
      <c r="F305" s="30">
        <f>SUM(F306:F306)+14126</f>
        <v>14126</v>
      </c>
      <c r="G305" s="30">
        <f t="shared" ref="G305:N305" si="230">SUM(G306:G306)</f>
        <v>0</v>
      </c>
      <c r="H305" s="30">
        <f t="shared" si="230"/>
        <v>0</v>
      </c>
      <c r="I305" s="30">
        <f t="shared" si="230"/>
        <v>0</v>
      </c>
      <c r="J305" s="30">
        <f t="shared" si="230"/>
        <v>0</v>
      </c>
      <c r="K305" s="30">
        <f t="shared" si="230"/>
        <v>0</v>
      </c>
      <c r="L305" s="30">
        <f t="shared" si="230"/>
        <v>0</v>
      </c>
      <c r="M305" s="30">
        <f t="shared" si="230"/>
        <v>0</v>
      </c>
      <c r="N305" s="30">
        <f t="shared" si="230"/>
        <v>0</v>
      </c>
      <c r="O305" s="30">
        <f>SUM(O306:O306)+14125.31</f>
        <v>14125.31</v>
      </c>
      <c r="P305" s="30">
        <f>SUM(P306:P306)+14125.31</f>
        <v>14125.31</v>
      </c>
      <c r="Q305" s="30">
        <f t="shared" ref="Q305:X305" si="231">SUM(Q306:Q306)</f>
        <v>0</v>
      </c>
      <c r="R305" s="30">
        <f t="shared" si="231"/>
        <v>0</v>
      </c>
      <c r="S305" s="30">
        <f t="shared" si="231"/>
        <v>0</v>
      </c>
      <c r="T305" s="30">
        <f t="shared" si="231"/>
        <v>0</v>
      </c>
      <c r="U305" s="30">
        <f t="shared" si="231"/>
        <v>0</v>
      </c>
      <c r="V305" s="30">
        <f t="shared" si="231"/>
        <v>0</v>
      </c>
      <c r="W305" s="30">
        <f t="shared" si="231"/>
        <v>0</v>
      </c>
      <c r="X305" s="30">
        <f t="shared" si="231"/>
        <v>0</v>
      </c>
      <c r="Y305" s="29" t="s">
        <v>829</v>
      </c>
      <c r="Z305" s="31" t="s">
        <v>40</v>
      </c>
      <c r="AA305" s="32" t="s">
        <v>41</v>
      </c>
      <c r="AB305" s="32" t="s">
        <v>41</v>
      </c>
      <c r="AC305" s="33"/>
    </row>
    <row r="306" spans="1:29" ht="69.75" x14ac:dyDescent="0.25">
      <c r="A306" s="34" t="s">
        <v>849</v>
      </c>
      <c r="B306" s="35" t="s">
        <v>850</v>
      </c>
      <c r="C306" s="36"/>
      <c r="D306" s="36"/>
      <c r="E306" s="37">
        <v>0</v>
      </c>
      <c r="F306" s="37">
        <v>0</v>
      </c>
      <c r="G306" s="37">
        <v>0</v>
      </c>
      <c r="H306" s="37">
        <v>0</v>
      </c>
      <c r="I306" s="37">
        <v>0</v>
      </c>
      <c r="J306" s="37">
        <v>0</v>
      </c>
      <c r="K306" s="37">
        <v>0</v>
      </c>
      <c r="L306" s="37">
        <v>0</v>
      </c>
      <c r="M306" s="37">
        <v>0</v>
      </c>
      <c r="N306" s="37">
        <v>0</v>
      </c>
      <c r="O306" s="37">
        <v>0</v>
      </c>
      <c r="P306" s="37">
        <v>0</v>
      </c>
      <c r="Q306" s="37">
        <v>0</v>
      </c>
      <c r="R306" s="37">
        <v>0</v>
      </c>
      <c r="S306" s="37">
        <v>0</v>
      </c>
      <c r="T306" s="37">
        <v>0</v>
      </c>
      <c r="U306" s="37">
        <v>0</v>
      </c>
      <c r="V306" s="37">
        <v>0</v>
      </c>
      <c r="W306" s="37">
        <v>0</v>
      </c>
      <c r="X306" s="37">
        <v>0</v>
      </c>
      <c r="Y306" s="36"/>
      <c r="Z306" s="38"/>
      <c r="AA306" s="39"/>
      <c r="AB306" s="39"/>
      <c r="AC306" s="40"/>
    </row>
    <row r="307" spans="1:29" ht="69.75" x14ac:dyDescent="0.25">
      <c r="A307" s="27" t="s">
        <v>851</v>
      </c>
      <c r="B307" s="28" t="s">
        <v>852</v>
      </c>
      <c r="C307" s="29" t="s">
        <v>105</v>
      </c>
      <c r="D307" s="29" t="s">
        <v>853</v>
      </c>
      <c r="E307" s="30">
        <f>SUM(E308:E308)+15700</f>
        <v>15700</v>
      </c>
      <c r="F307" s="30">
        <f>SUM(F308:F308)+15700</f>
        <v>15700</v>
      </c>
      <c r="G307" s="30">
        <f t="shared" ref="G307:N307" si="232">SUM(G308:G308)</f>
        <v>0</v>
      </c>
      <c r="H307" s="30">
        <f t="shared" si="232"/>
        <v>0</v>
      </c>
      <c r="I307" s="30">
        <f t="shared" si="232"/>
        <v>0</v>
      </c>
      <c r="J307" s="30">
        <f t="shared" si="232"/>
        <v>0</v>
      </c>
      <c r="K307" s="30">
        <f t="shared" si="232"/>
        <v>0</v>
      </c>
      <c r="L307" s="30">
        <f t="shared" si="232"/>
        <v>0</v>
      </c>
      <c r="M307" s="30">
        <f t="shared" si="232"/>
        <v>0</v>
      </c>
      <c r="N307" s="30">
        <f t="shared" si="232"/>
        <v>0</v>
      </c>
      <c r="O307" s="30">
        <f>SUM(O308:O308)+15699.71</f>
        <v>15699.71</v>
      </c>
      <c r="P307" s="30">
        <f>SUM(P308:P308)+15699.71</f>
        <v>15699.71</v>
      </c>
      <c r="Q307" s="30">
        <f t="shared" ref="Q307:X307" si="233">SUM(Q308:Q308)</f>
        <v>0</v>
      </c>
      <c r="R307" s="30">
        <f t="shared" si="233"/>
        <v>0</v>
      </c>
      <c r="S307" s="30">
        <f t="shared" si="233"/>
        <v>0</v>
      </c>
      <c r="T307" s="30">
        <f t="shared" si="233"/>
        <v>0</v>
      </c>
      <c r="U307" s="30">
        <f t="shared" si="233"/>
        <v>0</v>
      </c>
      <c r="V307" s="30">
        <f t="shared" si="233"/>
        <v>0</v>
      </c>
      <c r="W307" s="30">
        <f t="shared" si="233"/>
        <v>0</v>
      </c>
      <c r="X307" s="30">
        <f t="shared" si="233"/>
        <v>0</v>
      </c>
      <c r="Y307" s="29" t="s">
        <v>829</v>
      </c>
      <c r="Z307" s="31" t="s">
        <v>40</v>
      </c>
      <c r="AA307" s="32" t="s">
        <v>41</v>
      </c>
      <c r="AB307" s="32" t="s">
        <v>41</v>
      </c>
      <c r="AC307" s="33"/>
    </row>
    <row r="308" spans="1:29" ht="69.75" x14ac:dyDescent="0.25">
      <c r="A308" s="34" t="s">
        <v>854</v>
      </c>
      <c r="B308" s="35" t="s">
        <v>855</v>
      </c>
      <c r="C308" s="36"/>
      <c r="D308" s="36"/>
      <c r="E308" s="37">
        <v>0</v>
      </c>
      <c r="F308" s="37">
        <v>0</v>
      </c>
      <c r="G308" s="37">
        <v>0</v>
      </c>
      <c r="H308" s="37">
        <v>0</v>
      </c>
      <c r="I308" s="37">
        <v>0</v>
      </c>
      <c r="J308" s="37">
        <v>0</v>
      </c>
      <c r="K308" s="37">
        <v>0</v>
      </c>
      <c r="L308" s="37">
        <v>0</v>
      </c>
      <c r="M308" s="37">
        <v>0</v>
      </c>
      <c r="N308" s="37">
        <v>0</v>
      </c>
      <c r="O308" s="37">
        <v>0</v>
      </c>
      <c r="P308" s="37">
        <v>0</v>
      </c>
      <c r="Q308" s="37">
        <v>0</v>
      </c>
      <c r="R308" s="37">
        <v>0</v>
      </c>
      <c r="S308" s="37">
        <v>0</v>
      </c>
      <c r="T308" s="37">
        <v>0</v>
      </c>
      <c r="U308" s="37">
        <v>0</v>
      </c>
      <c r="V308" s="37">
        <v>0</v>
      </c>
      <c r="W308" s="37">
        <v>0</v>
      </c>
      <c r="X308" s="37">
        <v>0</v>
      </c>
      <c r="Y308" s="36"/>
      <c r="Z308" s="38"/>
      <c r="AA308" s="39"/>
      <c r="AB308" s="39"/>
      <c r="AC308" s="40"/>
    </row>
    <row r="309" spans="1:29" ht="69.75" x14ac:dyDescent="0.25">
      <c r="A309" s="27" t="s">
        <v>856</v>
      </c>
      <c r="B309" s="28" t="s">
        <v>857</v>
      </c>
      <c r="C309" s="29" t="s">
        <v>110</v>
      </c>
      <c r="D309" s="29" t="s">
        <v>858</v>
      </c>
      <c r="E309" s="30">
        <f>SUM(E310:E310)+27030</f>
        <v>27030</v>
      </c>
      <c r="F309" s="30">
        <f>SUM(F310:F310)+27030</f>
        <v>27030</v>
      </c>
      <c r="G309" s="30">
        <f t="shared" ref="G309:N309" si="234">SUM(G310:G310)</f>
        <v>0</v>
      </c>
      <c r="H309" s="30">
        <f t="shared" si="234"/>
        <v>0</v>
      </c>
      <c r="I309" s="30">
        <f t="shared" si="234"/>
        <v>0</v>
      </c>
      <c r="J309" s="30">
        <f t="shared" si="234"/>
        <v>0</v>
      </c>
      <c r="K309" s="30">
        <f t="shared" si="234"/>
        <v>0</v>
      </c>
      <c r="L309" s="30">
        <f t="shared" si="234"/>
        <v>0</v>
      </c>
      <c r="M309" s="30">
        <f t="shared" si="234"/>
        <v>0</v>
      </c>
      <c r="N309" s="30">
        <f t="shared" si="234"/>
        <v>0</v>
      </c>
      <c r="O309" s="30">
        <f>SUM(O310:O310)+27026.96</f>
        <v>27026.959999999999</v>
      </c>
      <c r="P309" s="30">
        <f>SUM(P310:P310)+27026.96</f>
        <v>27026.959999999999</v>
      </c>
      <c r="Q309" s="30">
        <f t="shared" ref="Q309:X309" si="235">SUM(Q310:Q310)</f>
        <v>0</v>
      </c>
      <c r="R309" s="30">
        <f t="shared" si="235"/>
        <v>0</v>
      </c>
      <c r="S309" s="30">
        <f t="shared" si="235"/>
        <v>0</v>
      </c>
      <c r="T309" s="30">
        <f t="shared" si="235"/>
        <v>0</v>
      </c>
      <c r="U309" s="30">
        <f t="shared" si="235"/>
        <v>0</v>
      </c>
      <c r="V309" s="30">
        <f t="shared" si="235"/>
        <v>0</v>
      </c>
      <c r="W309" s="30">
        <f t="shared" si="235"/>
        <v>0</v>
      </c>
      <c r="X309" s="30">
        <f t="shared" si="235"/>
        <v>0</v>
      </c>
      <c r="Y309" s="29" t="s">
        <v>829</v>
      </c>
      <c r="Z309" s="31" t="s">
        <v>40</v>
      </c>
      <c r="AA309" s="32" t="s">
        <v>41</v>
      </c>
      <c r="AB309" s="32" t="s">
        <v>41</v>
      </c>
      <c r="AC309" s="33"/>
    </row>
    <row r="310" spans="1:29" ht="93" x14ac:dyDescent="0.25">
      <c r="A310" s="34" t="s">
        <v>859</v>
      </c>
      <c r="B310" s="35" t="s">
        <v>860</v>
      </c>
      <c r="C310" s="36"/>
      <c r="D310" s="36"/>
      <c r="E310" s="37">
        <v>0</v>
      </c>
      <c r="F310" s="37">
        <v>0</v>
      </c>
      <c r="G310" s="37">
        <v>0</v>
      </c>
      <c r="H310" s="37">
        <v>0</v>
      </c>
      <c r="I310" s="37">
        <v>0</v>
      </c>
      <c r="J310" s="37">
        <v>0</v>
      </c>
      <c r="K310" s="37">
        <v>0</v>
      </c>
      <c r="L310" s="37">
        <v>0</v>
      </c>
      <c r="M310" s="37">
        <v>0</v>
      </c>
      <c r="N310" s="37">
        <v>0</v>
      </c>
      <c r="O310" s="37">
        <v>0</v>
      </c>
      <c r="P310" s="37">
        <v>0</v>
      </c>
      <c r="Q310" s="37">
        <v>0</v>
      </c>
      <c r="R310" s="37">
        <v>0</v>
      </c>
      <c r="S310" s="37">
        <v>0</v>
      </c>
      <c r="T310" s="37">
        <v>0</v>
      </c>
      <c r="U310" s="37">
        <v>0</v>
      </c>
      <c r="V310" s="37">
        <v>0</v>
      </c>
      <c r="W310" s="37">
        <v>0</v>
      </c>
      <c r="X310" s="37">
        <v>0</v>
      </c>
      <c r="Y310" s="36"/>
      <c r="Z310" s="38"/>
      <c r="AA310" s="39"/>
      <c r="AB310" s="39"/>
      <c r="AC310" s="40"/>
    </row>
    <row r="311" spans="1:29" ht="69.75" x14ac:dyDescent="0.25">
      <c r="A311" s="27" t="s">
        <v>861</v>
      </c>
      <c r="B311" s="28" t="s">
        <v>862</v>
      </c>
      <c r="C311" s="29" t="s">
        <v>117</v>
      </c>
      <c r="D311" s="29" t="s">
        <v>863</v>
      </c>
      <c r="E311" s="30">
        <f>SUM(E312:E312)+8520</f>
        <v>8520</v>
      </c>
      <c r="F311" s="30">
        <f>SUM(F312:F312)+8520</f>
        <v>8520</v>
      </c>
      <c r="G311" s="30">
        <f t="shared" ref="G311:N311" si="236">SUM(G312:G312)</f>
        <v>0</v>
      </c>
      <c r="H311" s="30">
        <f t="shared" si="236"/>
        <v>0</v>
      </c>
      <c r="I311" s="30">
        <f t="shared" si="236"/>
        <v>0</v>
      </c>
      <c r="J311" s="30">
        <f t="shared" si="236"/>
        <v>0</v>
      </c>
      <c r="K311" s="30">
        <f t="shared" si="236"/>
        <v>0</v>
      </c>
      <c r="L311" s="30">
        <f t="shared" si="236"/>
        <v>0</v>
      </c>
      <c r="M311" s="30">
        <f t="shared" si="236"/>
        <v>0</v>
      </c>
      <c r="N311" s="30">
        <f t="shared" si="236"/>
        <v>0</v>
      </c>
      <c r="O311" s="30">
        <f>SUM(O312:O312)+8518.48</f>
        <v>8518.48</v>
      </c>
      <c r="P311" s="30">
        <f>SUM(P312:P312)+8518.48</f>
        <v>8518.48</v>
      </c>
      <c r="Q311" s="30">
        <f t="shared" ref="Q311:X311" si="237">SUM(Q312:Q312)</f>
        <v>0</v>
      </c>
      <c r="R311" s="30">
        <f t="shared" si="237"/>
        <v>0</v>
      </c>
      <c r="S311" s="30">
        <f t="shared" si="237"/>
        <v>0</v>
      </c>
      <c r="T311" s="30">
        <f t="shared" si="237"/>
        <v>0</v>
      </c>
      <c r="U311" s="30">
        <f t="shared" si="237"/>
        <v>0</v>
      </c>
      <c r="V311" s="30">
        <f t="shared" si="237"/>
        <v>0</v>
      </c>
      <c r="W311" s="30">
        <f t="shared" si="237"/>
        <v>0</v>
      </c>
      <c r="X311" s="30">
        <f t="shared" si="237"/>
        <v>0</v>
      </c>
      <c r="Y311" s="29" t="s">
        <v>829</v>
      </c>
      <c r="Z311" s="31" t="s">
        <v>40</v>
      </c>
      <c r="AA311" s="32" t="s">
        <v>41</v>
      </c>
      <c r="AB311" s="32" t="s">
        <v>41</v>
      </c>
      <c r="AC311" s="33"/>
    </row>
    <row r="312" spans="1:29" ht="69.75" x14ac:dyDescent="0.25">
      <c r="A312" s="34" t="s">
        <v>864</v>
      </c>
      <c r="B312" s="35" t="s">
        <v>865</v>
      </c>
      <c r="C312" s="36"/>
      <c r="D312" s="36"/>
      <c r="E312" s="37">
        <v>0</v>
      </c>
      <c r="F312" s="37">
        <v>0</v>
      </c>
      <c r="G312" s="37">
        <v>0</v>
      </c>
      <c r="H312" s="37">
        <v>0</v>
      </c>
      <c r="I312" s="37">
        <v>0</v>
      </c>
      <c r="J312" s="37">
        <v>0</v>
      </c>
      <c r="K312" s="37">
        <v>0</v>
      </c>
      <c r="L312" s="37">
        <v>0</v>
      </c>
      <c r="M312" s="37">
        <v>0</v>
      </c>
      <c r="N312" s="37">
        <v>0</v>
      </c>
      <c r="O312" s="37">
        <v>0</v>
      </c>
      <c r="P312" s="37">
        <v>0</v>
      </c>
      <c r="Q312" s="37">
        <v>0</v>
      </c>
      <c r="R312" s="37">
        <v>0</v>
      </c>
      <c r="S312" s="37">
        <v>0</v>
      </c>
      <c r="T312" s="37">
        <v>0</v>
      </c>
      <c r="U312" s="37">
        <v>0</v>
      </c>
      <c r="V312" s="37">
        <v>0</v>
      </c>
      <c r="W312" s="37">
        <v>0</v>
      </c>
      <c r="X312" s="37">
        <v>0</v>
      </c>
      <c r="Y312" s="36"/>
      <c r="Z312" s="38"/>
      <c r="AA312" s="39"/>
      <c r="AB312" s="39"/>
      <c r="AC312" s="40"/>
    </row>
    <row r="313" spans="1:29" ht="69.75" x14ac:dyDescent="0.25">
      <c r="A313" s="27" t="s">
        <v>866</v>
      </c>
      <c r="B313" s="28" t="s">
        <v>867</v>
      </c>
      <c r="C313" s="29" t="s">
        <v>868</v>
      </c>
      <c r="D313" s="29" t="s">
        <v>869</v>
      </c>
      <c r="E313" s="30">
        <f>SUM(E314:E314)+22829</f>
        <v>22829</v>
      </c>
      <c r="F313" s="30">
        <f>SUM(F314:F314)+22829</f>
        <v>22829</v>
      </c>
      <c r="G313" s="30">
        <f t="shared" ref="G313:N313" si="238">SUM(G314:G314)</f>
        <v>0</v>
      </c>
      <c r="H313" s="30">
        <f t="shared" si="238"/>
        <v>0</v>
      </c>
      <c r="I313" s="30">
        <f t="shared" si="238"/>
        <v>0</v>
      </c>
      <c r="J313" s="30">
        <f t="shared" si="238"/>
        <v>0</v>
      </c>
      <c r="K313" s="30">
        <f t="shared" si="238"/>
        <v>0</v>
      </c>
      <c r="L313" s="30">
        <f t="shared" si="238"/>
        <v>0</v>
      </c>
      <c r="M313" s="30">
        <f t="shared" si="238"/>
        <v>0</v>
      </c>
      <c r="N313" s="30">
        <f t="shared" si="238"/>
        <v>0</v>
      </c>
      <c r="O313" s="30">
        <f>SUM(O314:O314)+22826.96</f>
        <v>22826.959999999999</v>
      </c>
      <c r="P313" s="30">
        <f>SUM(P314:P314)+22826.96</f>
        <v>22826.959999999999</v>
      </c>
      <c r="Q313" s="30">
        <f t="shared" ref="Q313:X313" si="239">SUM(Q314:Q314)</f>
        <v>0</v>
      </c>
      <c r="R313" s="30">
        <f t="shared" si="239"/>
        <v>0</v>
      </c>
      <c r="S313" s="30">
        <f t="shared" si="239"/>
        <v>0</v>
      </c>
      <c r="T313" s="30">
        <f t="shared" si="239"/>
        <v>0</v>
      </c>
      <c r="U313" s="30">
        <f t="shared" si="239"/>
        <v>0</v>
      </c>
      <c r="V313" s="30">
        <f t="shared" si="239"/>
        <v>0</v>
      </c>
      <c r="W313" s="30">
        <f t="shared" si="239"/>
        <v>0</v>
      </c>
      <c r="X313" s="30">
        <f t="shared" si="239"/>
        <v>0</v>
      </c>
      <c r="Y313" s="29" t="s">
        <v>829</v>
      </c>
      <c r="Z313" s="31" t="s">
        <v>40</v>
      </c>
      <c r="AA313" s="32" t="s">
        <v>41</v>
      </c>
      <c r="AB313" s="32" t="s">
        <v>41</v>
      </c>
      <c r="AC313" s="33"/>
    </row>
    <row r="314" spans="1:29" ht="69.75" x14ac:dyDescent="0.25">
      <c r="A314" s="34" t="s">
        <v>870</v>
      </c>
      <c r="B314" s="35" t="s">
        <v>871</v>
      </c>
      <c r="C314" s="36"/>
      <c r="D314" s="36"/>
      <c r="E314" s="37">
        <v>0</v>
      </c>
      <c r="F314" s="37">
        <v>0</v>
      </c>
      <c r="G314" s="37">
        <v>0</v>
      </c>
      <c r="H314" s="37">
        <v>0</v>
      </c>
      <c r="I314" s="37">
        <v>0</v>
      </c>
      <c r="J314" s="37">
        <v>0</v>
      </c>
      <c r="K314" s="37">
        <v>0</v>
      </c>
      <c r="L314" s="37">
        <v>0</v>
      </c>
      <c r="M314" s="37">
        <v>0</v>
      </c>
      <c r="N314" s="37">
        <v>0</v>
      </c>
      <c r="O314" s="37">
        <v>0</v>
      </c>
      <c r="P314" s="37">
        <v>0</v>
      </c>
      <c r="Q314" s="37">
        <v>0</v>
      </c>
      <c r="R314" s="37">
        <v>0</v>
      </c>
      <c r="S314" s="37">
        <v>0</v>
      </c>
      <c r="T314" s="37">
        <v>0</v>
      </c>
      <c r="U314" s="37">
        <v>0</v>
      </c>
      <c r="V314" s="37">
        <v>0</v>
      </c>
      <c r="W314" s="37">
        <v>0</v>
      </c>
      <c r="X314" s="37">
        <v>0</v>
      </c>
      <c r="Y314" s="36"/>
      <c r="Z314" s="38"/>
      <c r="AA314" s="39"/>
      <c r="AB314" s="39"/>
      <c r="AC314" s="40"/>
    </row>
    <row r="315" spans="1:29" ht="69.75" x14ac:dyDescent="0.25">
      <c r="A315" s="27" t="s">
        <v>872</v>
      </c>
      <c r="B315" s="28" t="s">
        <v>873</v>
      </c>
      <c r="C315" s="29" t="s">
        <v>874</v>
      </c>
      <c r="D315" s="29" t="s">
        <v>875</v>
      </c>
      <c r="E315" s="30">
        <f>SUM(E316:E316)+9956</f>
        <v>9956</v>
      </c>
      <c r="F315" s="30">
        <f>SUM(F316:F316)+9956</f>
        <v>9956</v>
      </c>
      <c r="G315" s="30">
        <f t="shared" ref="G315:N315" si="240">SUM(G316:G316)</f>
        <v>0</v>
      </c>
      <c r="H315" s="30">
        <f t="shared" si="240"/>
        <v>0</v>
      </c>
      <c r="I315" s="30">
        <f t="shared" si="240"/>
        <v>0</v>
      </c>
      <c r="J315" s="30">
        <f t="shared" si="240"/>
        <v>0</v>
      </c>
      <c r="K315" s="30">
        <f t="shared" si="240"/>
        <v>0</v>
      </c>
      <c r="L315" s="30">
        <f t="shared" si="240"/>
        <v>0</v>
      </c>
      <c r="M315" s="30">
        <f t="shared" si="240"/>
        <v>0</v>
      </c>
      <c r="N315" s="30">
        <f t="shared" si="240"/>
        <v>0</v>
      </c>
      <c r="O315" s="30">
        <f>SUM(O316:O316)+9955.15</f>
        <v>9955.15</v>
      </c>
      <c r="P315" s="30">
        <f>SUM(P316:P316)+9955.15</f>
        <v>9955.15</v>
      </c>
      <c r="Q315" s="30">
        <f t="shared" ref="Q315:X315" si="241">SUM(Q316:Q316)</f>
        <v>0</v>
      </c>
      <c r="R315" s="30">
        <f t="shared" si="241"/>
        <v>0</v>
      </c>
      <c r="S315" s="30">
        <f t="shared" si="241"/>
        <v>0</v>
      </c>
      <c r="T315" s="30">
        <f t="shared" si="241"/>
        <v>0</v>
      </c>
      <c r="U315" s="30">
        <f t="shared" si="241"/>
        <v>0</v>
      </c>
      <c r="V315" s="30">
        <f t="shared" si="241"/>
        <v>0</v>
      </c>
      <c r="W315" s="30">
        <f t="shared" si="241"/>
        <v>0</v>
      </c>
      <c r="X315" s="30">
        <f t="shared" si="241"/>
        <v>0</v>
      </c>
      <c r="Y315" s="29" t="s">
        <v>829</v>
      </c>
      <c r="Z315" s="31" t="s">
        <v>40</v>
      </c>
      <c r="AA315" s="32" t="s">
        <v>41</v>
      </c>
      <c r="AB315" s="32" t="s">
        <v>41</v>
      </c>
      <c r="AC315" s="33"/>
    </row>
    <row r="316" spans="1:29" ht="69.75" x14ac:dyDescent="0.25">
      <c r="A316" s="34" t="s">
        <v>876</v>
      </c>
      <c r="B316" s="35" t="s">
        <v>877</v>
      </c>
      <c r="C316" s="36"/>
      <c r="D316" s="36"/>
      <c r="E316" s="37">
        <v>0</v>
      </c>
      <c r="F316" s="37">
        <v>0</v>
      </c>
      <c r="G316" s="37">
        <v>0</v>
      </c>
      <c r="H316" s="37">
        <v>0</v>
      </c>
      <c r="I316" s="37">
        <v>0</v>
      </c>
      <c r="J316" s="37">
        <v>0</v>
      </c>
      <c r="K316" s="37">
        <v>0</v>
      </c>
      <c r="L316" s="37">
        <v>0</v>
      </c>
      <c r="M316" s="37">
        <v>0</v>
      </c>
      <c r="N316" s="37">
        <v>0</v>
      </c>
      <c r="O316" s="37">
        <v>0</v>
      </c>
      <c r="P316" s="37">
        <v>0</v>
      </c>
      <c r="Q316" s="37">
        <v>0</v>
      </c>
      <c r="R316" s="37">
        <v>0</v>
      </c>
      <c r="S316" s="37">
        <v>0</v>
      </c>
      <c r="T316" s="37">
        <v>0</v>
      </c>
      <c r="U316" s="37">
        <v>0</v>
      </c>
      <c r="V316" s="37">
        <v>0</v>
      </c>
      <c r="W316" s="37">
        <v>0</v>
      </c>
      <c r="X316" s="37">
        <v>0</v>
      </c>
      <c r="Y316" s="36"/>
      <c r="Z316" s="38"/>
      <c r="AA316" s="39"/>
      <c r="AB316" s="39"/>
      <c r="AC316" s="40"/>
    </row>
    <row r="317" spans="1:29" ht="69.75" x14ac:dyDescent="0.25">
      <c r="A317" s="27" t="s">
        <v>878</v>
      </c>
      <c r="B317" s="28" t="s">
        <v>879</v>
      </c>
      <c r="C317" s="29" t="s">
        <v>880</v>
      </c>
      <c r="D317" s="29" t="s">
        <v>881</v>
      </c>
      <c r="E317" s="30">
        <f>SUM(E318:E319)+19950</f>
        <v>19950</v>
      </c>
      <c r="F317" s="30">
        <f>SUM(F318:F319)+19950</f>
        <v>19950</v>
      </c>
      <c r="G317" s="30">
        <f t="shared" ref="G317:N317" si="242">SUM(G318:G319)</f>
        <v>0</v>
      </c>
      <c r="H317" s="30">
        <f t="shared" si="242"/>
        <v>0</v>
      </c>
      <c r="I317" s="30">
        <f t="shared" si="242"/>
        <v>0</v>
      </c>
      <c r="J317" s="30">
        <f t="shared" si="242"/>
        <v>0</v>
      </c>
      <c r="K317" s="30">
        <f t="shared" si="242"/>
        <v>0</v>
      </c>
      <c r="L317" s="30">
        <f t="shared" si="242"/>
        <v>0</v>
      </c>
      <c r="M317" s="30">
        <f t="shared" si="242"/>
        <v>0</v>
      </c>
      <c r="N317" s="30">
        <f t="shared" si="242"/>
        <v>0</v>
      </c>
      <c r="O317" s="30">
        <f>SUM(O318:O319)+19946.39</f>
        <v>19946.39</v>
      </c>
      <c r="P317" s="30">
        <f>SUM(P318:P319)+19946.39</f>
        <v>19946.39</v>
      </c>
      <c r="Q317" s="30">
        <f t="shared" ref="Q317:X317" si="243">SUM(Q318:Q319)</f>
        <v>0</v>
      </c>
      <c r="R317" s="30">
        <f t="shared" si="243"/>
        <v>0</v>
      </c>
      <c r="S317" s="30">
        <f t="shared" si="243"/>
        <v>0</v>
      </c>
      <c r="T317" s="30">
        <f t="shared" si="243"/>
        <v>0</v>
      </c>
      <c r="U317" s="30">
        <f t="shared" si="243"/>
        <v>0</v>
      </c>
      <c r="V317" s="30">
        <f t="shared" si="243"/>
        <v>0</v>
      </c>
      <c r="W317" s="30">
        <f t="shared" si="243"/>
        <v>0</v>
      </c>
      <c r="X317" s="30">
        <f t="shared" si="243"/>
        <v>0</v>
      </c>
      <c r="Y317" s="29" t="s">
        <v>829</v>
      </c>
      <c r="Z317" s="31" t="s">
        <v>40</v>
      </c>
      <c r="AA317" s="32" t="s">
        <v>41</v>
      </c>
      <c r="AB317" s="32" t="s">
        <v>41</v>
      </c>
      <c r="AC317" s="33"/>
    </row>
    <row r="318" spans="1:29" ht="69.75" x14ac:dyDescent="0.25">
      <c r="A318" s="34" t="s">
        <v>882</v>
      </c>
      <c r="B318" s="35" t="s">
        <v>883</v>
      </c>
      <c r="C318" s="36"/>
      <c r="D318" s="36"/>
      <c r="E318" s="37">
        <v>0</v>
      </c>
      <c r="F318" s="37">
        <v>0</v>
      </c>
      <c r="G318" s="37">
        <v>0</v>
      </c>
      <c r="H318" s="37">
        <v>0</v>
      </c>
      <c r="I318" s="37">
        <v>0</v>
      </c>
      <c r="J318" s="37">
        <v>0</v>
      </c>
      <c r="K318" s="37">
        <v>0</v>
      </c>
      <c r="L318" s="37">
        <v>0</v>
      </c>
      <c r="M318" s="37">
        <v>0</v>
      </c>
      <c r="N318" s="37">
        <v>0</v>
      </c>
      <c r="O318" s="37">
        <v>0</v>
      </c>
      <c r="P318" s="37">
        <v>0</v>
      </c>
      <c r="Q318" s="37">
        <v>0</v>
      </c>
      <c r="R318" s="37">
        <v>0</v>
      </c>
      <c r="S318" s="37">
        <v>0</v>
      </c>
      <c r="T318" s="37">
        <v>0</v>
      </c>
      <c r="U318" s="37">
        <v>0</v>
      </c>
      <c r="V318" s="37">
        <v>0</v>
      </c>
      <c r="W318" s="37">
        <v>0</v>
      </c>
      <c r="X318" s="37">
        <v>0</v>
      </c>
      <c r="Y318" s="36"/>
      <c r="Z318" s="38"/>
      <c r="AA318" s="39"/>
      <c r="AB318" s="39"/>
      <c r="AC318" s="40"/>
    </row>
    <row r="319" spans="1:29" ht="93" x14ac:dyDescent="0.25">
      <c r="A319" s="34" t="s">
        <v>884</v>
      </c>
      <c r="B319" s="35" t="s">
        <v>885</v>
      </c>
      <c r="C319" s="36"/>
      <c r="D319" s="36"/>
      <c r="E319" s="37">
        <v>0</v>
      </c>
      <c r="F319" s="37">
        <v>0</v>
      </c>
      <c r="G319" s="37">
        <v>0</v>
      </c>
      <c r="H319" s="37">
        <v>0</v>
      </c>
      <c r="I319" s="37">
        <v>0</v>
      </c>
      <c r="J319" s="37">
        <v>0</v>
      </c>
      <c r="K319" s="37">
        <v>0</v>
      </c>
      <c r="L319" s="37">
        <v>0</v>
      </c>
      <c r="M319" s="37">
        <v>0</v>
      </c>
      <c r="N319" s="37">
        <v>0</v>
      </c>
      <c r="O319" s="37">
        <v>0</v>
      </c>
      <c r="P319" s="37">
        <v>0</v>
      </c>
      <c r="Q319" s="37">
        <v>0</v>
      </c>
      <c r="R319" s="37">
        <v>0</v>
      </c>
      <c r="S319" s="37">
        <v>0</v>
      </c>
      <c r="T319" s="37">
        <v>0</v>
      </c>
      <c r="U319" s="37">
        <v>0</v>
      </c>
      <c r="V319" s="37">
        <v>0</v>
      </c>
      <c r="W319" s="37">
        <v>0</v>
      </c>
      <c r="X319" s="37">
        <v>0</v>
      </c>
      <c r="Y319" s="36"/>
      <c r="Z319" s="38"/>
      <c r="AA319" s="39"/>
      <c r="AB319" s="39"/>
      <c r="AC319" s="40"/>
    </row>
    <row r="320" spans="1:29" ht="69.75" x14ac:dyDescent="0.25">
      <c r="A320" s="27" t="s">
        <v>886</v>
      </c>
      <c r="B320" s="28" t="s">
        <v>887</v>
      </c>
      <c r="C320" s="29" t="s">
        <v>888</v>
      </c>
      <c r="D320" s="29" t="s">
        <v>889</v>
      </c>
      <c r="E320" s="30">
        <f>SUM(E321:E321)+33127</f>
        <v>33127</v>
      </c>
      <c r="F320" s="30">
        <f>SUM(F321:F321)+33127</f>
        <v>33127</v>
      </c>
      <c r="G320" s="30">
        <f t="shared" ref="G320:N320" si="244">SUM(G321:G321)</f>
        <v>0</v>
      </c>
      <c r="H320" s="30">
        <f t="shared" si="244"/>
        <v>0</v>
      </c>
      <c r="I320" s="30">
        <f t="shared" si="244"/>
        <v>0</v>
      </c>
      <c r="J320" s="30">
        <f t="shared" si="244"/>
        <v>0</v>
      </c>
      <c r="K320" s="30">
        <f t="shared" si="244"/>
        <v>0</v>
      </c>
      <c r="L320" s="30">
        <f t="shared" si="244"/>
        <v>0</v>
      </c>
      <c r="M320" s="30">
        <f t="shared" si="244"/>
        <v>0</v>
      </c>
      <c r="N320" s="30">
        <f t="shared" si="244"/>
        <v>0</v>
      </c>
      <c r="O320" s="30">
        <f>SUM(O321:O321)+33124.98</f>
        <v>33124.980000000003</v>
      </c>
      <c r="P320" s="30">
        <f>SUM(P321:P321)+33124.98</f>
        <v>33124.980000000003</v>
      </c>
      <c r="Q320" s="30">
        <f t="shared" ref="Q320:X320" si="245">SUM(Q321:Q321)</f>
        <v>0</v>
      </c>
      <c r="R320" s="30">
        <f t="shared" si="245"/>
        <v>0</v>
      </c>
      <c r="S320" s="30">
        <f t="shared" si="245"/>
        <v>0</v>
      </c>
      <c r="T320" s="30">
        <f t="shared" si="245"/>
        <v>0</v>
      </c>
      <c r="U320" s="30">
        <f t="shared" si="245"/>
        <v>0</v>
      </c>
      <c r="V320" s="30">
        <f t="shared" si="245"/>
        <v>0</v>
      </c>
      <c r="W320" s="30">
        <f t="shared" si="245"/>
        <v>0</v>
      </c>
      <c r="X320" s="30">
        <f t="shared" si="245"/>
        <v>0</v>
      </c>
      <c r="Y320" s="29" t="s">
        <v>829</v>
      </c>
      <c r="Z320" s="31" t="s">
        <v>40</v>
      </c>
      <c r="AA320" s="32" t="s">
        <v>41</v>
      </c>
      <c r="AB320" s="32" t="s">
        <v>41</v>
      </c>
      <c r="AC320" s="33"/>
    </row>
    <row r="321" spans="1:29" ht="69.75" x14ac:dyDescent="0.25">
      <c r="A321" s="34" t="s">
        <v>890</v>
      </c>
      <c r="B321" s="35" t="s">
        <v>891</v>
      </c>
      <c r="C321" s="36"/>
      <c r="D321" s="36"/>
      <c r="E321" s="37">
        <v>0</v>
      </c>
      <c r="F321" s="37">
        <v>0</v>
      </c>
      <c r="G321" s="37">
        <v>0</v>
      </c>
      <c r="H321" s="37">
        <v>0</v>
      </c>
      <c r="I321" s="37">
        <v>0</v>
      </c>
      <c r="J321" s="37">
        <v>0</v>
      </c>
      <c r="K321" s="37">
        <v>0</v>
      </c>
      <c r="L321" s="37">
        <v>0</v>
      </c>
      <c r="M321" s="37">
        <v>0</v>
      </c>
      <c r="N321" s="37">
        <v>0</v>
      </c>
      <c r="O321" s="37">
        <v>0</v>
      </c>
      <c r="P321" s="37">
        <v>0</v>
      </c>
      <c r="Q321" s="37">
        <v>0</v>
      </c>
      <c r="R321" s="37">
        <v>0</v>
      </c>
      <c r="S321" s="37">
        <v>0</v>
      </c>
      <c r="T321" s="37">
        <v>0</v>
      </c>
      <c r="U321" s="37">
        <v>0</v>
      </c>
      <c r="V321" s="37">
        <v>0</v>
      </c>
      <c r="W321" s="37">
        <v>0</v>
      </c>
      <c r="X321" s="37">
        <v>0</v>
      </c>
      <c r="Y321" s="36"/>
      <c r="Z321" s="38"/>
      <c r="AA321" s="39"/>
      <c r="AB321" s="39"/>
      <c r="AC321" s="40"/>
    </row>
    <row r="322" spans="1:29" ht="69.75" x14ac:dyDescent="0.25">
      <c r="A322" s="27" t="s">
        <v>892</v>
      </c>
      <c r="B322" s="28" t="s">
        <v>893</v>
      </c>
      <c r="C322" s="29" t="s">
        <v>894</v>
      </c>
      <c r="D322" s="29" t="s">
        <v>895</v>
      </c>
      <c r="E322" s="30">
        <f>SUM(E323:E323)+17720</f>
        <v>17720</v>
      </c>
      <c r="F322" s="30">
        <f>SUM(F323:F323)+17720</f>
        <v>17720</v>
      </c>
      <c r="G322" s="30">
        <f t="shared" ref="G322:N322" si="246">SUM(G323:G323)</f>
        <v>0</v>
      </c>
      <c r="H322" s="30">
        <f t="shared" si="246"/>
        <v>0</v>
      </c>
      <c r="I322" s="30">
        <f t="shared" si="246"/>
        <v>0</v>
      </c>
      <c r="J322" s="30">
        <f t="shared" si="246"/>
        <v>0</v>
      </c>
      <c r="K322" s="30">
        <f t="shared" si="246"/>
        <v>0</v>
      </c>
      <c r="L322" s="30">
        <f t="shared" si="246"/>
        <v>0</v>
      </c>
      <c r="M322" s="30">
        <f t="shared" si="246"/>
        <v>0</v>
      </c>
      <c r="N322" s="30">
        <f t="shared" si="246"/>
        <v>0</v>
      </c>
      <c r="O322" s="30">
        <f>SUM(O323:O323)+17718.13</f>
        <v>17718.13</v>
      </c>
      <c r="P322" s="30">
        <f>SUM(P323:P323)+17718.13</f>
        <v>17718.13</v>
      </c>
      <c r="Q322" s="30">
        <f t="shared" ref="Q322:X322" si="247">SUM(Q323:Q323)</f>
        <v>0</v>
      </c>
      <c r="R322" s="30">
        <f t="shared" si="247"/>
        <v>0</v>
      </c>
      <c r="S322" s="30">
        <f t="shared" si="247"/>
        <v>0</v>
      </c>
      <c r="T322" s="30">
        <f t="shared" si="247"/>
        <v>0</v>
      </c>
      <c r="U322" s="30">
        <f t="shared" si="247"/>
        <v>0</v>
      </c>
      <c r="V322" s="30">
        <f t="shared" si="247"/>
        <v>0</v>
      </c>
      <c r="W322" s="30">
        <f t="shared" si="247"/>
        <v>0</v>
      </c>
      <c r="X322" s="30">
        <f t="shared" si="247"/>
        <v>0</v>
      </c>
      <c r="Y322" s="29" t="s">
        <v>829</v>
      </c>
      <c r="Z322" s="31" t="s">
        <v>40</v>
      </c>
      <c r="AA322" s="32" t="s">
        <v>41</v>
      </c>
      <c r="AB322" s="32" t="s">
        <v>41</v>
      </c>
      <c r="AC322" s="33"/>
    </row>
    <row r="323" spans="1:29" ht="69.75" x14ac:dyDescent="0.25">
      <c r="A323" s="34" t="s">
        <v>896</v>
      </c>
      <c r="B323" s="35" t="s">
        <v>897</v>
      </c>
      <c r="C323" s="36"/>
      <c r="D323" s="36"/>
      <c r="E323" s="37">
        <v>0</v>
      </c>
      <c r="F323" s="37">
        <v>0</v>
      </c>
      <c r="G323" s="37">
        <v>0</v>
      </c>
      <c r="H323" s="37">
        <v>0</v>
      </c>
      <c r="I323" s="37">
        <v>0</v>
      </c>
      <c r="J323" s="37">
        <v>0</v>
      </c>
      <c r="K323" s="37">
        <v>0</v>
      </c>
      <c r="L323" s="37">
        <v>0</v>
      </c>
      <c r="M323" s="37">
        <v>0</v>
      </c>
      <c r="N323" s="37">
        <v>0</v>
      </c>
      <c r="O323" s="37">
        <v>0</v>
      </c>
      <c r="P323" s="37">
        <v>0</v>
      </c>
      <c r="Q323" s="37">
        <v>0</v>
      </c>
      <c r="R323" s="37">
        <v>0</v>
      </c>
      <c r="S323" s="37">
        <v>0</v>
      </c>
      <c r="T323" s="37">
        <v>0</v>
      </c>
      <c r="U323" s="37">
        <v>0</v>
      </c>
      <c r="V323" s="37">
        <v>0</v>
      </c>
      <c r="W323" s="37">
        <v>0</v>
      </c>
      <c r="X323" s="37">
        <v>0</v>
      </c>
      <c r="Y323" s="36"/>
      <c r="Z323" s="38"/>
      <c r="AA323" s="39"/>
      <c r="AB323" s="39"/>
      <c r="AC323" s="40"/>
    </row>
    <row r="324" spans="1:29" ht="69.75" x14ac:dyDescent="0.25">
      <c r="A324" s="27" t="s">
        <v>898</v>
      </c>
      <c r="B324" s="28" t="s">
        <v>899</v>
      </c>
      <c r="C324" s="29" t="s">
        <v>900</v>
      </c>
      <c r="D324" s="29" t="s">
        <v>901</v>
      </c>
      <c r="E324" s="30">
        <f>SUM(E325:E325)+25000</f>
        <v>25000</v>
      </c>
      <c r="F324" s="30">
        <f>SUM(F325:F325)+25000</f>
        <v>25000</v>
      </c>
      <c r="G324" s="30">
        <f t="shared" ref="G324:N324" si="248">SUM(G325:G325)</f>
        <v>0</v>
      </c>
      <c r="H324" s="30">
        <f t="shared" si="248"/>
        <v>0</v>
      </c>
      <c r="I324" s="30">
        <f t="shared" si="248"/>
        <v>0</v>
      </c>
      <c r="J324" s="30">
        <f t="shared" si="248"/>
        <v>0</v>
      </c>
      <c r="K324" s="30">
        <f t="shared" si="248"/>
        <v>0</v>
      </c>
      <c r="L324" s="30">
        <f t="shared" si="248"/>
        <v>0</v>
      </c>
      <c r="M324" s="30">
        <f t="shared" si="248"/>
        <v>0</v>
      </c>
      <c r="N324" s="30">
        <f t="shared" si="248"/>
        <v>0</v>
      </c>
      <c r="O324" s="30">
        <f>SUM(O325:O325)+24998.7</f>
        <v>24998.7</v>
      </c>
      <c r="P324" s="30">
        <f>SUM(P325:P325)+24998.7</f>
        <v>24998.7</v>
      </c>
      <c r="Q324" s="30">
        <f t="shared" ref="Q324:X324" si="249">SUM(Q325:Q325)</f>
        <v>0</v>
      </c>
      <c r="R324" s="30">
        <f t="shared" si="249"/>
        <v>0</v>
      </c>
      <c r="S324" s="30">
        <f t="shared" si="249"/>
        <v>0</v>
      </c>
      <c r="T324" s="30">
        <f t="shared" si="249"/>
        <v>0</v>
      </c>
      <c r="U324" s="30">
        <f t="shared" si="249"/>
        <v>0</v>
      </c>
      <c r="V324" s="30">
        <f t="shared" si="249"/>
        <v>0</v>
      </c>
      <c r="W324" s="30">
        <f t="shared" si="249"/>
        <v>0</v>
      </c>
      <c r="X324" s="30">
        <f t="shared" si="249"/>
        <v>0</v>
      </c>
      <c r="Y324" s="29" t="s">
        <v>829</v>
      </c>
      <c r="Z324" s="31" t="s">
        <v>40</v>
      </c>
      <c r="AA324" s="32" t="s">
        <v>69</v>
      </c>
      <c r="AB324" s="32" t="s">
        <v>69</v>
      </c>
      <c r="AC324" s="33"/>
    </row>
    <row r="325" spans="1:29" ht="69.75" x14ac:dyDescent="0.25">
      <c r="A325" s="34" t="s">
        <v>902</v>
      </c>
      <c r="B325" s="35" t="s">
        <v>903</v>
      </c>
      <c r="C325" s="36"/>
      <c r="D325" s="36"/>
      <c r="E325" s="37">
        <v>0</v>
      </c>
      <c r="F325" s="37">
        <v>0</v>
      </c>
      <c r="G325" s="37">
        <v>0</v>
      </c>
      <c r="H325" s="37">
        <v>0</v>
      </c>
      <c r="I325" s="37">
        <v>0</v>
      </c>
      <c r="J325" s="37">
        <v>0</v>
      </c>
      <c r="K325" s="37">
        <v>0</v>
      </c>
      <c r="L325" s="37">
        <v>0</v>
      </c>
      <c r="M325" s="37">
        <v>0</v>
      </c>
      <c r="N325" s="37">
        <v>0</v>
      </c>
      <c r="O325" s="37">
        <v>0</v>
      </c>
      <c r="P325" s="37">
        <v>0</v>
      </c>
      <c r="Q325" s="37">
        <v>0</v>
      </c>
      <c r="R325" s="37">
        <v>0</v>
      </c>
      <c r="S325" s="37">
        <v>0</v>
      </c>
      <c r="T325" s="37">
        <v>0</v>
      </c>
      <c r="U325" s="37">
        <v>0</v>
      </c>
      <c r="V325" s="37">
        <v>0</v>
      </c>
      <c r="W325" s="37">
        <v>0</v>
      </c>
      <c r="X325" s="37">
        <v>0</v>
      </c>
      <c r="Y325" s="36"/>
      <c r="Z325" s="38"/>
      <c r="AA325" s="39"/>
      <c r="AB325" s="39"/>
      <c r="AC325" s="40"/>
    </row>
    <row r="326" spans="1:29" ht="69.75" x14ac:dyDescent="0.25">
      <c r="A326" s="27" t="s">
        <v>904</v>
      </c>
      <c r="B326" s="28" t="s">
        <v>905</v>
      </c>
      <c r="C326" s="29" t="s">
        <v>906</v>
      </c>
      <c r="D326" s="29" t="s">
        <v>907</v>
      </c>
      <c r="E326" s="30">
        <f>SUM(E327:E327)+27119.61</f>
        <v>27119.61</v>
      </c>
      <c r="F326" s="30">
        <f>SUM(F327:F327)+26252</f>
        <v>26252</v>
      </c>
      <c r="G326" s="30">
        <f>SUM(G327:G327)+867.61</f>
        <v>867.61</v>
      </c>
      <c r="H326" s="30">
        <f t="shared" ref="H326:N326" si="250">SUM(H327:H327)</f>
        <v>0</v>
      </c>
      <c r="I326" s="30">
        <f t="shared" si="250"/>
        <v>0</v>
      </c>
      <c r="J326" s="30">
        <f t="shared" si="250"/>
        <v>0</v>
      </c>
      <c r="K326" s="30">
        <f t="shared" si="250"/>
        <v>0</v>
      </c>
      <c r="L326" s="30">
        <f t="shared" si="250"/>
        <v>0</v>
      </c>
      <c r="M326" s="30">
        <f t="shared" si="250"/>
        <v>0</v>
      </c>
      <c r="N326" s="30">
        <f t="shared" si="250"/>
        <v>0</v>
      </c>
      <c r="O326" s="30">
        <f>SUM(O327:O327)+27081.59</f>
        <v>27081.59</v>
      </c>
      <c r="P326" s="30">
        <f>SUM(P327:P327)+26213.98</f>
        <v>26213.98</v>
      </c>
      <c r="Q326" s="30">
        <f>SUM(Q327:Q327)+800</f>
        <v>800</v>
      </c>
      <c r="R326" s="30">
        <f t="shared" ref="R326:X326" si="251">SUM(R327:R327)</f>
        <v>0</v>
      </c>
      <c r="S326" s="30">
        <f t="shared" si="251"/>
        <v>0</v>
      </c>
      <c r="T326" s="30">
        <f t="shared" si="251"/>
        <v>0</v>
      </c>
      <c r="U326" s="30">
        <f t="shared" si="251"/>
        <v>0</v>
      </c>
      <c r="V326" s="30">
        <f t="shared" si="251"/>
        <v>0</v>
      </c>
      <c r="W326" s="30">
        <f t="shared" si="251"/>
        <v>0</v>
      </c>
      <c r="X326" s="30">
        <f t="shared" si="251"/>
        <v>0</v>
      </c>
      <c r="Y326" s="29" t="s">
        <v>829</v>
      </c>
      <c r="Z326" s="31" t="s">
        <v>40</v>
      </c>
      <c r="AA326" s="32" t="s">
        <v>41</v>
      </c>
      <c r="AB326" s="32" t="s">
        <v>41</v>
      </c>
      <c r="AC326" s="33"/>
    </row>
    <row r="327" spans="1:29" ht="69.75" x14ac:dyDescent="0.25">
      <c r="A327" s="34" t="s">
        <v>908</v>
      </c>
      <c r="B327" s="35" t="s">
        <v>909</v>
      </c>
      <c r="C327" s="36"/>
      <c r="D327" s="36"/>
      <c r="E327" s="37">
        <v>0</v>
      </c>
      <c r="F327" s="37">
        <v>0</v>
      </c>
      <c r="G327" s="37">
        <v>0</v>
      </c>
      <c r="H327" s="37">
        <v>0</v>
      </c>
      <c r="I327" s="37">
        <v>0</v>
      </c>
      <c r="J327" s="37">
        <v>0</v>
      </c>
      <c r="K327" s="37">
        <v>0</v>
      </c>
      <c r="L327" s="37">
        <v>0</v>
      </c>
      <c r="M327" s="37">
        <v>0</v>
      </c>
      <c r="N327" s="37">
        <v>0</v>
      </c>
      <c r="O327" s="37">
        <v>0</v>
      </c>
      <c r="P327" s="37">
        <v>0</v>
      </c>
      <c r="Q327" s="37">
        <v>0</v>
      </c>
      <c r="R327" s="37">
        <v>0</v>
      </c>
      <c r="S327" s="37">
        <v>0</v>
      </c>
      <c r="T327" s="37">
        <v>0</v>
      </c>
      <c r="U327" s="37">
        <v>0</v>
      </c>
      <c r="V327" s="37">
        <v>0</v>
      </c>
      <c r="W327" s="37">
        <v>0</v>
      </c>
      <c r="X327" s="37">
        <v>0</v>
      </c>
      <c r="Y327" s="36"/>
      <c r="Z327" s="38"/>
      <c r="AA327" s="39"/>
      <c r="AB327" s="39"/>
      <c r="AC327" s="40"/>
    </row>
    <row r="328" spans="1:29" ht="180" x14ac:dyDescent="0.25">
      <c r="A328" s="20" t="s">
        <v>910</v>
      </c>
      <c r="B328" s="21" t="s">
        <v>911</v>
      </c>
      <c r="C328" s="22" t="s">
        <v>279</v>
      </c>
      <c r="D328" s="22" t="s">
        <v>304</v>
      </c>
      <c r="E328" s="23">
        <f t="shared" ref="E328:X328" si="252">SUM(E329:E329)</f>
        <v>466311.8</v>
      </c>
      <c r="F328" s="23">
        <f t="shared" si="252"/>
        <v>466311.8</v>
      </c>
      <c r="G328" s="23">
        <f t="shared" si="252"/>
        <v>0</v>
      </c>
      <c r="H328" s="23">
        <f t="shared" si="252"/>
        <v>0</v>
      </c>
      <c r="I328" s="23">
        <f t="shared" si="252"/>
        <v>0</v>
      </c>
      <c r="J328" s="23">
        <f t="shared" si="252"/>
        <v>0</v>
      </c>
      <c r="K328" s="23">
        <f t="shared" si="252"/>
        <v>0</v>
      </c>
      <c r="L328" s="23">
        <f t="shared" si="252"/>
        <v>0</v>
      </c>
      <c r="M328" s="23">
        <f t="shared" si="252"/>
        <v>0</v>
      </c>
      <c r="N328" s="23">
        <f t="shared" si="252"/>
        <v>0</v>
      </c>
      <c r="O328" s="23">
        <f t="shared" si="252"/>
        <v>461360.73</v>
      </c>
      <c r="P328" s="23">
        <f t="shared" si="252"/>
        <v>405360.73</v>
      </c>
      <c r="Q328" s="23">
        <f t="shared" si="252"/>
        <v>0</v>
      </c>
      <c r="R328" s="23">
        <f t="shared" si="252"/>
        <v>0</v>
      </c>
      <c r="S328" s="23">
        <f t="shared" si="252"/>
        <v>0</v>
      </c>
      <c r="T328" s="23">
        <f t="shared" si="252"/>
        <v>0</v>
      </c>
      <c r="U328" s="23">
        <f t="shared" si="252"/>
        <v>0</v>
      </c>
      <c r="V328" s="23">
        <f t="shared" si="252"/>
        <v>0</v>
      </c>
      <c r="W328" s="23">
        <f t="shared" si="252"/>
        <v>0</v>
      </c>
      <c r="X328" s="23">
        <f t="shared" si="252"/>
        <v>0</v>
      </c>
      <c r="Y328" s="22" t="s">
        <v>912</v>
      </c>
      <c r="Z328" s="24" t="s">
        <v>34</v>
      </c>
      <c r="AA328" s="25" t="s">
        <v>913</v>
      </c>
      <c r="AB328" s="25" t="s">
        <v>914</v>
      </c>
      <c r="AC328" s="26" t="s">
        <v>915</v>
      </c>
    </row>
    <row r="329" spans="1:29" ht="162.75" x14ac:dyDescent="0.25">
      <c r="A329" s="27" t="s">
        <v>916</v>
      </c>
      <c r="B329" s="28" t="s">
        <v>917</v>
      </c>
      <c r="C329" s="29" t="s">
        <v>279</v>
      </c>
      <c r="D329" s="29" t="s">
        <v>304</v>
      </c>
      <c r="E329" s="30">
        <f>SUM(E330:E330)+466311.8</f>
        <v>466311.8</v>
      </c>
      <c r="F329" s="30">
        <f>SUM(F330:F330)+466311.8</f>
        <v>466311.8</v>
      </c>
      <c r="G329" s="30">
        <f t="shared" ref="G329:N329" si="253">SUM(G330:G330)</f>
        <v>0</v>
      </c>
      <c r="H329" s="30">
        <f t="shared" si="253"/>
        <v>0</v>
      </c>
      <c r="I329" s="30">
        <f t="shared" si="253"/>
        <v>0</v>
      </c>
      <c r="J329" s="30">
        <f t="shared" si="253"/>
        <v>0</v>
      </c>
      <c r="K329" s="30">
        <f t="shared" si="253"/>
        <v>0</v>
      </c>
      <c r="L329" s="30">
        <f t="shared" si="253"/>
        <v>0</v>
      </c>
      <c r="M329" s="30">
        <f t="shared" si="253"/>
        <v>0</v>
      </c>
      <c r="N329" s="30">
        <f t="shared" si="253"/>
        <v>0</v>
      </c>
      <c r="O329" s="30">
        <f>SUM(O330:O330)+461360.73</f>
        <v>461360.73</v>
      </c>
      <c r="P329" s="30">
        <f>SUM(P330:P330)+405360.73</f>
        <v>405360.73</v>
      </c>
      <c r="Q329" s="30">
        <f t="shared" ref="Q329:X329" si="254">SUM(Q330:Q330)</f>
        <v>0</v>
      </c>
      <c r="R329" s="30">
        <f t="shared" si="254"/>
        <v>0</v>
      </c>
      <c r="S329" s="30">
        <f t="shared" si="254"/>
        <v>0</v>
      </c>
      <c r="T329" s="30">
        <f t="shared" si="254"/>
        <v>0</v>
      </c>
      <c r="U329" s="30">
        <f t="shared" si="254"/>
        <v>0</v>
      </c>
      <c r="V329" s="30">
        <f t="shared" si="254"/>
        <v>0</v>
      </c>
      <c r="W329" s="30">
        <f t="shared" si="254"/>
        <v>0</v>
      </c>
      <c r="X329" s="30">
        <f t="shared" si="254"/>
        <v>0</v>
      </c>
      <c r="Y329" s="29" t="s">
        <v>912</v>
      </c>
      <c r="Z329" s="31" t="s">
        <v>34</v>
      </c>
      <c r="AA329" s="32" t="s">
        <v>913</v>
      </c>
      <c r="AB329" s="32" t="s">
        <v>914</v>
      </c>
      <c r="AC329" s="33" t="s">
        <v>915</v>
      </c>
    </row>
    <row r="330" spans="1:29" ht="46.5" x14ac:dyDescent="0.25">
      <c r="A330" s="34" t="s">
        <v>918</v>
      </c>
      <c r="B330" s="35" t="s">
        <v>919</v>
      </c>
      <c r="C330" s="36"/>
      <c r="D330" s="36"/>
      <c r="E330" s="37">
        <v>0</v>
      </c>
      <c r="F330" s="37">
        <v>0</v>
      </c>
      <c r="G330" s="37">
        <v>0</v>
      </c>
      <c r="H330" s="37">
        <v>0</v>
      </c>
      <c r="I330" s="37">
        <v>0</v>
      </c>
      <c r="J330" s="37">
        <v>0</v>
      </c>
      <c r="K330" s="37">
        <v>0</v>
      </c>
      <c r="L330" s="37">
        <v>0</v>
      </c>
      <c r="M330" s="37">
        <v>0</v>
      </c>
      <c r="N330" s="37">
        <v>0</v>
      </c>
      <c r="O330" s="37">
        <v>0</v>
      </c>
      <c r="P330" s="37">
        <v>0</v>
      </c>
      <c r="Q330" s="37">
        <v>0</v>
      </c>
      <c r="R330" s="37">
        <v>0</v>
      </c>
      <c r="S330" s="37">
        <v>0</v>
      </c>
      <c r="T330" s="37">
        <v>0</v>
      </c>
      <c r="U330" s="37">
        <v>0</v>
      </c>
      <c r="V330" s="37">
        <v>0</v>
      </c>
      <c r="W330" s="37">
        <v>0</v>
      </c>
      <c r="X330" s="37">
        <v>0</v>
      </c>
      <c r="Y330" s="36"/>
      <c r="Z330" s="38"/>
      <c r="AA330" s="39"/>
      <c r="AB330" s="39"/>
      <c r="AC330" s="40"/>
    </row>
    <row r="331" spans="1:29" ht="45" x14ac:dyDescent="0.25">
      <c r="A331" s="20" t="s">
        <v>920</v>
      </c>
      <c r="B331" s="21" t="s">
        <v>921</v>
      </c>
      <c r="C331" s="22" t="s">
        <v>655</v>
      </c>
      <c r="D331" s="22" t="s">
        <v>656</v>
      </c>
      <c r="E331" s="23">
        <f t="shared" ref="E331:X331" si="255">E332+E334+E336</f>
        <v>72664.399999999994</v>
      </c>
      <c r="F331" s="23">
        <f t="shared" si="255"/>
        <v>72664.399999999994</v>
      </c>
      <c r="G331" s="23">
        <f t="shared" si="255"/>
        <v>0</v>
      </c>
      <c r="H331" s="23">
        <f t="shared" si="255"/>
        <v>0</v>
      </c>
      <c r="I331" s="23">
        <f t="shared" si="255"/>
        <v>0</v>
      </c>
      <c r="J331" s="23">
        <f t="shared" si="255"/>
        <v>0</v>
      </c>
      <c r="K331" s="23">
        <f t="shared" si="255"/>
        <v>0</v>
      </c>
      <c r="L331" s="23">
        <f t="shared" si="255"/>
        <v>0</v>
      </c>
      <c r="M331" s="23">
        <f t="shared" si="255"/>
        <v>0</v>
      </c>
      <c r="N331" s="23">
        <f t="shared" si="255"/>
        <v>0</v>
      </c>
      <c r="O331" s="23">
        <f t="shared" si="255"/>
        <v>71038.399999999994</v>
      </c>
      <c r="P331" s="23">
        <f t="shared" si="255"/>
        <v>71038.399999999994</v>
      </c>
      <c r="Q331" s="23">
        <f t="shared" si="255"/>
        <v>0</v>
      </c>
      <c r="R331" s="23">
        <f t="shared" si="255"/>
        <v>0</v>
      </c>
      <c r="S331" s="23">
        <f t="shared" si="255"/>
        <v>0</v>
      </c>
      <c r="T331" s="23">
        <f t="shared" si="255"/>
        <v>0</v>
      </c>
      <c r="U331" s="23">
        <f t="shared" si="255"/>
        <v>0</v>
      </c>
      <c r="V331" s="23">
        <f t="shared" si="255"/>
        <v>0</v>
      </c>
      <c r="W331" s="23">
        <f t="shared" si="255"/>
        <v>0</v>
      </c>
      <c r="X331" s="23">
        <f t="shared" si="255"/>
        <v>0</v>
      </c>
      <c r="Y331" s="22" t="s">
        <v>922</v>
      </c>
      <c r="Z331" s="24" t="s">
        <v>40</v>
      </c>
      <c r="AA331" s="25" t="s">
        <v>923</v>
      </c>
      <c r="AB331" s="25" t="s">
        <v>924</v>
      </c>
      <c r="AC331" s="26"/>
    </row>
    <row r="332" spans="1:29" ht="69.75" x14ac:dyDescent="0.25">
      <c r="A332" s="27" t="s">
        <v>925</v>
      </c>
      <c r="B332" s="28" t="s">
        <v>926</v>
      </c>
      <c r="C332" s="29" t="s">
        <v>655</v>
      </c>
      <c r="D332" s="29" t="s">
        <v>656</v>
      </c>
      <c r="E332" s="30">
        <f>SUM(E333:E333)+45200</f>
        <v>45200</v>
      </c>
      <c r="F332" s="30">
        <f>SUM(F333:F333)+45200</f>
        <v>45200</v>
      </c>
      <c r="G332" s="30">
        <f t="shared" ref="G332:N332" si="256">SUM(G333:G333)</f>
        <v>0</v>
      </c>
      <c r="H332" s="30">
        <f t="shared" si="256"/>
        <v>0</v>
      </c>
      <c r="I332" s="30">
        <f t="shared" si="256"/>
        <v>0</v>
      </c>
      <c r="J332" s="30">
        <f t="shared" si="256"/>
        <v>0</v>
      </c>
      <c r="K332" s="30">
        <f t="shared" si="256"/>
        <v>0</v>
      </c>
      <c r="L332" s="30">
        <f t="shared" si="256"/>
        <v>0</v>
      </c>
      <c r="M332" s="30">
        <f t="shared" si="256"/>
        <v>0</v>
      </c>
      <c r="N332" s="30">
        <f t="shared" si="256"/>
        <v>0</v>
      </c>
      <c r="O332" s="30">
        <f>SUM(O333:O333)+45200</f>
        <v>45200</v>
      </c>
      <c r="P332" s="30">
        <f>SUM(P333:P333)+45200</f>
        <v>45200</v>
      </c>
      <c r="Q332" s="30">
        <f t="shared" ref="Q332:X332" si="257">SUM(Q333:Q333)</f>
        <v>0</v>
      </c>
      <c r="R332" s="30">
        <f t="shared" si="257"/>
        <v>0</v>
      </c>
      <c r="S332" s="30">
        <f t="shared" si="257"/>
        <v>0</v>
      </c>
      <c r="T332" s="30">
        <f t="shared" si="257"/>
        <v>0</v>
      </c>
      <c r="U332" s="30">
        <f t="shared" si="257"/>
        <v>0</v>
      </c>
      <c r="V332" s="30">
        <f t="shared" si="257"/>
        <v>0</v>
      </c>
      <c r="W332" s="30">
        <f t="shared" si="257"/>
        <v>0</v>
      </c>
      <c r="X332" s="30">
        <f t="shared" si="257"/>
        <v>0</v>
      </c>
      <c r="Y332" s="29" t="s">
        <v>922</v>
      </c>
      <c r="Z332" s="31" t="s">
        <v>40</v>
      </c>
      <c r="AA332" s="32" t="s">
        <v>924</v>
      </c>
      <c r="AB332" s="32" t="s">
        <v>924</v>
      </c>
      <c r="AC332" s="33"/>
    </row>
    <row r="333" spans="1:29" ht="69.75" x14ac:dyDescent="0.25">
      <c r="A333" s="34" t="s">
        <v>927</v>
      </c>
      <c r="B333" s="35" t="s">
        <v>928</v>
      </c>
      <c r="C333" s="36"/>
      <c r="D333" s="36"/>
      <c r="E333" s="37">
        <v>0</v>
      </c>
      <c r="F333" s="37">
        <v>0</v>
      </c>
      <c r="G333" s="37">
        <v>0</v>
      </c>
      <c r="H333" s="37">
        <v>0</v>
      </c>
      <c r="I333" s="37">
        <v>0</v>
      </c>
      <c r="J333" s="37">
        <v>0</v>
      </c>
      <c r="K333" s="37">
        <v>0</v>
      </c>
      <c r="L333" s="37">
        <v>0</v>
      </c>
      <c r="M333" s="37">
        <v>0</v>
      </c>
      <c r="N333" s="37">
        <v>0</v>
      </c>
      <c r="O333" s="37">
        <v>0</v>
      </c>
      <c r="P333" s="37">
        <v>0</v>
      </c>
      <c r="Q333" s="37">
        <v>0</v>
      </c>
      <c r="R333" s="37">
        <v>0</v>
      </c>
      <c r="S333" s="37">
        <v>0</v>
      </c>
      <c r="T333" s="37">
        <v>0</v>
      </c>
      <c r="U333" s="37">
        <v>0</v>
      </c>
      <c r="V333" s="37">
        <v>0</v>
      </c>
      <c r="W333" s="37">
        <v>0</v>
      </c>
      <c r="X333" s="37">
        <v>0</v>
      </c>
      <c r="Y333" s="36"/>
      <c r="Z333" s="38"/>
      <c r="AA333" s="39"/>
      <c r="AB333" s="39"/>
      <c r="AC333" s="40"/>
    </row>
    <row r="334" spans="1:29" ht="46.5" x14ac:dyDescent="0.25">
      <c r="A334" s="27" t="s">
        <v>929</v>
      </c>
      <c r="B334" s="28" t="s">
        <v>930</v>
      </c>
      <c r="C334" s="29" t="s">
        <v>655</v>
      </c>
      <c r="D334" s="29" t="s">
        <v>656</v>
      </c>
      <c r="E334" s="30">
        <f>SUM(E335:E335)+3246</f>
        <v>3246</v>
      </c>
      <c r="F334" s="30">
        <f>SUM(F335:F335)+3246</f>
        <v>3246</v>
      </c>
      <c r="G334" s="30">
        <f t="shared" ref="G334:N334" si="258">SUM(G335:G335)</f>
        <v>0</v>
      </c>
      <c r="H334" s="30">
        <f t="shared" si="258"/>
        <v>0</v>
      </c>
      <c r="I334" s="30">
        <f t="shared" si="258"/>
        <v>0</v>
      </c>
      <c r="J334" s="30">
        <f t="shared" si="258"/>
        <v>0</v>
      </c>
      <c r="K334" s="30">
        <f t="shared" si="258"/>
        <v>0</v>
      </c>
      <c r="L334" s="30">
        <f t="shared" si="258"/>
        <v>0</v>
      </c>
      <c r="M334" s="30">
        <f t="shared" si="258"/>
        <v>0</v>
      </c>
      <c r="N334" s="30">
        <f t="shared" si="258"/>
        <v>0</v>
      </c>
      <c r="O334" s="30">
        <f>SUM(O335:O335)+1620</f>
        <v>1620</v>
      </c>
      <c r="P334" s="30">
        <f>SUM(P335:P335)+1620</f>
        <v>1620</v>
      </c>
      <c r="Q334" s="30">
        <f t="shared" ref="Q334:X334" si="259">SUM(Q335:Q335)</f>
        <v>0</v>
      </c>
      <c r="R334" s="30">
        <f t="shared" si="259"/>
        <v>0</v>
      </c>
      <c r="S334" s="30">
        <f t="shared" si="259"/>
        <v>0</v>
      </c>
      <c r="T334" s="30">
        <f t="shared" si="259"/>
        <v>0</v>
      </c>
      <c r="U334" s="30">
        <f t="shared" si="259"/>
        <v>0</v>
      </c>
      <c r="V334" s="30">
        <f t="shared" si="259"/>
        <v>0</v>
      </c>
      <c r="W334" s="30">
        <f t="shared" si="259"/>
        <v>0</v>
      </c>
      <c r="X334" s="30">
        <f t="shared" si="259"/>
        <v>0</v>
      </c>
      <c r="Y334" s="29" t="s">
        <v>931</v>
      </c>
      <c r="Z334" s="31" t="s">
        <v>40</v>
      </c>
      <c r="AA334" s="32" t="s">
        <v>932</v>
      </c>
      <c r="AB334" s="32" t="s">
        <v>150</v>
      </c>
      <c r="AC334" s="33"/>
    </row>
    <row r="335" spans="1:29" ht="46.5" x14ac:dyDescent="0.25">
      <c r="A335" s="34" t="s">
        <v>933</v>
      </c>
      <c r="B335" s="35" t="s">
        <v>934</v>
      </c>
      <c r="C335" s="36"/>
      <c r="D335" s="36"/>
      <c r="E335" s="37">
        <v>0</v>
      </c>
      <c r="F335" s="37">
        <v>0</v>
      </c>
      <c r="G335" s="37">
        <v>0</v>
      </c>
      <c r="H335" s="37">
        <v>0</v>
      </c>
      <c r="I335" s="37">
        <v>0</v>
      </c>
      <c r="J335" s="37">
        <v>0</v>
      </c>
      <c r="K335" s="37">
        <v>0</v>
      </c>
      <c r="L335" s="37">
        <v>0</v>
      </c>
      <c r="M335" s="37">
        <v>0</v>
      </c>
      <c r="N335" s="37">
        <v>0</v>
      </c>
      <c r="O335" s="37">
        <v>0</v>
      </c>
      <c r="P335" s="37">
        <v>0</v>
      </c>
      <c r="Q335" s="37">
        <v>0</v>
      </c>
      <c r="R335" s="37">
        <v>0</v>
      </c>
      <c r="S335" s="37">
        <v>0</v>
      </c>
      <c r="T335" s="37">
        <v>0</v>
      </c>
      <c r="U335" s="37">
        <v>0</v>
      </c>
      <c r="V335" s="37">
        <v>0</v>
      </c>
      <c r="W335" s="37">
        <v>0</v>
      </c>
      <c r="X335" s="37">
        <v>0</v>
      </c>
      <c r="Y335" s="36"/>
      <c r="Z335" s="38"/>
      <c r="AA335" s="39"/>
      <c r="AB335" s="39"/>
      <c r="AC335" s="40"/>
    </row>
    <row r="336" spans="1:29" ht="93" x14ac:dyDescent="0.25">
      <c r="A336" s="27" t="s">
        <v>935</v>
      </c>
      <c r="B336" s="28" t="s">
        <v>936</v>
      </c>
      <c r="C336" s="29"/>
      <c r="D336" s="29" t="s">
        <v>937</v>
      </c>
      <c r="E336" s="30">
        <f>SUM(E337:E337)+24218.4</f>
        <v>24218.400000000001</v>
      </c>
      <c r="F336" s="30">
        <f>SUM(F337:F337)+24218.4</f>
        <v>24218.400000000001</v>
      </c>
      <c r="G336" s="30">
        <f t="shared" ref="G336:N336" si="260">SUM(G337:G337)</f>
        <v>0</v>
      </c>
      <c r="H336" s="30">
        <f t="shared" si="260"/>
        <v>0</v>
      </c>
      <c r="I336" s="30">
        <f t="shared" si="260"/>
        <v>0</v>
      </c>
      <c r="J336" s="30">
        <f t="shared" si="260"/>
        <v>0</v>
      </c>
      <c r="K336" s="30">
        <f t="shared" si="260"/>
        <v>0</v>
      </c>
      <c r="L336" s="30">
        <f t="shared" si="260"/>
        <v>0</v>
      </c>
      <c r="M336" s="30">
        <f t="shared" si="260"/>
        <v>0</v>
      </c>
      <c r="N336" s="30">
        <f t="shared" si="260"/>
        <v>0</v>
      </c>
      <c r="O336" s="30">
        <f>SUM(O337:O337)+24218.4</f>
        <v>24218.400000000001</v>
      </c>
      <c r="P336" s="30">
        <f>SUM(P337:P337)+24218.4</f>
        <v>24218.400000000001</v>
      </c>
      <c r="Q336" s="30">
        <f t="shared" ref="Q336:X336" si="261">SUM(Q337:Q337)</f>
        <v>0</v>
      </c>
      <c r="R336" s="30">
        <f t="shared" si="261"/>
        <v>0</v>
      </c>
      <c r="S336" s="30">
        <f t="shared" si="261"/>
        <v>0</v>
      </c>
      <c r="T336" s="30">
        <f t="shared" si="261"/>
        <v>0</v>
      </c>
      <c r="U336" s="30">
        <f t="shared" si="261"/>
        <v>0</v>
      </c>
      <c r="V336" s="30">
        <f t="shared" si="261"/>
        <v>0</v>
      </c>
      <c r="W336" s="30">
        <f t="shared" si="261"/>
        <v>0</v>
      </c>
      <c r="X336" s="30">
        <f t="shared" si="261"/>
        <v>0</v>
      </c>
      <c r="Y336" s="29" t="s">
        <v>922</v>
      </c>
      <c r="Z336" s="31" t="s">
        <v>40</v>
      </c>
      <c r="AA336" s="32" t="s">
        <v>938</v>
      </c>
      <c r="AB336" s="32" t="s">
        <v>938</v>
      </c>
      <c r="AC336" s="33"/>
    </row>
    <row r="337" spans="1:29" ht="69.75" x14ac:dyDescent="0.25">
      <c r="A337" s="34" t="s">
        <v>939</v>
      </c>
      <c r="B337" s="35" t="s">
        <v>940</v>
      </c>
      <c r="C337" s="36"/>
      <c r="D337" s="36"/>
      <c r="E337" s="37">
        <v>0</v>
      </c>
      <c r="F337" s="37">
        <v>0</v>
      </c>
      <c r="G337" s="37">
        <v>0</v>
      </c>
      <c r="H337" s="37">
        <v>0</v>
      </c>
      <c r="I337" s="37">
        <v>0</v>
      </c>
      <c r="J337" s="37">
        <v>0</v>
      </c>
      <c r="K337" s="37">
        <v>0</v>
      </c>
      <c r="L337" s="37">
        <v>0</v>
      </c>
      <c r="M337" s="37">
        <v>0</v>
      </c>
      <c r="N337" s="37">
        <v>0</v>
      </c>
      <c r="O337" s="37">
        <v>0</v>
      </c>
      <c r="P337" s="37">
        <v>0</v>
      </c>
      <c r="Q337" s="37">
        <v>0</v>
      </c>
      <c r="R337" s="37">
        <v>0</v>
      </c>
      <c r="S337" s="37">
        <v>0</v>
      </c>
      <c r="T337" s="37">
        <v>0</v>
      </c>
      <c r="U337" s="37">
        <v>0</v>
      </c>
      <c r="V337" s="37">
        <v>0</v>
      </c>
      <c r="W337" s="37">
        <v>0</v>
      </c>
      <c r="X337" s="37">
        <v>0</v>
      </c>
      <c r="Y337" s="36"/>
      <c r="Z337" s="38"/>
      <c r="AA337" s="39"/>
      <c r="AB337" s="39"/>
      <c r="AC337" s="40"/>
    </row>
    <row r="338" spans="1:29" ht="45" x14ac:dyDescent="0.25">
      <c r="A338" s="20" t="s">
        <v>941</v>
      </c>
      <c r="B338" s="21" t="s">
        <v>942</v>
      </c>
      <c r="C338" s="22" t="s">
        <v>943</v>
      </c>
      <c r="D338" s="22" t="s">
        <v>944</v>
      </c>
      <c r="E338" s="23">
        <f t="shared" ref="E338:X338" si="262">SUM(E339:E339)</f>
        <v>325386</v>
      </c>
      <c r="F338" s="23">
        <f t="shared" si="262"/>
        <v>325386</v>
      </c>
      <c r="G338" s="23">
        <f t="shared" si="262"/>
        <v>0</v>
      </c>
      <c r="H338" s="23">
        <f t="shared" si="262"/>
        <v>0</v>
      </c>
      <c r="I338" s="23">
        <f t="shared" si="262"/>
        <v>0</v>
      </c>
      <c r="J338" s="23">
        <f t="shared" si="262"/>
        <v>0</v>
      </c>
      <c r="K338" s="23">
        <f t="shared" si="262"/>
        <v>0</v>
      </c>
      <c r="L338" s="23">
        <f t="shared" si="262"/>
        <v>0</v>
      </c>
      <c r="M338" s="23">
        <f t="shared" si="262"/>
        <v>0</v>
      </c>
      <c r="N338" s="23">
        <f t="shared" si="262"/>
        <v>0</v>
      </c>
      <c r="O338" s="23">
        <f t="shared" si="262"/>
        <v>0</v>
      </c>
      <c r="P338" s="23">
        <f t="shared" si="262"/>
        <v>0</v>
      </c>
      <c r="Q338" s="23">
        <f t="shared" si="262"/>
        <v>0</v>
      </c>
      <c r="R338" s="23">
        <f t="shared" si="262"/>
        <v>0</v>
      </c>
      <c r="S338" s="23">
        <f t="shared" si="262"/>
        <v>0</v>
      </c>
      <c r="T338" s="23">
        <f t="shared" si="262"/>
        <v>0</v>
      </c>
      <c r="U338" s="23">
        <f t="shared" si="262"/>
        <v>0</v>
      </c>
      <c r="V338" s="23">
        <f t="shared" si="262"/>
        <v>0</v>
      </c>
      <c r="W338" s="23">
        <f t="shared" si="262"/>
        <v>0</v>
      </c>
      <c r="X338" s="23">
        <f t="shared" si="262"/>
        <v>0</v>
      </c>
      <c r="Y338" s="22" t="s">
        <v>945</v>
      </c>
      <c r="Z338" s="24" t="s">
        <v>40</v>
      </c>
      <c r="AA338" s="25" t="s">
        <v>70</v>
      </c>
      <c r="AB338" s="25" t="s">
        <v>47</v>
      </c>
      <c r="AC338" s="26" t="s">
        <v>946</v>
      </c>
    </row>
    <row r="339" spans="1:29" ht="69.75" x14ac:dyDescent="0.25">
      <c r="A339" s="27" t="s">
        <v>947</v>
      </c>
      <c r="B339" s="28" t="s">
        <v>948</v>
      </c>
      <c r="C339" s="29" t="s">
        <v>943</v>
      </c>
      <c r="D339" s="29" t="s">
        <v>944</v>
      </c>
      <c r="E339" s="30">
        <f>SUM(E340:E340)+325386</f>
        <v>325386</v>
      </c>
      <c r="F339" s="30">
        <f>SUM(F340:F340)+325386</f>
        <v>325386</v>
      </c>
      <c r="G339" s="30">
        <f t="shared" ref="G339:X339" si="263">SUM(G340:G340)</f>
        <v>0</v>
      </c>
      <c r="H339" s="30">
        <f t="shared" si="263"/>
        <v>0</v>
      </c>
      <c r="I339" s="30">
        <f t="shared" si="263"/>
        <v>0</v>
      </c>
      <c r="J339" s="30">
        <f t="shared" si="263"/>
        <v>0</v>
      </c>
      <c r="K339" s="30">
        <f t="shared" si="263"/>
        <v>0</v>
      </c>
      <c r="L339" s="30">
        <f t="shared" si="263"/>
        <v>0</v>
      </c>
      <c r="M339" s="30">
        <f t="shared" si="263"/>
        <v>0</v>
      </c>
      <c r="N339" s="30">
        <f t="shared" si="263"/>
        <v>0</v>
      </c>
      <c r="O339" s="30">
        <f t="shared" si="263"/>
        <v>0</v>
      </c>
      <c r="P339" s="30">
        <f t="shared" si="263"/>
        <v>0</v>
      </c>
      <c r="Q339" s="30">
        <f t="shared" si="263"/>
        <v>0</v>
      </c>
      <c r="R339" s="30">
        <f t="shared" si="263"/>
        <v>0</v>
      </c>
      <c r="S339" s="30">
        <f t="shared" si="263"/>
        <v>0</v>
      </c>
      <c r="T339" s="30">
        <f t="shared" si="263"/>
        <v>0</v>
      </c>
      <c r="U339" s="30">
        <f t="shared" si="263"/>
        <v>0</v>
      </c>
      <c r="V339" s="30">
        <f t="shared" si="263"/>
        <v>0</v>
      </c>
      <c r="W339" s="30">
        <f t="shared" si="263"/>
        <v>0</v>
      </c>
      <c r="X339" s="30">
        <f t="shared" si="263"/>
        <v>0</v>
      </c>
      <c r="Y339" s="29" t="s">
        <v>945</v>
      </c>
      <c r="Z339" s="31" t="s">
        <v>40</v>
      </c>
      <c r="AA339" s="32" t="s">
        <v>70</v>
      </c>
      <c r="AB339" s="32" t="s">
        <v>47</v>
      </c>
      <c r="AC339" s="33" t="s">
        <v>949</v>
      </c>
    </row>
    <row r="340" spans="1:29" ht="46.5" x14ac:dyDescent="0.25">
      <c r="A340" s="34" t="s">
        <v>950</v>
      </c>
      <c r="B340" s="35" t="s">
        <v>951</v>
      </c>
      <c r="C340" s="36"/>
      <c r="D340" s="36"/>
      <c r="E340" s="37">
        <v>0</v>
      </c>
      <c r="F340" s="37">
        <v>0</v>
      </c>
      <c r="G340" s="37">
        <v>0</v>
      </c>
      <c r="H340" s="37">
        <v>0</v>
      </c>
      <c r="I340" s="37">
        <v>0</v>
      </c>
      <c r="J340" s="37">
        <v>0</v>
      </c>
      <c r="K340" s="37">
        <v>0</v>
      </c>
      <c r="L340" s="37">
        <v>0</v>
      </c>
      <c r="M340" s="37">
        <v>0</v>
      </c>
      <c r="N340" s="37">
        <v>0</v>
      </c>
      <c r="O340" s="37">
        <v>0</v>
      </c>
      <c r="P340" s="37">
        <v>0</v>
      </c>
      <c r="Q340" s="37">
        <v>0</v>
      </c>
      <c r="R340" s="37">
        <v>0</v>
      </c>
      <c r="S340" s="37">
        <v>0</v>
      </c>
      <c r="T340" s="37">
        <v>0</v>
      </c>
      <c r="U340" s="37">
        <v>0</v>
      </c>
      <c r="V340" s="37">
        <v>0</v>
      </c>
      <c r="W340" s="37">
        <v>0</v>
      </c>
      <c r="X340" s="37">
        <v>0</v>
      </c>
      <c r="Y340" s="36"/>
      <c r="Z340" s="38"/>
      <c r="AA340" s="39"/>
      <c r="AB340" s="39"/>
      <c r="AC340" s="40"/>
    </row>
    <row r="341" spans="1:29" ht="135" x14ac:dyDescent="0.25">
      <c r="A341" s="20" t="s">
        <v>952</v>
      </c>
      <c r="B341" s="21" t="s">
        <v>953</v>
      </c>
      <c r="C341" s="22" t="s">
        <v>943</v>
      </c>
      <c r="D341" s="22" t="s">
        <v>954</v>
      </c>
      <c r="E341" s="23">
        <f t="shared" ref="E341:X341" si="264">E342+E345+E347+E349</f>
        <v>61600.41</v>
      </c>
      <c r="F341" s="23">
        <f t="shared" si="264"/>
        <v>13348.86</v>
      </c>
      <c r="G341" s="23">
        <f t="shared" si="264"/>
        <v>0</v>
      </c>
      <c r="H341" s="23">
        <f t="shared" si="264"/>
        <v>0</v>
      </c>
      <c r="I341" s="23">
        <f t="shared" si="264"/>
        <v>0</v>
      </c>
      <c r="J341" s="23">
        <f t="shared" si="264"/>
        <v>0</v>
      </c>
      <c r="K341" s="23">
        <f t="shared" si="264"/>
        <v>0</v>
      </c>
      <c r="L341" s="23">
        <f t="shared" si="264"/>
        <v>48251.55</v>
      </c>
      <c r="M341" s="23">
        <f t="shared" si="264"/>
        <v>0</v>
      </c>
      <c r="N341" s="23">
        <f t="shared" si="264"/>
        <v>0</v>
      </c>
      <c r="O341" s="23">
        <f t="shared" si="264"/>
        <v>29396.52</v>
      </c>
      <c r="P341" s="23">
        <f t="shared" si="264"/>
        <v>11996.720000000001</v>
      </c>
      <c r="Q341" s="23">
        <f t="shared" si="264"/>
        <v>0</v>
      </c>
      <c r="R341" s="23">
        <f t="shared" si="264"/>
        <v>0</v>
      </c>
      <c r="S341" s="23">
        <f t="shared" si="264"/>
        <v>0</v>
      </c>
      <c r="T341" s="23">
        <f t="shared" si="264"/>
        <v>0</v>
      </c>
      <c r="U341" s="23">
        <f t="shared" si="264"/>
        <v>0</v>
      </c>
      <c r="V341" s="23">
        <f t="shared" si="264"/>
        <v>0</v>
      </c>
      <c r="W341" s="23">
        <f t="shared" si="264"/>
        <v>0</v>
      </c>
      <c r="X341" s="23">
        <f t="shared" si="264"/>
        <v>0</v>
      </c>
      <c r="Y341" s="22" t="s">
        <v>955</v>
      </c>
      <c r="Z341" s="24" t="s">
        <v>34</v>
      </c>
      <c r="AA341" s="25" t="s">
        <v>35</v>
      </c>
      <c r="AB341" s="25" t="s">
        <v>35</v>
      </c>
      <c r="AC341" s="26"/>
    </row>
    <row r="342" spans="1:29" ht="46.5" x14ac:dyDescent="0.25">
      <c r="A342" s="27" t="s">
        <v>956</v>
      </c>
      <c r="B342" s="28" t="s">
        <v>957</v>
      </c>
      <c r="C342" s="29" t="s">
        <v>943</v>
      </c>
      <c r="D342" s="29" t="s">
        <v>958</v>
      </c>
      <c r="E342" s="30">
        <f>SUM(E343:E344)+9000</f>
        <v>9000</v>
      </c>
      <c r="F342" s="30">
        <f>SUM(F343:F344)+9000</f>
        <v>9000</v>
      </c>
      <c r="G342" s="30">
        <f t="shared" ref="G342:N342" si="265">SUM(G343:G344)</f>
        <v>0</v>
      </c>
      <c r="H342" s="30">
        <f t="shared" si="265"/>
        <v>0</v>
      </c>
      <c r="I342" s="30">
        <f t="shared" si="265"/>
        <v>0</v>
      </c>
      <c r="J342" s="30">
        <f t="shared" si="265"/>
        <v>0</v>
      </c>
      <c r="K342" s="30">
        <f t="shared" si="265"/>
        <v>0</v>
      </c>
      <c r="L342" s="30">
        <f t="shared" si="265"/>
        <v>0</v>
      </c>
      <c r="M342" s="30">
        <f t="shared" si="265"/>
        <v>0</v>
      </c>
      <c r="N342" s="30">
        <f t="shared" si="265"/>
        <v>0</v>
      </c>
      <c r="O342" s="30">
        <f>SUM(O343:O344)+7737.16</f>
        <v>7737.16</v>
      </c>
      <c r="P342" s="30">
        <f>SUM(P343:P344)+7737.16</f>
        <v>7737.16</v>
      </c>
      <c r="Q342" s="30">
        <f t="shared" ref="Q342:X342" si="266">SUM(Q343:Q344)</f>
        <v>0</v>
      </c>
      <c r="R342" s="30">
        <f t="shared" si="266"/>
        <v>0</v>
      </c>
      <c r="S342" s="30">
        <f t="shared" si="266"/>
        <v>0</v>
      </c>
      <c r="T342" s="30">
        <f t="shared" si="266"/>
        <v>0</v>
      </c>
      <c r="U342" s="30">
        <f t="shared" si="266"/>
        <v>0</v>
      </c>
      <c r="V342" s="30">
        <f t="shared" si="266"/>
        <v>0</v>
      </c>
      <c r="W342" s="30">
        <f t="shared" si="266"/>
        <v>0</v>
      </c>
      <c r="X342" s="30">
        <f t="shared" si="266"/>
        <v>0</v>
      </c>
      <c r="Y342" s="29" t="s">
        <v>959</v>
      </c>
      <c r="Z342" s="31" t="s">
        <v>40</v>
      </c>
      <c r="AA342" s="32" t="s">
        <v>177</v>
      </c>
      <c r="AB342" s="32" t="s">
        <v>217</v>
      </c>
      <c r="AC342" s="33" t="s">
        <v>960</v>
      </c>
    </row>
    <row r="343" spans="1:29" ht="69.75" x14ac:dyDescent="0.25">
      <c r="A343" s="34" t="s">
        <v>961</v>
      </c>
      <c r="B343" s="35" t="s">
        <v>962</v>
      </c>
      <c r="C343" s="36"/>
      <c r="D343" s="36"/>
      <c r="E343" s="37">
        <v>0</v>
      </c>
      <c r="F343" s="37">
        <v>0</v>
      </c>
      <c r="G343" s="37">
        <v>0</v>
      </c>
      <c r="H343" s="37">
        <v>0</v>
      </c>
      <c r="I343" s="37">
        <v>0</v>
      </c>
      <c r="J343" s="37">
        <v>0</v>
      </c>
      <c r="K343" s="37">
        <v>0</v>
      </c>
      <c r="L343" s="37">
        <v>0</v>
      </c>
      <c r="M343" s="37">
        <v>0</v>
      </c>
      <c r="N343" s="37">
        <v>0</v>
      </c>
      <c r="O343" s="37">
        <v>0</v>
      </c>
      <c r="P343" s="37">
        <v>0</v>
      </c>
      <c r="Q343" s="37">
        <v>0</v>
      </c>
      <c r="R343" s="37">
        <v>0</v>
      </c>
      <c r="S343" s="37">
        <v>0</v>
      </c>
      <c r="T343" s="37">
        <v>0</v>
      </c>
      <c r="U343" s="37">
        <v>0</v>
      </c>
      <c r="V343" s="37">
        <v>0</v>
      </c>
      <c r="W343" s="37">
        <v>0</v>
      </c>
      <c r="X343" s="37">
        <v>0</v>
      </c>
      <c r="Y343" s="36"/>
      <c r="Z343" s="38"/>
      <c r="AA343" s="39"/>
      <c r="AB343" s="39"/>
      <c r="AC343" s="40"/>
    </row>
    <row r="344" spans="1:29" ht="46.5" x14ac:dyDescent="0.25">
      <c r="A344" s="34" t="s">
        <v>963</v>
      </c>
      <c r="B344" s="35" t="s">
        <v>964</v>
      </c>
      <c r="C344" s="36"/>
      <c r="D344" s="36"/>
      <c r="E344" s="37">
        <v>0</v>
      </c>
      <c r="F344" s="37">
        <v>0</v>
      </c>
      <c r="G344" s="37">
        <v>0</v>
      </c>
      <c r="H344" s="37">
        <v>0</v>
      </c>
      <c r="I344" s="37">
        <v>0</v>
      </c>
      <c r="J344" s="37">
        <v>0</v>
      </c>
      <c r="K344" s="37">
        <v>0</v>
      </c>
      <c r="L344" s="37">
        <v>0</v>
      </c>
      <c r="M344" s="37">
        <v>0</v>
      </c>
      <c r="N344" s="37">
        <v>0</v>
      </c>
      <c r="O344" s="37">
        <v>0</v>
      </c>
      <c r="P344" s="37">
        <v>0</v>
      </c>
      <c r="Q344" s="37">
        <v>0</v>
      </c>
      <c r="R344" s="37">
        <v>0</v>
      </c>
      <c r="S344" s="37">
        <v>0</v>
      </c>
      <c r="T344" s="37">
        <v>0</v>
      </c>
      <c r="U344" s="37">
        <v>0</v>
      </c>
      <c r="V344" s="37">
        <v>0</v>
      </c>
      <c r="W344" s="37">
        <v>0</v>
      </c>
      <c r="X344" s="37">
        <v>0</v>
      </c>
      <c r="Y344" s="36"/>
      <c r="Z344" s="38"/>
      <c r="AA344" s="39"/>
      <c r="AB344" s="39"/>
      <c r="AC344" s="40"/>
    </row>
    <row r="345" spans="1:29" ht="69.75" x14ac:dyDescent="0.25">
      <c r="A345" s="27" t="s">
        <v>965</v>
      </c>
      <c r="B345" s="28" t="s">
        <v>966</v>
      </c>
      <c r="C345" s="29" t="s">
        <v>943</v>
      </c>
      <c r="D345" s="29" t="s">
        <v>967</v>
      </c>
      <c r="E345" s="30">
        <f>SUM(E346:E346)+3348.86</f>
        <v>3348.86</v>
      </c>
      <c r="F345" s="30">
        <f>SUM(F346:F346)+3348.86</f>
        <v>3348.86</v>
      </c>
      <c r="G345" s="30">
        <f t="shared" ref="G345:N345" si="267">SUM(G346:G346)</f>
        <v>0</v>
      </c>
      <c r="H345" s="30">
        <f t="shared" si="267"/>
        <v>0</v>
      </c>
      <c r="I345" s="30">
        <f t="shared" si="267"/>
        <v>0</v>
      </c>
      <c r="J345" s="30">
        <f t="shared" si="267"/>
        <v>0</v>
      </c>
      <c r="K345" s="30">
        <f t="shared" si="267"/>
        <v>0</v>
      </c>
      <c r="L345" s="30">
        <f t="shared" si="267"/>
        <v>0</v>
      </c>
      <c r="M345" s="30">
        <f t="shared" si="267"/>
        <v>0</v>
      </c>
      <c r="N345" s="30">
        <f t="shared" si="267"/>
        <v>0</v>
      </c>
      <c r="O345" s="30">
        <f>SUM(O346:O346)+3348.86</f>
        <v>3348.86</v>
      </c>
      <c r="P345" s="30">
        <f>SUM(P346:P346)+3348.86</f>
        <v>3348.86</v>
      </c>
      <c r="Q345" s="30">
        <f t="shared" ref="Q345:X345" si="268">SUM(Q346:Q346)</f>
        <v>0</v>
      </c>
      <c r="R345" s="30">
        <f t="shared" si="268"/>
        <v>0</v>
      </c>
      <c r="S345" s="30">
        <f t="shared" si="268"/>
        <v>0</v>
      </c>
      <c r="T345" s="30">
        <f t="shared" si="268"/>
        <v>0</v>
      </c>
      <c r="U345" s="30">
        <f t="shared" si="268"/>
        <v>0</v>
      </c>
      <c r="V345" s="30">
        <f t="shared" si="268"/>
        <v>0</v>
      </c>
      <c r="W345" s="30">
        <f t="shared" si="268"/>
        <v>0</v>
      </c>
      <c r="X345" s="30">
        <f t="shared" si="268"/>
        <v>0</v>
      </c>
      <c r="Y345" s="29" t="s">
        <v>959</v>
      </c>
      <c r="Z345" s="31" t="s">
        <v>40</v>
      </c>
      <c r="AA345" s="32" t="s">
        <v>217</v>
      </c>
      <c r="AB345" s="32" t="s">
        <v>128</v>
      </c>
      <c r="AC345" s="33" t="s">
        <v>968</v>
      </c>
    </row>
    <row r="346" spans="1:29" ht="69.75" x14ac:dyDescent="0.25">
      <c r="A346" s="34" t="s">
        <v>969</v>
      </c>
      <c r="B346" s="35" t="s">
        <v>970</v>
      </c>
      <c r="C346" s="36"/>
      <c r="D346" s="36"/>
      <c r="E346" s="37">
        <v>0</v>
      </c>
      <c r="F346" s="37">
        <v>0</v>
      </c>
      <c r="G346" s="37">
        <v>0</v>
      </c>
      <c r="H346" s="37">
        <v>0</v>
      </c>
      <c r="I346" s="37">
        <v>0</v>
      </c>
      <c r="J346" s="37">
        <v>0</v>
      </c>
      <c r="K346" s="37">
        <v>0</v>
      </c>
      <c r="L346" s="37">
        <v>0</v>
      </c>
      <c r="M346" s="37">
        <v>0</v>
      </c>
      <c r="N346" s="37">
        <v>0</v>
      </c>
      <c r="O346" s="37">
        <v>0</v>
      </c>
      <c r="P346" s="37">
        <v>0</v>
      </c>
      <c r="Q346" s="37">
        <v>0</v>
      </c>
      <c r="R346" s="37">
        <v>0</v>
      </c>
      <c r="S346" s="37">
        <v>0</v>
      </c>
      <c r="T346" s="37">
        <v>0</v>
      </c>
      <c r="U346" s="37">
        <v>0</v>
      </c>
      <c r="V346" s="37">
        <v>0</v>
      </c>
      <c r="W346" s="37">
        <v>0</v>
      </c>
      <c r="X346" s="37">
        <v>0</v>
      </c>
      <c r="Y346" s="36"/>
      <c r="Z346" s="38"/>
      <c r="AA346" s="39"/>
      <c r="AB346" s="39"/>
      <c r="AC346" s="40"/>
    </row>
    <row r="347" spans="1:29" ht="69.75" x14ac:dyDescent="0.25">
      <c r="A347" s="27" t="s">
        <v>971</v>
      </c>
      <c r="B347" s="28" t="s">
        <v>972</v>
      </c>
      <c r="C347" s="29" t="s">
        <v>943</v>
      </c>
      <c r="D347" s="29" t="s">
        <v>954</v>
      </c>
      <c r="E347" s="30">
        <f>SUM(E348:E348)+1000</f>
        <v>1000</v>
      </c>
      <c r="F347" s="30">
        <f>SUM(F348:F348)+1000</f>
        <v>1000</v>
      </c>
      <c r="G347" s="30">
        <f t="shared" ref="G347:N347" si="269">SUM(G348:G348)</f>
        <v>0</v>
      </c>
      <c r="H347" s="30">
        <f t="shared" si="269"/>
        <v>0</v>
      </c>
      <c r="I347" s="30">
        <f t="shared" si="269"/>
        <v>0</v>
      </c>
      <c r="J347" s="30">
        <f t="shared" si="269"/>
        <v>0</v>
      </c>
      <c r="K347" s="30">
        <f t="shared" si="269"/>
        <v>0</v>
      </c>
      <c r="L347" s="30">
        <f t="shared" si="269"/>
        <v>0</v>
      </c>
      <c r="M347" s="30">
        <f t="shared" si="269"/>
        <v>0</v>
      </c>
      <c r="N347" s="30">
        <f t="shared" si="269"/>
        <v>0</v>
      </c>
      <c r="O347" s="30">
        <f>SUM(O348:O348)+910.7</f>
        <v>910.7</v>
      </c>
      <c r="P347" s="30">
        <f>SUM(P348:P348)+910.7</f>
        <v>910.7</v>
      </c>
      <c r="Q347" s="30">
        <f t="shared" ref="Q347:X347" si="270">SUM(Q348:Q348)</f>
        <v>0</v>
      </c>
      <c r="R347" s="30">
        <f t="shared" si="270"/>
        <v>0</v>
      </c>
      <c r="S347" s="30">
        <f t="shared" si="270"/>
        <v>0</v>
      </c>
      <c r="T347" s="30">
        <f t="shared" si="270"/>
        <v>0</v>
      </c>
      <c r="U347" s="30">
        <f t="shared" si="270"/>
        <v>0</v>
      </c>
      <c r="V347" s="30">
        <f t="shared" si="270"/>
        <v>0</v>
      </c>
      <c r="W347" s="30">
        <f t="shared" si="270"/>
        <v>0</v>
      </c>
      <c r="X347" s="30">
        <f t="shared" si="270"/>
        <v>0</v>
      </c>
      <c r="Y347" s="29" t="s">
        <v>959</v>
      </c>
      <c r="Z347" s="31" t="s">
        <v>40</v>
      </c>
      <c r="AA347" s="32" t="s">
        <v>111</v>
      </c>
      <c r="AB347" s="32" t="s">
        <v>973</v>
      </c>
      <c r="AC347" s="33" t="s">
        <v>974</v>
      </c>
    </row>
    <row r="348" spans="1:29" ht="46.5" x14ac:dyDescent="0.25">
      <c r="A348" s="34" t="s">
        <v>975</v>
      </c>
      <c r="B348" s="35" t="s">
        <v>976</v>
      </c>
      <c r="C348" s="36"/>
      <c r="D348" s="36"/>
      <c r="E348" s="37">
        <v>0</v>
      </c>
      <c r="F348" s="37">
        <v>0</v>
      </c>
      <c r="G348" s="37">
        <v>0</v>
      </c>
      <c r="H348" s="37">
        <v>0</v>
      </c>
      <c r="I348" s="37">
        <v>0</v>
      </c>
      <c r="J348" s="37">
        <v>0</v>
      </c>
      <c r="K348" s="37">
        <v>0</v>
      </c>
      <c r="L348" s="37">
        <v>0</v>
      </c>
      <c r="M348" s="37">
        <v>0</v>
      </c>
      <c r="N348" s="37">
        <v>0</v>
      </c>
      <c r="O348" s="37">
        <v>0</v>
      </c>
      <c r="P348" s="37">
        <v>0</v>
      </c>
      <c r="Q348" s="37">
        <v>0</v>
      </c>
      <c r="R348" s="37">
        <v>0</v>
      </c>
      <c r="S348" s="37">
        <v>0</v>
      </c>
      <c r="T348" s="37">
        <v>0</v>
      </c>
      <c r="U348" s="37">
        <v>0</v>
      </c>
      <c r="V348" s="37">
        <v>0</v>
      </c>
      <c r="W348" s="37">
        <v>0</v>
      </c>
      <c r="X348" s="37">
        <v>0</v>
      </c>
      <c r="Y348" s="36"/>
      <c r="Z348" s="38"/>
      <c r="AA348" s="39"/>
      <c r="AB348" s="39"/>
      <c r="AC348" s="40"/>
    </row>
    <row r="349" spans="1:29" ht="93" x14ac:dyDescent="0.25">
      <c r="A349" s="27" t="s">
        <v>977</v>
      </c>
      <c r="B349" s="28" t="s">
        <v>978</v>
      </c>
      <c r="C349" s="29" t="s">
        <v>979</v>
      </c>
      <c r="D349" s="29" t="s">
        <v>980</v>
      </c>
      <c r="E349" s="30">
        <f>SUM(E350:E351)+48251.55</f>
        <v>48251.55</v>
      </c>
      <c r="F349" s="30">
        <f t="shared" ref="F349:K349" si="271">SUM(F350:F351)</f>
        <v>0</v>
      </c>
      <c r="G349" s="30">
        <f t="shared" si="271"/>
        <v>0</v>
      </c>
      <c r="H349" s="30">
        <f t="shared" si="271"/>
        <v>0</v>
      </c>
      <c r="I349" s="30">
        <f t="shared" si="271"/>
        <v>0</v>
      </c>
      <c r="J349" s="30">
        <f t="shared" si="271"/>
        <v>0</v>
      </c>
      <c r="K349" s="30">
        <f t="shared" si="271"/>
        <v>0</v>
      </c>
      <c r="L349" s="30">
        <f>SUM(L350:L351)+48251.55</f>
        <v>48251.55</v>
      </c>
      <c r="M349" s="30">
        <f>SUM(M350:M351)</f>
        <v>0</v>
      </c>
      <c r="N349" s="30">
        <f>SUM(N350:N351)</f>
        <v>0</v>
      </c>
      <c r="O349" s="30">
        <f>SUM(O350:O351)+17399.8</f>
        <v>17399.8</v>
      </c>
      <c r="P349" s="30">
        <f t="shared" ref="P349:X349" si="272">SUM(P350:P351)</f>
        <v>0</v>
      </c>
      <c r="Q349" s="30">
        <f t="shared" si="272"/>
        <v>0</v>
      </c>
      <c r="R349" s="30">
        <f t="shared" si="272"/>
        <v>0</v>
      </c>
      <c r="S349" s="30">
        <f t="shared" si="272"/>
        <v>0</v>
      </c>
      <c r="T349" s="30">
        <f t="shared" si="272"/>
        <v>0</v>
      </c>
      <c r="U349" s="30">
        <f t="shared" si="272"/>
        <v>0</v>
      </c>
      <c r="V349" s="30">
        <f t="shared" si="272"/>
        <v>0</v>
      </c>
      <c r="W349" s="30">
        <f t="shared" si="272"/>
        <v>0</v>
      </c>
      <c r="X349" s="30">
        <f t="shared" si="272"/>
        <v>0</v>
      </c>
      <c r="Y349" s="29" t="s">
        <v>959</v>
      </c>
      <c r="Z349" s="31" t="s">
        <v>40</v>
      </c>
      <c r="AA349" s="32" t="s">
        <v>263</v>
      </c>
      <c r="AB349" s="32" t="s">
        <v>981</v>
      </c>
      <c r="AC349" s="33" t="s">
        <v>982</v>
      </c>
    </row>
    <row r="350" spans="1:29" ht="46.5" x14ac:dyDescent="0.25">
      <c r="A350" s="34" t="s">
        <v>983</v>
      </c>
      <c r="B350" s="35" t="s">
        <v>984</v>
      </c>
      <c r="C350" s="36"/>
      <c r="D350" s="36"/>
      <c r="E350" s="37">
        <v>0</v>
      </c>
      <c r="F350" s="37">
        <v>0</v>
      </c>
      <c r="G350" s="37">
        <v>0</v>
      </c>
      <c r="H350" s="37">
        <v>0</v>
      </c>
      <c r="I350" s="37">
        <v>0</v>
      </c>
      <c r="J350" s="37">
        <v>0</v>
      </c>
      <c r="K350" s="37">
        <v>0</v>
      </c>
      <c r="L350" s="37">
        <v>0</v>
      </c>
      <c r="M350" s="37">
        <v>0</v>
      </c>
      <c r="N350" s="37">
        <v>0</v>
      </c>
      <c r="O350" s="37">
        <v>0</v>
      </c>
      <c r="P350" s="37">
        <v>0</v>
      </c>
      <c r="Q350" s="37">
        <v>0</v>
      </c>
      <c r="R350" s="37">
        <v>0</v>
      </c>
      <c r="S350" s="37">
        <v>0</v>
      </c>
      <c r="T350" s="37">
        <v>0</v>
      </c>
      <c r="U350" s="37">
        <v>0</v>
      </c>
      <c r="V350" s="37">
        <v>0</v>
      </c>
      <c r="W350" s="37">
        <v>0</v>
      </c>
      <c r="X350" s="37">
        <v>0</v>
      </c>
      <c r="Y350" s="36"/>
      <c r="Z350" s="38"/>
      <c r="AA350" s="39"/>
      <c r="AB350" s="39"/>
      <c r="AC350" s="40"/>
    </row>
    <row r="351" spans="1:29" ht="46.5" x14ac:dyDescent="0.25">
      <c r="A351" s="34" t="s">
        <v>985</v>
      </c>
      <c r="B351" s="35" t="s">
        <v>986</v>
      </c>
      <c r="C351" s="36"/>
      <c r="D351" s="36"/>
      <c r="E351" s="37">
        <v>0</v>
      </c>
      <c r="F351" s="37">
        <v>0</v>
      </c>
      <c r="G351" s="37">
        <v>0</v>
      </c>
      <c r="H351" s="37">
        <v>0</v>
      </c>
      <c r="I351" s="37">
        <v>0</v>
      </c>
      <c r="J351" s="37">
        <v>0</v>
      </c>
      <c r="K351" s="37">
        <v>0</v>
      </c>
      <c r="L351" s="37">
        <v>0</v>
      </c>
      <c r="M351" s="37">
        <v>0</v>
      </c>
      <c r="N351" s="37">
        <v>0</v>
      </c>
      <c r="O351" s="37">
        <v>0</v>
      </c>
      <c r="P351" s="37">
        <v>0</v>
      </c>
      <c r="Q351" s="37">
        <v>0</v>
      </c>
      <c r="R351" s="37">
        <v>0</v>
      </c>
      <c r="S351" s="37">
        <v>0</v>
      </c>
      <c r="T351" s="37">
        <v>0</v>
      </c>
      <c r="U351" s="37">
        <v>0</v>
      </c>
      <c r="V351" s="37">
        <v>0</v>
      </c>
      <c r="W351" s="37">
        <v>0</v>
      </c>
      <c r="X351" s="37">
        <v>0</v>
      </c>
      <c r="Y351" s="36"/>
      <c r="Z351" s="38"/>
      <c r="AA351" s="39"/>
      <c r="AB351" s="39"/>
      <c r="AC351" s="40"/>
    </row>
    <row r="352" spans="1:29" ht="45" x14ac:dyDescent="0.25">
      <c r="A352" s="20" t="s">
        <v>987</v>
      </c>
      <c r="B352" s="21" t="s">
        <v>988</v>
      </c>
      <c r="C352" s="22" t="s">
        <v>943</v>
      </c>
      <c r="D352" s="22" t="s">
        <v>989</v>
      </c>
      <c r="E352" s="23">
        <f t="shared" ref="E352:X352" si="273">E353+E355</f>
        <v>757955</v>
      </c>
      <c r="F352" s="23">
        <f t="shared" si="273"/>
        <v>757955</v>
      </c>
      <c r="G352" s="23">
        <f t="shared" si="273"/>
        <v>0</v>
      </c>
      <c r="H352" s="23">
        <f t="shared" si="273"/>
        <v>0</v>
      </c>
      <c r="I352" s="23">
        <f t="shared" si="273"/>
        <v>0</v>
      </c>
      <c r="J352" s="23">
        <f t="shared" si="273"/>
        <v>0</v>
      </c>
      <c r="K352" s="23">
        <f t="shared" si="273"/>
        <v>0</v>
      </c>
      <c r="L352" s="23">
        <f t="shared" si="273"/>
        <v>0</v>
      </c>
      <c r="M352" s="23">
        <f t="shared" si="273"/>
        <v>0</v>
      </c>
      <c r="N352" s="23">
        <f t="shared" si="273"/>
        <v>0</v>
      </c>
      <c r="O352" s="23">
        <f t="shared" si="273"/>
        <v>757229.94</v>
      </c>
      <c r="P352" s="23">
        <f t="shared" si="273"/>
        <v>757229.94</v>
      </c>
      <c r="Q352" s="23">
        <f t="shared" si="273"/>
        <v>0</v>
      </c>
      <c r="R352" s="23">
        <f t="shared" si="273"/>
        <v>0</v>
      </c>
      <c r="S352" s="23">
        <f t="shared" si="273"/>
        <v>0</v>
      </c>
      <c r="T352" s="23">
        <f t="shared" si="273"/>
        <v>0</v>
      </c>
      <c r="U352" s="23">
        <f t="shared" si="273"/>
        <v>0</v>
      </c>
      <c r="V352" s="23">
        <f t="shared" si="273"/>
        <v>0</v>
      </c>
      <c r="W352" s="23">
        <f t="shared" si="273"/>
        <v>0</v>
      </c>
      <c r="X352" s="23">
        <f t="shared" si="273"/>
        <v>0</v>
      </c>
      <c r="Y352" s="22" t="s">
        <v>990</v>
      </c>
      <c r="Z352" s="24" t="s">
        <v>34</v>
      </c>
      <c r="AA352" s="25" t="s">
        <v>35</v>
      </c>
      <c r="AB352" s="25" t="s">
        <v>35</v>
      </c>
      <c r="AC352" s="26"/>
    </row>
    <row r="353" spans="1:29" ht="69.75" x14ac:dyDescent="0.25">
      <c r="A353" s="27" t="s">
        <v>991</v>
      </c>
      <c r="B353" s="28" t="s">
        <v>992</v>
      </c>
      <c r="C353" s="29" t="s">
        <v>943</v>
      </c>
      <c r="D353" s="29" t="s">
        <v>989</v>
      </c>
      <c r="E353" s="30">
        <f>SUM(E354:E354)+700270</f>
        <v>700270</v>
      </c>
      <c r="F353" s="30">
        <f>SUM(F354:F354)+700270</f>
        <v>700270</v>
      </c>
      <c r="G353" s="30">
        <f t="shared" ref="G353:N353" si="274">SUM(G354:G354)</f>
        <v>0</v>
      </c>
      <c r="H353" s="30">
        <f t="shared" si="274"/>
        <v>0</v>
      </c>
      <c r="I353" s="30">
        <f t="shared" si="274"/>
        <v>0</v>
      </c>
      <c r="J353" s="30">
        <f t="shared" si="274"/>
        <v>0</v>
      </c>
      <c r="K353" s="30">
        <f t="shared" si="274"/>
        <v>0</v>
      </c>
      <c r="L353" s="30">
        <f t="shared" si="274"/>
        <v>0</v>
      </c>
      <c r="M353" s="30">
        <f t="shared" si="274"/>
        <v>0</v>
      </c>
      <c r="N353" s="30">
        <f t="shared" si="274"/>
        <v>0</v>
      </c>
      <c r="O353" s="30">
        <f>SUM(O354:O354)+700270</f>
        <v>700270</v>
      </c>
      <c r="P353" s="30">
        <f>SUM(P354:P354)+700270</f>
        <v>700270</v>
      </c>
      <c r="Q353" s="30">
        <f t="shared" ref="Q353:X353" si="275">SUM(Q354:Q354)</f>
        <v>0</v>
      </c>
      <c r="R353" s="30">
        <f t="shared" si="275"/>
        <v>0</v>
      </c>
      <c r="S353" s="30">
        <f t="shared" si="275"/>
        <v>0</v>
      </c>
      <c r="T353" s="30">
        <f t="shared" si="275"/>
        <v>0</v>
      </c>
      <c r="U353" s="30">
        <f t="shared" si="275"/>
        <v>0</v>
      </c>
      <c r="V353" s="30">
        <f t="shared" si="275"/>
        <v>0</v>
      </c>
      <c r="W353" s="30">
        <f t="shared" si="275"/>
        <v>0</v>
      </c>
      <c r="X353" s="30">
        <f t="shared" si="275"/>
        <v>0</v>
      </c>
      <c r="Y353" s="29" t="s">
        <v>993</v>
      </c>
      <c r="Z353" s="31" t="s">
        <v>34</v>
      </c>
      <c r="AA353" s="32" t="s">
        <v>35</v>
      </c>
      <c r="AB353" s="32" t="s">
        <v>35</v>
      </c>
      <c r="AC353" s="33"/>
    </row>
    <row r="354" spans="1:29" ht="69.75" x14ac:dyDescent="0.25">
      <c r="A354" s="34" t="s">
        <v>994</v>
      </c>
      <c r="B354" s="35" t="s">
        <v>995</v>
      </c>
      <c r="C354" s="36"/>
      <c r="D354" s="36"/>
      <c r="E354" s="37">
        <v>0</v>
      </c>
      <c r="F354" s="37">
        <v>0</v>
      </c>
      <c r="G354" s="37">
        <v>0</v>
      </c>
      <c r="H354" s="37">
        <v>0</v>
      </c>
      <c r="I354" s="37">
        <v>0</v>
      </c>
      <c r="J354" s="37">
        <v>0</v>
      </c>
      <c r="K354" s="37">
        <v>0</v>
      </c>
      <c r="L354" s="37">
        <v>0</v>
      </c>
      <c r="M354" s="37">
        <v>0</v>
      </c>
      <c r="N354" s="37">
        <v>0</v>
      </c>
      <c r="O354" s="37">
        <v>0</v>
      </c>
      <c r="P354" s="37">
        <v>0</v>
      </c>
      <c r="Q354" s="37">
        <v>0</v>
      </c>
      <c r="R354" s="37">
        <v>0</v>
      </c>
      <c r="S354" s="37">
        <v>0</v>
      </c>
      <c r="T354" s="37">
        <v>0</v>
      </c>
      <c r="U354" s="37">
        <v>0</v>
      </c>
      <c r="V354" s="37">
        <v>0</v>
      </c>
      <c r="W354" s="37">
        <v>0</v>
      </c>
      <c r="X354" s="37">
        <v>0</v>
      </c>
      <c r="Y354" s="36"/>
      <c r="Z354" s="38"/>
      <c r="AA354" s="39"/>
      <c r="AB354" s="39"/>
      <c r="AC354" s="40"/>
    </row>
    <row r="355" spans="1:29" ht="69.75" x14ac:dyDescent="0.25">
      <c r="A355" s="27" t="s">
        <v>996</v>
      </c>
      <c r="B355" s="28" t="s">
        <v>997</v>
      </c>
      <c r="C355" s="29" t="s">
        <v>943</v>
      </c>
      <c r="D355" s="29" t="s">
        <v>989</v>
      </c>
      <c r="E355" s="30">
        <f>SUM(E356:E356)+57685</f>
        <v>57685</v>
      </c>
      <c r="F355" s="30">
        <f>SUM(F356:F356)+57685</f>
        <v>57685</v>
      </c>
      <c r="G355" s="30">
        <f t="shared" ref="G355:N355" si="276">SUM(G356:G356)</f>
        <v>0</v>
      </c>
      <c r="H355" s="30">
        <f t="shared" si="276"/>
        <v>0</v>
      </c>
      <c r="I355" s="30">
        <f t="shared" si="276"/>
        <v>0</v>
      </c>
      <c r="J355" s="30">
        <f t="shared" si="276"/>
        <v>0</v>
      </c>
      <c r="K355" s="30">
        <f t="shared" si="276"/>
        <v>0</v>
      </c>
      <c r="L355" s="30">
        <f t="shared" si="276"/>
        <v>0</v>
      </c>
      <c r="M355" s="30">
        <f t="shared" si="276"/>
        <v>0</v>
      </c>
      <c r="N355" s="30">
        <f t="shared" si="276"/>
        <v>0</v>
      </c>
      <c r="O355" s="30">
        <f>SUM(O356:O356)+56959.94</f>
        <v>56959.94</v>
      </c>
      <c r="P355" s="30">
        <f>SUM(P356:P356)+56959.94</f>
        <v>56959.94</v>
      </c>
      <c r="Q355" s="30">
        <f t="shared" ref="Q355:X355" si="277">SUM(Q356:Q356)</f>
        <v>0</v>
      </c>
      <c r="R355" s="30">
        <f t="shared" si="277"/>
        <v>0</v>
      </c>
      <c r="S355" s="30">
        <f t="shared" si="277"/>
        <v>0</v>
      </c>
      <c r="T355" s="30">
        <f t="shared" si="277"/>
        <v>0</v>
      </c>
      <c r="U355" s="30">
        <f t="shared" si="277"/>
        <v>0</v>
      </c>
      <c r="V355" s="30">
        <f t="shared" si="277"/>
        <v>0</v>
      </c>
      <c r="W355" s="30">
        <f t="shared" si="277"/>
        <v>0</v>
      </c>
      <c r="X355" s="30">
        <f t="shared" si="277"/>
        <v>0</v>
      </c>
      <c r="Y355" s="29" t="s">
        <v>998</v>
      </c>
      <c r="Z355" s="31" t="s">
        <v>34</v>
      </c>
      <c r="AA355" s="32" t="s">
        <v>35</v>
      </c>
      <c r="AB355" s="32" t="s">
        <v>35</v>
      </c>
      <c r="AC355" s="33"/>
    </row>
    <row r="356" spans="1:29" ht="46.5" x14ac:dyDescent="0.25">
      <c r="A356" s="34" t="s">
        <v>999</v>
      </c>
      <c r="B356" s="35" t="s">
        <v>1000</v>
      </c>
      <c r="C356" s="36"/>
      <c r="D356" s="36"/>
      <c r="E356" s="37">
        <v>0</v>
      </c>
      <c r="F356" s="37">
        <v>0</v>
      </c>
      <c r="G356" s="37">
        <v>0</v>
      </c>
      <c r="H356" s="37">
        <v>0</v>
      </c>
      <c r="I356" s="37">
        <v>0</v>
      </c>
      <c r="J356" s="37">
        <v>0</v>
      </c>
      <c r="K356" s="37">
        <v>0</v>
      </c>
      <c r="L356" s="37">
        <v>0</v>
      </c>
      <c r="M356" s="37">
        <v>0</v>
      </c>
      <c r="N356" s="37">
        <v>0</v>
      </c>
      <c r="O356" s="37">
        <v>0</v>
      </c>
      <c r="P356" s="37">
        <v>0</v>
      </c>
      <c r="Q356" s="37">
        <v>0</v>
      </c>
      <c r="R356" s="37">
        <v>0</v>
      </c>
      <c r="S356" s="37">
        <v>0</v>
      </c>
      <c r="T356" s="37">
        <v>0</v>
      </c>
      <c r="U356" s="37">
        <v>0</v>
      </c>
      <c r="V356" s="37">
        <v>0</v>
      </c>
      <c r="W356" s="37">
        <v>0</v>
      </c>
      <c r="X356" s="37">
        <v>0</v>
      </c>
      <c r="Y356" s="36"/>
      <c r="Z356" s="38"/>
      <c r="AA356" s="39"/>
      <c r="AB356" s="39"/>
      <c r="AC356" s="40"/>
    </row>
    <row r="357" spans="1:29" ht="45" x14ac:dyDescent="0.25">
      <c r="A357" s="20" t="s">
        <v>1001</v>
      </c>
      <c r="B357" s="21" t="s">
        <v>1002</v>
      </c>
      <c r="C357" s="22" t="s">
        <v>655</v>
      </c>
      <c r="D357" s="22" t="s">
        <v>656</v>
      </c>
      <c r="E357" s="23">
        <f t="shared" ref="E357:X357" si="278">E358+E360+E363+E365</f>
        <v>0</v>
      </c>
      <c r="F357" s="23">
        <f t="shared" si="278"/>
        <v>0</v>
      </c>
      <c r="G357" s="23">
        <f t="shared" si="278"/>
        <v>0</v>
      </c>
      <c r="H357" s="23">
        <f t="shared" si="278"/>
        <v>0</v>
      </c>
      <c r="I357" s="23">
        <f t="shared" si="278"/>
        <v>0</v>
      </c>
      <c r="J357" s="23">
        <f t="shared" si="278"/>
        <v>0</v>
      </c>
      <c r="K357" s="23">
        <f t="shared" si="278"/>
        <v>0</v>
      </c>
      <c r="L357" s="23">
        <f t="shared" si="278"/>
        <v>0</v>
      </c>
      <c r="M357" s="23">
        <f t="shared" si="278"/>
        <v>0</v>
      </c>
      <c r="N357" s="23">
        <f t="shared" si="278"/>
        <v>0</v>
      </c>
      <c r="O357" s="23">
        <f t="shared" si="278"/>
        <v>0</v>
      </c>
      <c r="P357" s="23">
        <f t="shared" si="278"/>
        <v>0</v>
      </c>
      <c r="Q357" s="23">
        <f t="shared" si="278"/>
        <v>0</v>
      </c>
      <c r="R357" s="23">
        <f t="shared" si="278"/>
        <v>0</v>
      </c>
      <c r="S357" s="23">
        <f t="shared" si="278"/>
        <v>0</v>
      </c>
      <c r="T357" s="23">
        <f t="shared" si="278"/>
        <v>0</v>
      </c>
      <c r="U357" s="23">
        <f t="shared" si="278"/>
        <v>0</v>
      </c>
      <c r="V357" s="23">
        <f t="shared" si="278"/>
        <v>0</v>
      </c>
      <c r="W357" s="23">
        <f t="shared" si="278"/>
        <v>0</v>
      </c>
      <c r="X357" s="23">
        <f t="shared" si="278"/>
        <v>0</v>
      </c>
      <c r="Y357" s="22" t="s">
        <v>1003</v>
      </c>
      <c r="Z357" s="24" t="s">
        <v>40</v>
      </c>
      <c r="AA357" s="25" t="s">
        <v>54</v>
      </c>
      <c r="AB357" s="25" t="s">
        <v>54</v>
      </c>
      <c r="AC357" s="26"/>
    </row>
    <row r="358" spans="1:29" ht="93" x14ac:dyDescent="0.25">
      <c r="A358" s="27" t="s">
        <v>1004</v>
      </c>
      <c r="B358" s="28" t="s">
        <v>1005</v>
      </c>
      <c r="C358" s="29" t="s">
        <v>1006</v>
      </c>
      <c r="D358" s="29" t="s">
        <v>656</v>
      </c>
      <c r="E358" s="30">
        <f t="shared" ref="E358:X358" si="279">SUM(E359:E359)</f>
        <v>0</v>
      </c>
      <c r="F358" s="30">
        <f t="shared" si="279"/>
        <v>0</v>
      </c>
      <c r="G358" s="30">
        <f t="shared" si="279"/>
        <v>0</v>
      </c>
      <c r="H358" s="30">
        <f t="shared" si="279"/>
        <v>0</v>
      </c>
      <c r="I358" s="30">
        <f t="shared" si="279"/>
        <v>0</v>
      </c>
      <c r="J358" s="30">
        <f t="shared" si="279"/>
        <v>0</v>
      </c>
      <c r="K358" s="30">
        <f t="shared" si="279"/>
        <v>0</v>
      </c>
      <c r="L358" s="30">
        <f t="shared" si="279"/>
        <v>0</v>
      </c>
      <c r="M358" s="30">
        <f t="shared" si="279"/>
        <v>0</v>
      </c>
      <c r="N358" s="30">
        <f t="shared" si="279"/>
        <v>0</v>
      </c>
      <c r="O358" s="30">
        <f t="shared" si="279"/>
        <v>0</v>
      </c>
      <c r="P358" s="30">
        <f t="shared" si="279"/>
        <v>0</v>
      </c>
      <c r="Q358" s="30">
        <f t="shared" si="279"/>
        <v>0</v>
      </c>
      <c r="R358" s="30">
        <f t="shared" si="279"/>
        <v>0</v>
      </c>
      <c r="S358" s="30">
        <f t="shared" si="279"/>
        <v>0</v>
      </c>
      <c r="T358" s="30">
        <f t="shared" si="279"/>
        <v>0</v>
      </c>
      <c r="U358" s="30">
        <f t="shared" si="279"/>
        <v>0</v>
      </c>
      <c r="V358" s="30">
        <f t="shared" si="279"/>
        <v>0</v>
      </c>
      <c r="W358" s="30">
        <f t="shared" si="279"/>
        <v>0</v>
      </c>
      <c r="X358" s="30">
        <f t="shared" si="279"/>
        <v>0</v>
      </c>
      <c r="Y358" s="29" t="s">
        <v>1007</v>
      </c>
      <c r="Z358" s="31" t="s">
        <v>40</v>
      </c>
      <c r="AA358" s="32" t="s">
        <v>41</v>
      </c>
      <c r="AB358" s="32" t="s">
        <v>41</v>
      </c>
      <c r="AC358" s="33"/>
    </row>
    <row r="359" spans="1:29" ht="93" x14ac:dyDescent="0.25">
      <c r="A359" s="34" t="s">
        <v>1008</v>
      </c>
      <c r="B359" s="35" t="s">
        <v>1009</v>
      </c>
      <c r="C359" s="36"/>
      <c r="D359" s="36"/>
      <c r="E359" s="37">
        <v>0</v>
      </c>
      <c r="F359" s="37">
        <v>0</v>
      </c>
      <c r="G359" s="37">
        <v>0</v>
      </c>
      <c r="H359" s="37">
        <v>0</v>
      </c>
      <c r="I359" s="37">
        <v>0</v>
      </c>
      <c r="J359" s="37">
        <v>0</v>
      </c>
      <c r="K359" s="37">
        <v>0</v>
      </c>
      <c r="L359" s="37">
        <v>0</v>
      </c>
      <c r="M359" s="37">
        <v>0</v>
      </c>
      <c r="N359" s="37">
        <v>0</v>
      </c>
      <c r="O359" s="37">
        <v>0</v>
      </c>
      <c r="P359" s="37">
        <v>0</v>
      </c>
      <c r="Q359" s="37">
        <v>0</v>
      </c>
      <c r="R359" s="37">
        <v>0</v>
      </c>
      <c r="S359" s="37">
        <v>0</v>
      </c>
      <c r="T359" s="37">
        <v>0</v>
      </c>
      <c r="U359" s="37">
        <v>0</v>
      </c>
      <c r="V359" s="37">
        <v>0</v>
      </c>
      <c r="W359" s="37">
        <v>0</v>
      </c>
      <c r="X359" s="37">
        <v>0</v>
      </c>
      <c r="Y359" s="36"/>
      <c r="Z359" s="38"/>
      <c r="AA359" s="39"/>
      <c r="AB359" s="39"/>
      <c r="AC359" s="40"/>
    </row>
    <row r="360" spans="1:29" ht="69.75" x14ac:dyDescent="0.25">
      <c r="A360" s="27" t="s">
        <v>1010</v>
      </c>
      <c r="B360" s="28" t="s">
        <v>1011</v>
      </c>
      <c r="C360" s="29" t="s">
        <v>655</v>
      </c>
      <c r="D360" s="29" t="s">
        <v>656</v>
      </c>
      <c r="E360" s="30">
        <f t="shared" ref="E360:X360" si="280">SUM(E361:E362)</f>
        <v>0</v>
      </c>
      <c r="F360" s="30">
        <f t="shared" si="280"/>
        <v>0</v>
      </c>
      <c r="G360" s="30">
        <f t="shared" si="280"/>
        <v>0</v>
      </c>
      <c r="H360" s="30">
        <f t="shared" si="280"/>
        <v>0</v>
      </c>
      <c r="I360" s="30">
        <f t="shared" si="280"/>
        <v>0</v>
      </c>
      <c r="J360" s="30">
        <f t="shared" si="280"/>
        <v>0</v>
      </c>
      <c r="K360" s="30">
        <f t="shared" si="280"/>
        <v>0</v>
      </c>
      <c r="L360" s="30">
        <f t="shared" si="280"/>
        <v>0</v>
      </c>
      <c r="M360" s="30">
        <f t="shared" si="280"/>
        <v>0</v>
      </c>
      <c r="N360" s="30">
        <f t="shared" si="280"/>
        <v>0</v>
      </c>
      <c r="O360" s="30">
        <f t="shared" si="280"/>
        <v>0</v>
      </c>
      <c r="P360" s="30">
        <f t="shared" si="280"/>
        <v>0</v>
      </c>
      <c r="Q360" s="30">
        <f t="shared" si="280"/>
        <v>0</v>
      </c>
      <c r="R360" s="30">
        <f t="shared" si="280"/>
        <v>0</v>
      </c>
      <c r="S360" s="30">
        <f t="shared" si="280"/>
        <v>0</v>
      </c>
      <c r="T360" s="30">
        <f t="shared" si="280"/>
        <v>0</v>
      </c>
      <c r="U360" s="30">
        <f t="shared" si="280"/>
        <v>0</v>
      </c>
      <c r="V360" s="30">
        <f t="shared" si="280"/>
        <v>0</v>
      </c>
      <c r="W360" s="30">
        <f t="shared" si="280"/>
        <v>0</v>
      </c>
      <c r="X360" s="30">
        <f t="shared" si="280"/>
        <v>0</v>
      </c>
      <c r="Y360" s="29" t="s">
        <v>1012</v>
      </c>
      <c r="Z360" s="31" t="s">
        <v>40</v>
      </c>
      <c r="AA360" s="32" t="s">
        <v>1013</v>
      </c>
      <c r="AB360" s="32" t="s">
        <v>111</v>
      </c>
      <c r="AC360" s="33" t="s">
        <v>1014</v>
      </c>
    </row>
    <row r="361" spans="1:29" ht="46.5" x14ac:dyDescent="0.25">
      <c r="A361" s="34" t="s">
        <v>1015</v>
      </c>
      <c r="B361" s="35" t="s">
        <v>1016</v>
      </c>
      <c r="C361" s="36"/>
      <c r="D361" s="36"/>
      <c r="E361" s="37">
        <v>0</v>
      </c>
      <c r="F361" s="37">
        <v>0</v>
      </c>
      <c r="G361" s="37">
        <v>0</v>
      </c>
      <c r="H361" s="37">
        <v>0</v>
      </c>
      <c r="I361" s="37">
        <v>0</v>
      </c>
      <c r="J361" s="37">
        <v>0</v>
      </c>
      <c r="K361" s="37">
        <v>0</v>
      </c>
      <c r="L361" s="37">
        <v>0</v>
      </c>
      <c r="M361" s="37">
        <v>0</v>
      </c>
      <c r="N361" s="37">
        <v>0</v>
      </c>
      <c r="O361" s="37">
        <v>0</v>
      </c>
      <c r="P361" s="37">
        <v>0</v>
      </c>
      <c r="Q361" s="37">
        <v>0</v>
      </c>
      <c r="R361" s="37">
        <v>0</v>
      </c>
      <c r="S361" s="37">
        <v>0</v>
      </c>
      <c r="T361" s="37">
        <v>0</v>
      </c>
      <c r="U361" s="37">
        <v>0</v>
      </c>
      <c r="V361" s="37">
        <v>0</v>
      </c>
      <c r="W361" s="37">
        <v>0</v>
      </c>
      <c r="X361" s="37">
        <v>0</v>
      </c>
      <c r="Y361" s="36"/>
      <c r="Z361" s="38"/>
      <c r="AA361" s="39"/>
      <c r="AB361" s="39"/>
      <c r="AC361" s="40"/>
    </row>
    <row r="362" spans="1:29" ht="69.75" x14ac:dyDescent="0.25">
      <c r="A362" s="34" t="s">
        <v>1017</v>
      </c>
      <c r="B362" s="35" t="s">
        <v>1018</v>
      </c>
      <c r="C362" s="36"/>
      <c r="D362" s="36"/>
      <c r="E362" s="37">
        <v>0</v>
      </c>
      <c r="F362" s="37">
        <v>0</v>
      </c>
      <c r="G362" s="37">
        <v>0</v>
      </c>
      <c r="H362" s="37">
        <v>0</v>
      </c>
      <c r="I362" s="37">
        <v>0</v>
      </c>
      <c r="J362" s="37">
        <v>0</v>
      </c>
      <c r="K362" s="37">
        <v>0</v>
      </c>
      <c r="L362" s="37">
        <v>0</v>
      </c>
      <c r="M362" s="37">
        <v>0</v>
      </c>
      <c r="N362" s="37">
        <v>0</v>
      </c>
      <c r="O362" s="37">
        <v>0</v>
      </c>
      <c r="P362" s="37">
        <v>0</v>
      </c>
      <c r="Q362" s="37">
        <v>0</v>
      </c>
      <c r="R362" s="37">
        <v>0</v>
      </c>
      <c r="S362" s="37">
        <v>0</v>
      </c>
      <c r="T362" s="37">
        <v>0</v>
      </c>
      <c r="U362" s="37">
        <v>0</v>
      </c>
      <c r="V362" s="37">
        <v>0</v>
      </c>
      <c r="W362" s="37">
        <v>0</v>
      </c>
      <c r="X362" s="37">
        <v>0</v>
      </c>
      <c r="Y362" s="36"/>
      <c r="Z362" s="38"/>
      <c r="AA362" s="39"/>
      <c r="AB362" s="39"/>
      <c r="AC362" s="40"/>
    </row>
    <row r="363" spans="1:29" ht="209.25" x14ac:dyDescent="0.25">
      <c r="A363" s="27" t="s">
        <v>1019</v>
      </c>
      <c r="B363" s="28" t="s">
        <v>1020</v>
      </c>
      <c r="C363" s="29" t="s">
        <v>1021</v>
      </c>
      <c r="D363" s="29" t="s">
        <v>656</v>
      </c>
      <c r="E363" s="30">
        <f t="shared" ref="E363:X363" si="281">SUM(E364:E364)</f>
        <v>0</v>
      </c>
      <c r="F363" s="30">
        <f t="shared" si="281"/>
        <v>0</v>
      </c>
      <c r="G363" s="30">
        <f t="shared" si="281"/>
        <v>0</v>
      </c>
      <c r="H363" s="30">
        <f t="shared" si="281"/>
        <v>0</v>
      </c>
      <c r="I363" s="30">
        <f t="shared" si="281"/>
        <v>0</v>
      </c>
      <c r="J363" s="30">
        <f t="shared" si="281"/>
        <v>0</v>
      </c>
      <c r="K363" s="30">
        <f t="shared" si="281"/>
        <v>0</v>
      </c>
      <c r="L363" s="30">
        <f t="shared" si="281"/>
        <v>0</v>
      </c>
      <c r="M363" s="30">
        <f t="shared" si="281"/>
        <v>0</v>
      </c>
      <c r="N363" s="30">
        <f t="shared" si="281"/>
        <v>0</v>
      </c>
      <c r="O363" s="30">
        <f t="shared" si="281"/>
        <v>0</v>
      </c>
      <c r="P363" s="30">
        <f t="shared" si="281"/>
        <v>0</v>
      </c>
      <c r="Q363" s="30">
        <f t="shared" si="281"/>
        <v>0</v>
      </c>
      <c r="R363" s="30">
        <f t="shared" si="281"/>
        <v>0</v>
      </c>
      <c r="S363" s="30">
        <f t="shared" si="281"/>
        <v>0</v>
      </c>
      <c r="T363" s="30">
        <f t="shared" si="281"/>
        <v>0</v>
      </c>
      <c r="U363" s="30">
        <f t="shared" si="281"/>
        <v>0</v>
      </c>
      <c r="V363" s="30">
        <f t="shared" si="281"/>
        <v>0</v>
      </c>
      <c r="W363" s="30">
        <f t="shared" si="281"/>
        <v>0</v>
      </c>
      <c r="X363" s="30">
        <f t="shared" si="281"/>
        <v>0</v>
      </c>
      <c r="Y363" s="29" t="s">
        <v>1022</v>
      </c>
      <c r="Z363" s="31" t="s">
        <v>34</v>
      </c>
      <c r="AA363" s="32" t="s">
        <v>1023</v>
      </c>
      <c r="AB363" s="32" t="s">
        <v>1024</v>
      </c>
      <c r="AC363" s="33"/>
    </row>
    <row r="364" spans="1:29" ht="69.75" x14ac:dyDescent="0.25">
      <c r="A364" s="34" t="s">
        <v>1025</v>
      </c>
      <c r="B364" s="35" t="s">
        <v>1026</v>
      </c>
      <c r="C364" s="36"/>
      <c r="D364" s="36"/>
      <c r="E364" s="37">
        <v>0</v>
      </c>
      <c r="F364" s="37">
        <v>0</v>
      </c>
      <c r="G364" s="37">
        <v>0</v>
      </c>
      <c r="H364" s="37">
        <v>0</v>
      </c>
      <c r="I364" s="37">
        <v>0</v>
      </c>
      <c r="J364" s="37">
        <v>0</v>
      </c>
      <c r="K364" s="37">
        <v>0</v>
      </c>
      <c r="L364" s="37">
        <v>0</v>
      </c>
      <c r="M364" s="37">
        <v>0</v>
      </c>
      <c r="N364" s="37">
        <v>0</v>
      </c>
      <c r="O364" s="37">
        <v>0</v>
      </c>
      <c r="P364" s="37">
        <v>0</v>
      </c>
      <c r="Q364" s="37">
        <v>0</v>
      </c>
      <c r="R364" s="37">
        <v>0</v>
      </c>
      <c r="S364" s="37">
        <v>0</v>
      </c>
      <c r="T364" s="37">
        <v>0</v>
      </c>
      <c r="U364" s="37">
        <v>0</v>
      </c>
      <c r="V364" s="37">
        <v>0</v>
      </c>
      <c r="W364" s="37">
        <v>0</v>
      </c>
      <c r="X364" s="37">
        <v>0</v>
      </c>
      <c r="Y364" s="36"/>
      <c r="Z364" s="38"/>
      <c r="AA364" s="39"/>
      <c r="AB364" s="39"/>
      <c r="AC364" s="40"/>
    </row>
    <row r="365" spans="1:29" ht="93" x14ac:dyDescent="0.25">
      <c r="A365" s="27" t="s">
        <v>1027</v>
      </c>
      <c r="B365" s="28" t="s">
        <v>1028</v>
      </c>
      <c r="C365" s="29" t="s">
        <v>655</v>
      </c>
      <c r="D365" s="29" t="s">
        <v>656</v>
      </c>
      <c r="E365" s="30">
        <f t="shared" ref="E365:X365" si="282">SUM(E366:E366)</f>
        <v>0</v>
      </c>
      <c r="F365" s="30">
        <f t="shared" si="282"/>
        <v>0</v>
      </c>
      <c r="G365" s="30">
        <f t="shared" si="282"/>
        <v>0</v>
      </c>
      <c r="H365" s="30">
        <f t="shared" si="282"/>
        <v>0</v>
      </c>
      <c r="I365" s="30">
        <f t="shared" si="282"/>
        <v>0</v>
      </c>
      <c r="J365" s="30">
        <f t="shared" si="282"/>
        <v>0</v>
      </c>
      <c r="K365" s="30">
        <f t="shared" si="282"/>
        <v>0</v>
      </c>
      <c r="L365" s="30">
        <f t="shared" si="282"/>
        <v>0</v>
      </c>
      <c r="M365" s="30">
        <f t="shared" si="282"/>
        <v>0</v>
      </c>
      <c r="N365" s="30">
        <f t="shared" si="282"/>
        <v>0</v>
      </c>
      <c r="O365" s="30">
        <f t="shared" si="282"/>
        <v>0</v>
      </c>
      <c r="P365" s="30">
        <f t="shared" si="282"/>
        <v>0</v>
      </c>
      <c r="Q365" s="30">
        <f t="shared" si="282"/>
        <v>0</v>
      </c>
      <c r="R365" s="30">
        <f t="shared" si="282"/>
        <v>0</v>
      </c>
      <c r="S365" s="30">
        <f t="shared" si="282"/>
        <v>0</v>
      </c>
      <c r="T365" s="30">
        <f t="shared" si="282"/>
        <v>0</v>
      </c>
      <c r="U365" s="30">
        <f t="shared" si="282"/>
        <v>0</v>
      </c>
      <c r="V365" s="30">
        <f t="shared" si="282"/>
        <v>0</v>
      </c>
      <c r="W365" s="30">
        <f t="shared" si="282"/>
        <v>0</v>
      </c>
      <c r="X365" s="30">
        <f t="shared" si="282"/>
        <v>0</v>
      </c>
      <c r="Y365" s="29" t="s">
        <v>1029</v>
      </c>
      <c r="Z365" s="31" t="s">
        <v>40</v>
      </c>
      <c r="AA365" s="32" t="s">
        <v>267</v>
      </c>
      <c r="AB365" s="32" t="s">
        <v>176</v>
      </c>
      <c r="AC365" s="33"/>
    </row>
    <row r="366" spans="1:29" ht="46.5" x14ac:dyDescent="0.25">
      <c r="A366" s="34" t="s">
        <v>1030</v>
      </c>
      <c r="B366" s="35" t="s">
        <v>1031</v>
      </c>
      <c r="C366" s="36"/>
      <c r="D366" s="36"/>
      <c r="E366" s="37">
        <v>0</v>
      </c>
      <c r="F366" s="37">
        <v>0</v>
      </c>
      <c r="G366" s="37">
        <v>0</v>
      </c>
      <c r="H366" s="37">
        <v>0</v>
      </c>
      <c r="I366" s="37">
        <v>0</v>
      </c>
      <c r="J366" s="37">
        <v>0</v>
      </c>
      <c r="K366" s="37">
        <v>0</v>
      </c>
      <c r="L366" s="37">
        <v>0</v>
      </c>
      <c r="M366" s="37">
        <v>0</v>
      </c>
      <c r="N366" s="37">
        <v>0</v>
      </c>
      <c r="O366" s="37">
        <v>0</v>
      </c>
      <c r="P366" s="37">
        <v>0</v>
      </c>
      <c r="Q366" s="37">
        <v>0</v>
      </c>
      <c r="R366" s="37">
        <v>0</v>
      </c>
      <c r="S366" s="37">
        <v>0</v>
      </c>
      <c r="T366" s="37">
        <v>0</v>
      </c>
      <c r="U366" s="37">
        <v>0</v>
      </c>
      <c r="V366" s="37">
        <v>0</v>
      </c>
      <c r="W366" s="37">
        <v>0</v>
      </c>
      <c r="X366" s="37">
        <v>0</v>
      </c>
      <c r="Y366" s="36"/>
      <c r="Z366" s="38"/>
      <c r="AA366" s="39"/>
      <c r="AB366" s="39"/>
      <c r="AC366" s="40"/>
    </row>
    <row r="367" spans="1:29" ht="112.5" x14ac:dyDescent="0.25">
      <c r="A367" s="13" t="s">
        <v>1032</v>
      </c>
      <c r="B367" s="14" t="s">
        <v>1033</v>
      </c>
      <c r="C367" s="15" t="s">
        <v>818</v>
      </c>
      <c r="D367" s="15" t="s">
        <v>819</v>
      </c>
      <c r="E367" s="16">
        <f t="shared" ref="E367:X367" si="283">SUM(E368:E368)</f>
        <v>10300</v>
      </c>
      <c r="F367" s="16">
        <f t="shared" si="283"/>
        <v>10300</v>
      </c>
      <c r="G367" s="16">
        <f t="shared" si="283"/>
        <v>0</v>
      </c>
      <c r="H367" s="16">
        <f t="shared" si="283"/>
        <v>0</v>
      </c>
      <c r="I367" s="16">
        <f t="shared" si="283"/>
        <v>0</v>
      </c>
      <c r="J367" s="16">
        <f t="shared" si="283"/>
        <v>0</v>
      </c>
      <c r="K367" s="16">
        <f t="shared" si="283"/>
        <v>0</v>
      </c>
      <c r="L367" s="16">
        <f t="shared" si="283"/>
        <v>0</v>
      </c>
      <c r="M367" s="16">
        <f t="shared" si="283"/>
        <v>0</v>
      </c>
      <c r="N367" s="16">
        <f t="shared" si="283"/>
        <v>0</v>
      </c>
      <c r="O367" s="16">
        <f t="shared" si="283"/>
        <v>299.83999999999997</v>
      </c>
      <c r="P367" s="16">
        <f t="shared" si="283"/>
        <v>299.83999999999997</v>
      </c>
      <c r="Q367" s="16">
        <f t="shared" si="283"/>
        <v>0</v>
      </c>
      <c r="R367" s="16">
        <f t="shared" si="283"/>
        <v>0</v>
      </c>
      <c r="S367" s="16">
        <f t="shared" si="283"/>
        <v>0</v>
      </c>
      <c r="T367" s="16">
        <f t="shared" si="283"/>
        <v>0</v>
      </c>
      <c r="U367" s="16">
        <f t="shared" si="283"/>
        <v>0</v>
      </c>
      <c r="V367" s="16">
        <f t="shared" si="283"/>
        <v>0</v>
      </c>
      <c r="W367" s="16">
        <f t="shared" si="283"/>
        <v>0</v>
      </c>
      <c r="X367" s="16">
        <f t="shared" si="283"/>
        <v>0</v>
      </c>
      <c r="Y367" s="15" t="s">
        <v>259</v>
      </c>
      <c r="Z367" s="17" t="s">
        <v>34</v>
      </c>
      <c r="AA367" s="18" t="s">
        <v>661</v>
      </c>
      <c r="AB367" s="18" t="s">
        <v>111</v>
      </c>
      <c r="AC367" s="19"/>
    </row>
    <row r="368" spans="1:29" ht="135" x14ac:dyDescent="0.25">
      <c r="A368" s="20" t="s">
        <v>1034</v>
      </c>
      <c r="B368" s="21" t="s">
        <v>1035</v>
      </c>
      <c r="C368" s="22" t="s">
        <v>818</v>
      </c>
      <c r="D368" s="22" t="s">
        <v>819</v>
      </c>
      <c r="E368" s="23">
        <f t="shared" ref="E368:X368" si="284">E369+E371</f>
        <v>10300</v>
      </c>
      <c r="F368" s="23">
        <f t="shared" si="284"/>
        <v>10300</v>
      </c>
      <c r="G368" s="23">
        <f t="shared" si="284"/>
        <v>0</v>
      </c>
      <c r="H368" s="23">
        <f t="shared" si="284"/>
        <v>0</v>
      </c>
      <c r="I368" s="23">
        <f t="shared" si="284"/>
        <v>0</v>
      </c>
      <c r="J368" s="23">
        <f t="shared" si="284"/>
        <v>0</v>
      </c>
      <c r="K368" s="23">
        <f t="shared" si="284"/>
        <v>0</v>
      </c>
      <c r="L368" s="23">
        <f t="shared" si="284"/>
        <v>0</v>
      </c>
      <c r="M368" s="23">
        <f t="shared" si="284"/>
        <v>0</v>
      </c>
      <c r="N368" s="23">
        <f t="shared" si="284"/>
        <v>0</v>
      </c>
      <c r="O368" s="23">
        <f t="shared" si="284"/>
        <v>299.83999999999997</v>
      </c>
      <c r="P368" s="23">
        <f t="shared" si="284"/>
        <v>299.83999999999997</v>
      </c>
      <c r="Q368" s="23">
        <f t="shared" si="284"/>
        <v>0</v>
      </c>
      <c r="R368" s="23">
        <f t="shared" si="284"/>
        <v>0</v>
      </c>
      <c r="S368" s="23">
        <f t="shared" si="284"/>
        <v>0</v>
      </c>
      <c r="T368" s="23">
        <f t="shared" si="284"/>
        <v>0</v>
      </c>
      <c r="U368" s="23">
        <f t="shared" si="284"/>
        <v>0</v>
      </c>
      <c r="V368" s="23">
        <f t="shared" si="284"/>
        <v>0</v>
      </c>
      <c r="W368" s="23">
        <f t="shared" si="284"/>
        <v>0</v>
      </c>
      <c r="X368" s="23">
        <f t="shared" si="284"/>
        <v>0</v>
      </c>
      <c r="Y368" s="22" t="s">
        <v>1036</v>
      </c>
      <c r="Z368" s="24" t="s">
        <v>34</v>
      </c>
      <c r="AA368" s="25" t="s">
        <v>1037</v>
      </c>
      <c r="AB368" s="25" t="s">
        <v>1038</v>
      </c>
      <c r="AC368" s="26"/>
    </row>
    <row r="369" spans="1:29" ht="69.75" x14ac:dyDescent="0.25">
      <c r="A369" s="27" t="s">
        <v>1039</v>
      </c>
      <c r="B369" s="28" t="s">
        <v>1040</v>
      </c>
      <c r="C369" s="29" t="s">
        <v>818</v>
      </c>
      <c r="D369" s="29" t="s">
        <v>819</v>
      </c>
      <c r="E369" s="30">
        <f>SUM(E370:E370)+10000</f>
        <v>10000</v>
      </c>
      <c r="F369" s="30">
        <f>SUM(F370:F370)+10000</f>
        <v>10000</v>
      </c>
      <c r="G369" s="30">
        <f t="shared" ref="G369:X369" si="285">SUM(G370:G370)</f>
        <v>0</v>
      </c>
      <c r="H369" s="30">
        <f t="shared" si="285"/>
        <v>0</v>
      </c>
      <c r="I369" s="30">
        <f t="shared" si="285"/>
        <v>0</v>
      </c>
      <c r="J369" s="30">
        <f t="shared" si="285"/>
        <v>0</v>
      </c>
      <c r="K369" s="30">
        <f t="shared" si="285"/>
        <v>0</v>
      </c>
      <c r="L369" s="30">
        <f t="shared" si="285"/>
        <v>0</v>
      </c>
      <c r="M369" s="30">
        <f t="shared" si="285"/>
        <v>0</v>
      </c>
      <c r="N369" s="30">
        <f t="shared" si="285"/>
        <v>0</v>
      </c>
      <c r="O369" s="30">
        <f t="shared" si="285"/>
        <v>0</v>
      </c>
      <c r="P369" s="30">
        <f t="shared" si="285"/>
        <v>0</v>
      </c>
      <c r="Q369" s="30">
        <f t="shared" si="285"/>
        <v>0</v>
      </c>
      <c r="R369" s="30">
        <f t="shared" si="285"/>
        <v>0</v>
      </c>
      <c r="S369" s="30">
        <f t="shared" si="285"/>
        <v>0</v>
      </c>
      <c r="T369" s="30">
        <f t="shared" si="285"/>
        <v>0</v>
      </c>
      <c r="U369" s="30">
        <f t="shared" si="285"/>
        <v>0</v>
      </c>
      <c r="V369" s="30">
        <f t="shared" si="285"/>
        <v>0</v>
      </c>
      <c r="W369" s="30">
        <f t="shared" si="285"/>
        <v>0</v>
      </c>
      <c r="X369" s="30">
        <f t="shared" si="285"/>
        <v>0</v>
      </c>
      <c r="Y369" s="29" t="s">
        <v>1041</v>
      </c>
      <c r="Z369" s="31" t="s">
        <v>40</v>
      </c>
      <c r="AA369" s="32" t="s">
        <v>186</v>
      </c>
      <c r="AB369" s="32" t="s">
        <v>186</v>
      </c>
      <c r="AC369" s="33"/>
    </row>
    <row r="370" spans="1:29" ht="46.5" x14ac:dyDescent="0.25">
      <c r="A370" s="34" t="s">
        <v>1042</v>
      </c>
      <c r="B370" s="35" t="s">
        <v>1043</v>
      </c>
      <c r="C370" s="36"/>
      <c r="D370" s="36"/>
      <c r="E370" s="37">
        <v>0</v>
      </c>
      <c r="F370" s="37">
        <v>0</v>
      </c>
      <c r="G370" s="37">
        <v>0</v>
      </c>
      <c r="H370" s="37">
        <v>0</v>
      </c>
      <c r="I370" s="37">
        <v>0</v>
      </c>
      <c r="J370" s="37">
        <v>0</v>
      </c>
      <c r="K370" s="37">
        <v>0</v>
      </c>
      <c r="L370" s="37">
        <v>0</v>
      </c>
      <c r="M370" s="37">
        <v>0</v>
      </c>
      <c r="N370" s="37">
        <v>0</v>
      </c>
      <c r="O370" s="37">
        <v>0</v>
      </c>
      <c r="P370" s="37">
        <v>0</v>
      </c>
      <c r="Q370" s="37">
        <v>0</v>
      </c>
      <c r="R370" s="37">
        <v>0</v>
      </c>
      <c r="S370" s="37">
        <v>0</v>
      </c>
      <c r="T370" s="37">
        <v>0</v>
      </c>
      <c r="U370" s="37">
        <v>0</v>
      </c>
      <c r="V370" s="37">
        <v>0</v>
      </c>
      <c r="W370" s="37">
        <v>0</v>
      </c>
      <c r="X370" s="37">
        <v>0</v>
      </c>
      <c r="Y370" s="36"/>
      <c r="Z370" s="38"/>
      <c r="AA370" s="39"/>
      <c r="AB370" s="39"/>
      <c r="AC370" s="40"/>
    </row>
    <row r="371" spans="1:29" ht="46.5" x14ac:dyDescent="0.25">
      <c r="A371" s="27" t="s">
        <v>1044</v>
      </c>
      <c r="B371" s="28" t="s">
        <v>1045</v>
      </c>
      <c r="C371" s="29" t="s">
        <v>818</v>
      </c>
      <c r="D371" s="29" t="s">
        <v>819</v>
      </c>
      <c r="E371" s="30">
        <f>SUM(E372:E372)+300</f>
        <v>300</v>
      </c>
      <c r="F371" s="30">
        <f>SUM(F372:F372)+300</f>
        <v>300</v>
      </c>
      <c r="G371" s="30">
        <f t="shared" ref="G371:N371" si="286">SUM(G372:G372)</f>
        <v>0</v>
      </c>
      <c r="H371" s="30">
        <f t="shared" si="286"/>
        <v>0</v>
      </c>
      <c r="I371" s="30">
        <f t="shared" si="286"/>
        <v>0</v>
      </c>
      <c r="J371" s="30">
        <f t="shared" si="286"/>
        <v>0</v>
      </c>
      <c r="K371" s="30">
        <f t="shared" si="286"/>
        <v>0</v>
      </c>
      <c r="L371" s="30">
        <f t="shared" si="286"/>
        <v>0</v>
      </c>
      <c r="M371" s="30">
        <f t="shared" si="286"/>
        <v>0</v>
      </c>
      <c r="N371" s="30">
        <f t="shared" si="286"/>
        <v>0</v>
      </c>
      <c r="O371" s="30">
        <f>SUM(O372:O372)+299.84</f>
        <v>299.83999999999997</v>
      </c>
      <c r="P371" s="30">
        <f>SUM(P372:P372)+299.84</f>
        <v>299.83999999999997</v>
      </c>
      <c r="Q371" s="30">
        <f t="shared" ref="Q371:X371" si="287">SUM(Q372:Q372)</f>
        <v>0</v>
      </c>
      <c r="R371" s="30">
        <f t="shared" si="287"/>
        <v>0</v>
      </c>
      <c r="S371" s="30">
        <f t="shared" si="287"/>
        <v>0</v>
      </c>
      <c r="T371" s="30">
        <f t="shared" si="287"/>
        <v>0</v>
      </c>
      <c r="U371" s="30">
        <f t="shared" si="287"/>
        <v>0</v>
      </c>
      <c r="V371" s="30">
        <f t="shared" si="287"/>
        <v>0</v>
      </c>
      <c r="W371" s="30">
        <f t="shared" si="287"/>
        <v>0</v>
      </c>
      <c r="X371" s="30">
        <f t="shared" si="287"/>
        <v>0</v>
      </c>
      <c r="Y371" s="29" t="s">
        <v>1046</v>
      </c>
      <c r="Z371" s="31" t="s">
        <v>40</v>
      </c>
      <c r="AA371" s="32" t="s">
        <v>390</v>
      </c>
      <c r="AB371" s="32" t="s">
        <v>267</v>
      </c>
      <c r="AC371" s="33"/>
    </row>
    <row r="372" spans="1:29" ht="46.5" x14ac:dyDescent="0.25">
      <c r="A372" s="34" t="s">
        <v>1047</v>
      </c>
      <c r="B372" s="35" t="s">
        <v>1048</v>
      </c>
      <c r="C372" s="36"/>
      <c r="D372" s="36"/>
      <c r="E372" s="37">
        <v>0</v>
      </c>
      <c r="F372" s="37">
        <v>0</v>
      </c>
      <c r="G372" s="37">
        <v>0</v>
      </c>
      <c r="H372" s="37">
        <v>0</v>
      </c>
      <c r="I372" s="37">
        <v>0</v>
      </c>
      <c r="J372" s="37">
        <v>0</v>
      </c>
      <c r="K372" s="37">
        <v>0</v>
      </c>
      <c r="L372" s="37">
        <v>0</v>
      </c>
      <c r="M372" s="37">
        <v>0</v>
      </c>
      <c r="N372" s="37">
        <v>0</v>
      </c>
      <c r="O372" s="37">
        <v>0</v>
      </c>
      <c r="P372" s="37">
        <v>0</v>
      </c>
      <c r="Q372" s="37">
        <v>0</v>
      </c>
      <c r="R372" s="37">
        <v>0</v>
      </c>
      <c r="S372" s="37">
        <v>0</v>
      </c>
      <c r="T372" s="37">
        <v>0</v>
      </c>
      <c r="U372" s="37">
        <v>0</v>
      </c>
      <c r="V372" s="37">
        <v>0</v>
      </c>
      <c r="W372" s="37">
        <v>0</v>
      </c>
      <c r="X372" s="37">
        <v>0</v>
      </c>
      <c r="Y372" s="36"/>
      <c r="Z372" s="38"/>
      <c r="AA372" s="39"/>
      <c r="AB372" s="39"/>
      <c r="AC372" s="40"/>
    </row>
    <row r="373" spans="1:29" ht="45" x14ac:dyDescent="0.25">
      <c r="A373" s="6" t="s">
        <v>1049</v>
      </c>
      <c r="B373" s="7" t="s">
        <v>1050</v>
      </c>
      <c r="C373" s="8" t="s">
        <v>279</v>
      </c>
      <c r="D373" s="8" t="s">
        <v>1051</v>
      </c>
      <c r="E373" s="9">
        <f t="shared" ref="E373:X373" si="288">E374+E459+E474+E526+E533</f>
        <v>9283459.7899999972</v>
      </c>
      <c r="F373" s="9">
        <f t="shared" si="288"/>
        <v>6957173.5099999998</v>
      </c>
      <c r="G373" s="9">
        <f t="shared" si="288"/>
        <v>21856.23</v>
      </c>
      <c r="H373" s="9">
        <f t="shared" si="288"/>
        <v>145687.04999999999</v>
      </c>
      <c r="I373" s="9">
        <f t="shared" si="288"/>
        <v>321200</v>
      </c>
      <c r="J373" s="9">
        <f t="shared" si="288"/>
        <v>0</v>
      </c>
      <c r="K373" s="9">
        <f t="shared" si="288"/>
        <v>0</v>
      </c>
      <c r="L373" s="9">
        <f t="shared" si="288"/>
        <v>1836100</v>
      </c>
      <c r="M373" s="9">
        <f t="shared" si="288"/>
        <v>0</v>
      </c>
      <c r="N373" s="9">
        <f t="shared" si="288"/>
        <v>0</v>
      </c>
      <c r="O373" s="9">
        <f t="shared" si="288"/>
        <v>9206444.0599999987</v>
      </c>
      <c r="P373" s="9">
        <f t="shared" si="288"/>
        <v>6872802.0399999991</v>
      </c>
      <c r="Q373" s="9">
        <f t="shared" si="288"/>
        <v>0</v>
      </c>
      <c r="R373" s="9">
        <f t="shared" si="288"/>
        <v>123933.84999999998</v>
      </c>
      <c r="S373" s="9">
        <f t="shared" si="288"/>
        <v>0</v>
      </c>
      <c r="T373" s="9">
        <f t="shared" si="288"/>
        <v>0</v>
      </c>
      <c r="U373" s="9">
        <f t="shared" si="288"/>
        <v>0</v>
      </c>
      <c r="V373" s="9">
        <f t="shared" si="288"/>
        <v>1836032.15</v>
      </c>
      <c r="W373" s="9">
        <f t="shared" si="288"/>
        <v>0</v>
      </c>
      <c r="X373" s="9">
        <f t="shared" si="288"/>
        <v>0</v>
      </c>
      <c r="Y373" s="8"/>
      <c r="Z373" s="10"/>
      <c r="AA373" s="11"/>
      <c r="AB373" s="11"/>
      <c r="AC373" s="12"/>
    </row>
    <row r="374" spans="1:29" ht="45" x14ac:dyDescent="0.25">
      <c r="A374" s="13" t="s">
        <v>1052</v>
      </c>
      <c r="B374" s="14" t="s">
        <v>1053</v>
      </c>
      <c r="C374" s="15" t="s">
        <v>279</v>
      </c>
      <c r="D374" s="15" t="s">
        <v>282</v>
      </c>
      <c r="E374" s="16">
        <f t="shared" ref="E374:X374" si="289">E375+E407+E442+E449+E452+E455</f>
        <v>2668453.5699999998</v>
      </c>
      <c r="F374" s="16">
        <f t="shared" si="289"/>
        <v>2521323.52</v>
      </c>
      <c r="G374" s="16">
        <f t="shared" si="289"/>
        <v>0</v>
      </c>
      <c r="H374" s="16">
        <f t="shared" si="289"/>
        <v>145687.04999999999</v>
      </c>
      <c r="I374" s="16">
        <f t="shared" si="289"/>
        <v>0</v>
      </c>
      <c r="J374" s="16">
        <f t="shared" si="289"/>
        <v>0</v>
      </c>
      <c r="K374" s="16">
        <f t="shared" si="289"/>
        <v>0</v>
      </c>
      <c r="L374" s="16">
        <f t="shared" si="289"/>
        <v>0</v>
      </c>
      <c r="M374" s="16">
        <f t="shared" si="289"/>
        <v>0</v>
      </c>
      <c r="N374" s="16">
        <f t="shared" si="289"/>
        <v>0</v>
      </c>
      <c r="O374" s="16">
        <f t="shared" si="289"/>
        <v>2614058.8099999996</v>
      </c>
      <c r="P374" s="16">
        <f t="shared" si="289"/>
        <v>2455647.69</v>
      </c>
      <c r="Q374" s="16">
        <f t="shared" si="289"/>
        <v>0</v>
      </c>
      <c r="R374" s="16">
        <f t="shared" si="289"/>
        <v>123933.84999999998</v>
      </c>
      <c r="S374" s="16">
        <f t="shared" si="289"/>
        <v>0</v>
      </c>
      <c r="T374" s="16">
        <f t="shared" si="289"/>
        <v>0</v>
      </c>
      <c r="U374" s="16">
        <f t="shared" si="289"/>
        <v>0</v>
      </c>
      <c r="V374" s="16">
        <f t="shared" si="289"/>
        <v>0</v>
      </c>
      <c r="W374" s="16">
        <f t="shared" si="289"/>
        <v>0</v>
      </c>
      <c r="X374" s="16">
        <f t="shared" si="289"/>
        <v>0</v>
      </c>
      <c r="Y374" s="15" t="s">
        <v>1054</v>
      </c>
      <c r="Z374" s="17" t="s">
        <v>34</v>
      </c>
      <c r="AA374" s="18" t="s">
        <v>73</v>
      </c>
      <c r="AB374" s="18" t="s">
        <v>284</v>
      </c>
      <c r="AC374" s="19"/>
    </row>
    <row r="375" spans="1:29" ht="67.5" x14ac:dyDescent="0.25">
      <c r="A375" s="20" t="s">
        <v>1055</v>
      </c>
      <c r="B375" s="21" t="s">
        <v>1056</v>
      </c>
      <c r="C375" s="22" t="s">
        <v>279</v>
      </c>
      <c r="D375" s="22" t="s">
        <v>282</v>
      </c>
      <c r="E375" s="23">
        <f t="shared" ref="E375:X375" si="290">E376+E378+E380+E382+E384+E386+E388+E390+E392+E394+E396+E398+E400+E402+E404+E406</f>
        <v>174901.05</v>
      </c>
      <c r="F375" s="23">
        <f t="shared" si="290"/>
        <v>29214</v>
      </c>
      <c r="G375" s="23">
        <f t="shared" si="290"/>
        <v>0</v>
      </c>
      <c r="H375" s="23">
        <f t="shared" si="290"/>
        <v>145687.04999999999</v>
      </c>
      <c r="I375" s="23">
        <f t="shared" si="290"/>
        <v>0</v>
      </c>
      <c r="J375" s="23">
        <f t="shared" si="290"/>
        <v>0</v>
      </c>
      <c r="K375" s="23">
        <f t="shared" si="290"/>
        <v>0</v>
      </c>
      <c r="L375" s="23">
        <f t="shared" si="290"/>
        <v>0</v>
      </c>
      <c r="M375" s="23">
        <f t="shared" si="290"/>
        <v>0</v>
      </c>
      <c r="N375" s="23">
        <f t="shared" si="290"/>
        <v>0</v>
      </c>
      <c r="O375" s="23">
        <f t="shared" si="290"/>
        <v>155567.9</v>
      </c>
      <c r="P375" s="23">
        <f t="shared" si="290"/>
        <v>0</v>
      </c>
      <c r="Q375" s="23">
        <f t="shared" si="290"/>
        <v>0</v>
      </c>
      <c r="R375" s="23">
        <f t="shared" si="290"/>
        <v>123933.84999999998</v>
      </c>
      <c r="S375" s="23">
        <f t="shared" si="290"/>
        <v>0</v>
      </c>
      <c r="T375" s="23">
        <f t="shared" si="290"/>
        <v>0</v>
      </c>
      <c r="U375" s="23">
        <f t="shared" si="290"/>
        <v>0</v>
      </c>
      <c r="V375" s="23">
        <f t="shared" si="290"/>
        <v>0</v>
      </c>
      <c r="W375" s="23">
        <f t="shared" si="290"/>
        <v>0</v>
      </c>
      <c r="X375" s="23">
        <f t="shared" si="290"/>
        <v>0</v>
      </c>
      <c r="Y375" s="22" t="s">
        <v>1057</v>
      </c>
      <c r="Z375" s="24" t="s">
        <v>40</v>
      </c>
      <c r="AA375" s="25" t="s">
        <v>177</v>
      </c>
      <c r="AB375" s="25" t="s">
        <v>177</v>
      </c>
      <c r="AC375" s="26"/>
    </row>
    <row r="376" spans="1:29" ht="93" x14ac:dyDescent="0.25">
      <c r="A376" s="27" t="s">
        <v>1058</v>
      </c>
      <c r="B376" s="28" t="s">
        <v>1059</v>
      </c>
      <c r="C376" s="29" t="s">
        <v>279</v>
      </c>
      <c r="D376" s="29" t="s">
        <v>1051</v>
      </c>
      <c r="E376" s="30">
        <f>SUM(E377:E377)+41500</f>
        <v>41500</v>
      </c>
      <c r="F376" s="30">
        <f>SUM(F377:F377)</f>
        <v>0</v>
      </c>
      <c r="G376" s="30">
        <f>SUM(G377:G377)</f>
        <v>0</v>
      </c>
      <c r="H376" s="30">
        <f>SUM(H377:H377)+41500</f>
        <v>41500</v>
      </c>
      <c r="I376" s="30">
        <f t="shared" ref="I376:N376" si="291">SUM(I377:I377)</f>
        <v>0</v>
      </c>
      <c r="J376" s="30">
        <f t="shared" si="291"/>
        <v>0</v>
      </c>
      <c r="K376" s="30">
        <f t="shared" si="291"/>
        <v>0</v>
      </c>
      <c r="L376" s="30">
        <f t="shared" si="291"/>
        <v>0</v>
      </c>
      <c r="M376" s="30">
        <f t="shared" si="291"/>
        <v>0</v>
      </c>
      <c r="N376" s="30">
        <f t="shared" si="291"/>
        <v>0</v>
      </c>
      <c r="O376" s="30">
        <f>SUM(O377:O377)+40422</f>
        <v>40422</v>
      </c>
      <c r="P376" s="30">
        <f>SUM(P377:P377)</f>
        <v>0</v>
      </c>
      <c r="Q376" s="30">
        <f>SUM(Q377:Q377)</f>
        <v>0</v>
      </c>
      <c r="R376" s="30">
        <f>SUM(R377:R377)+35563.5</f>
        <v>35563.5</v>
      </c>
      <c r="S376" s="30">
        <f t="shared" ref="S376:X376" si="292">SUM(S377:S377)</f>
        <v>0</v>
      </c>
      <c r="T376" s="30">
        <f t="shared" si="292"/>
        <v>0</v>
      </c>
      <c r="U376" s="30">
        <f t="shared" si="292"/>
        <v>0</v>
      </c>
      <c r="V376" s="30">
        <f t="shared" si="292"/>
        <v>0</v>
      </c>
      <c r="W376" s="30">
        <f t="shared" si="292"/>
        <v>0</v>
      </c>
      <c r="X376" s="30">
        <f t="shared" si="292"/>
        <v>0</v>
      </c>
      <c r="Y376" s="29" t="s">
        <v>1060</v>
      </c>
      <c r="Z376" s="31" t="s">
        <v>40</v>
      </c>
      <c r="AA376" s="32" t="s">
        <v>217</v>
      </c>
      <c r="AB376" s="32" t="s">
        <v>370</v>
      </c>
      <c r="AC376" s="33"/>
    </row>
    <row r="377" spans="1:29" ht="69.75" x14ac:dyDescent="0.25">
      <c r="A377" s="34" t="s">
        <v>1061</v>
      </c>
      <c r="B377" s="35" t="s">
        <v>1062</v>
      </c>
      <c r="C377" s="36"/>
      <c r="D377" s="36"/>
      <c r="E377" s="37">
        <v>0</v>
      </c>
      <c r="F377" s="37">
        <v>0</v>
      </c>
      <c r="G377" s="37">
        <v>0</v>
      </c>
      <c r="H377" s="37">
        <v>0</v>
      </c>
      <c r="I377" s="37">
        <v>0</v>
      </c>
      <c r="J377" s="37">
        <v>0</v>
      </c>
      <c r="K377" s="37">
        <v>0</v>
      </c>
      <c r="L377" s="37">
        <v>0</v>
      </c>
      <c r="M377" s="37">
        <v>0</v>
      </c>
      <c r="N377" s="37">
        <v>0</v>
      </c>
      <c r="O377" s="37">
        <v>0</v>
      </c>
      <c r="P377" s="37">
        <v>0</v>
      </c>
      <c r="Q377" s="37">
        <v>0</v>
      </c>
      <c r="R377" s="37">
        <v>0</v>
      </c>
      <c r="S377" s="37">
        <v>0</v>
      </c>
      <c r="T377" s="37">
        <v>0</v>
      </c>
      <c r="U377" s="37">
        <v>0</v>
      </c>
      <c r="V377" s="37">
        <v>0</v>
      </c>
      <c r="W377" s="37">
        <v>0</v>
      </c>
      <c r="X377" s="37">
        <v>0</v>
      </c>
      <c r="Y377" s="36"/>
      <c r="Z377" s="38"/>
      <c r="AA377" s="39"/>
      <c r="AB377" s="39"/>
      <c r="AC377" s="40"/>
    </row>
    <row r="378" spans="1:29" ht="69.75" x14ac:dyDescent="0.25">
      <c r="A378" s="27" t="s">
        <v>1063</v>
      </c>
      <c r="B378" s="28" t="s">
        <v>1064</v>
      </c>
      <c r="C378" s="29" t="s">
        <v>279</v>
      </c>
      <c r="D378" s="29" t="s">
        <v>1051</v>
      </c>
      <c r="E378" s="30">
        <f>SUM(E379:E379)+3000</f>
        <v>3000</v>
      </c>
      <c r="F378" s="30">
        <f>SUM(F379:F379)</f>
        <v>0</v>
      </c>
      <c r="G378" s="30">
        <f>SUM(G379:G379)</f>
        <v>0</v>
      </c>
      <c r="H378" s="30">
        <f>SUM(H379:H379)+3000</f>
        <v>3000</v>
      </c>
      <c r="I378" s="30">
        <f t="shared" ref="I378:X378" si="293">SUM(I379:I379)</f>
        <v>0</v>
      </c>
      <c r="J378" s="30">
        <f t="shared" si="293"/>
        <v>0</v>
      </c>
      <c r="K378" s="30">
        <f t="shared" si="293"/>
        <v>0</v>
      </c>
      <c r="L378" s="30">
        <f t="shared" si="293"/>
        <v>0</v>
      </c>
      <c r="M378" s="30">
        <f t="shared" si="293"/>
        <v>0</v>
      </c>
      <c r="N378" s="30">
        <f t="shared" si="293"/>
        <v>0</v>
      </c>
      <c r="O378" s="30">
        <f t="shared" si="293"/>
        <v>0</v>
      </c>
      <c r="P378" s="30">
        <f t="shared" si="293"/>
        <v>0</v>
      </c>
      <c r="Q378" s="30">
        <f t="shared" si="293"/>
        <v>0</v>
      </c>
      <c r="R378" s="30">
        <f t="shared" si="293"/>
        <v>0</v>
      </c>
      <c r="S378" s="30">
        <f t="shared" si="293"/>
        <v>0</v>
      </c>
      <c r="T378" s="30">
        <f t="shared" si="293"/>
        <v>0</v>
      </c>
      <c r="U378" s="30">
        <f t="shared" si="293"/>
        <v>0</v>
      </c>
      <c r="V378" s="30">
        <f t="shared" si="293"/>
        <v>0</v>
      </c>
      <c r="W378" s="30">
        <f t="shared" si="293"/>
        <v>0</v>
      </c>
      <c r="X378" s="30">
        <f t="shared" si="293"/>
        <v>0</v>
      </c>
      <c r="Y378" s="29" t="s">
        <v>1065</v>
      </c>
      <c r="Z378" s="31" t="s">
        <v>40</v>
      </c>
      <c r="AA378" s="32" t="s">
        <v>70</v>
      </c>
      <c r="AB378" s="32" t="s">
        <v>47</v>
      </c>
      <c r="AC378" s="33" t="s">
        <v>1066</v>
      </c>
    </row>
    <row r="379" spans="1:29" ht="69.75" x14ac:dyDescent="0.25">
      <c r="A379" s="34" t="s">
        <v>1067</v>
      </c>
      <c r="B379" s="35" t="s">
        <v>1068</v>
      </c>
      <c r="C379" s="36"/>
      <c r="D379" s="36"/>
      <c r="E379" s="37">
        <v>0</v>
      </c>
      <c r="F379" s="37">
        <v>0</v>
      </c>
      <c r="G379" s="37">
        <v>0</v>
      </c>
      <c r="H379" s="37">
        <v>0</v>
      </c>
      <c r="I379" s="37">
        <v>0</v>
      </c>
      <c r="J379" s="37">
        <v>0</v>
      </c>
      <c r="K379" s="37">
        <v>0</v>
      </c>
      <c r="L379" s="37">
        <v>0</v>
      </c>
      <c r="M379" s="37">
        <v>0</v>
      </c>
      <c r="N379" s="37">
        <v>0</v>
      </c>
      <c r="O379" s="37">
        <v>0</v>
      </c>
      <c r="P379" s="37">
        <v>0</v>
      </c>
      <c r="Q379" s="37">
        <v>0</v>
      </c>
      <c r="R379" s="37">
        <v>0</v>
      </c>
      <c r="S379" s="37">
        <v>0</v>
      </c>
      <c r="T379" s="37">
        <v>0</v>
      </c>
      <c r="U379" s="37">
        <v>0</v>
      </c>
      <c r="V379" s="37">
        <v>0</v>
      </c>
      <c r="W379" s="37">
        <v>0</v>
      </c>
      <c r="X379" s="37">
        <v>0</v>
      </c>
      <c r="Y379" s="36"/>
      <c r="Z379" s="38"/>
      <c r="AA379" s="39"/>
      <c r="AB379" s="39"/>
      <c r="AC379" s="40"/>
    </row>
    <row r="380" spans="1:29" ht="69.75" x14ac:dyDescent="0.25">
      <c r="A380" s="27" t="s">
        <v>1069</v>
      </c>
      <c r="B380" s="28" t="s">
        <v>1070</v>
      </c>
      <c r="C380" s="29" t="s">
        <v>1071</v>
      </c>
      <c r="D380" s="29" t="s">
        <v>1072</v>
      </c>
      <c r="E380" s="30">
        <f>SUM(E381:E381)+33241</f>
        <v>33241</v>
      </c>
      <c r="F380" s="30">
        <f>SUM(F381:F381)</f>
        <v>0</v>
      </c>
      <c r="G380" s="30">
        <f>SUM(G381:G381)</f>
        <v>0</v>
      </c>
      <c r="H380" s="30">
        <f>SUM(H381:H381)+33241</f>
        <v>33241</v>
      </c>
      <c r="I380" s="30">
        <f t="shared" ref="I380:N380" si="294">SUM(I381:I381)</f>
        <v>0</v>
      </c>
      <c r="J380" s="30">
        <f t="shared" si="294"/>
        <v>0</v>
      </c>
      <c r="K380" s="30">
        <f t="shared" si="294"/>
        <v>0</v>
      </c>
      <c r="L380" s="30">
        <f t="shared" si="294"/>
        <v>0</v>
      </c>
      <c r="M380" s="30">
        <f t="shared" si="294"/>
        <v>0</v>
      </c>
      <c r="N380" s="30">
        <f t="shared" si="294"/>
        <v>0</v>
      </c>
      <c r="O380" s="30">
        <f>SUM(O381:O381)+31788</f>
        <v>31788</v>
      </c>
      <c r="P380" s="30">
        <f>SUM(P381:P381)</f>
        <v>0</v>
      </c>
      <c r="Q380" s="30">
        <f>SUM(Q381:Q381)</f>
        <v>0</v>
      </c>
      <c r="R380" s="30">
        <f>SUM(R381:R381)+18200</f>
        <v>18200</v>
      </c>
      <c r="S380" s="30">
        <f t="shared" ref="S380:X380" si="295">SUM(S381:S381)</f>
        <v>0</v>
      </c>
      <c r="T380" s="30">
        <f t="shared" si="295"/>
        <v>0</v>
      </c>
      <c r="U380" s="30">
        <f t="shared" si="295"/>
        <v>0</v>
      </c>
      <c r="V380" s="30">
        <f t="shared" si="295"/>
        <v>0</v>
      </c>
      <c r="W380" s="30">
        <f t="shared" si="295"/>
        <v>0</v>
      </c>
      <c r="X380" s="30">
        <f t="shared" si="295"/>
        <v>0</v>
      </c>
      <c r="Y380" s="29" t="s">
        <v>1073</v>
      </c>
      <c r="Z380" s="31" t="s">
        <v>40</v>
      </c>
      <c r="AA380" s="32" t="s">
        <v>70</v>
      </c>
      <c r="AB380" s="32" t="s">
        <v>112</v>
      </c>
      <c r="AC380" s="33" t="s">
        <v>1074</v>
      </c>
    </row>
    <row r="381" spans="1:29" ht="46.5" x14ac:dyDescent="0.25">
      <c r="A381" s="34" t="s">
        <v>1075</v>
      </c>
      <c r="B381" s="35" t="s">
        <v>1076</v>
      </c>
      <c r="C381" s="36"/>
      <c r="D381" s="36"/>
      <c r="E381" s="37">
        <v>0</v>
      </c>
      <c r="F381" s="37">
        <v>0</v>
      </c>
      <c r="G381" s="37">
        <v>0</v>
      </c>
      <c r="H381" s="37">
        <v>0</v>
      </c>
      <c r="I381" s="37">
        <v>0</v>
      </c>
      <c r="J381" s="37">
        <v>0</v>
      </c>
      <c r="K381" s="37">
        <v>0</v>
      </c>
      <c r="L381" s="37">
        <v>0</v>
      </c>
      <c r="M381" s="37">
        <v>0</v>
      </c>
      <c r="N381" s="37">
        <v>0</v>
      </c>
      <c r="O381" s="37">
        <v>0</v>
      </c>
      <c r="P381" s="37">
        <v>0</v>
      </c>
      <c r="Q381" s="37">
        <v>0</v>
      </c>
      <c r="R381" s="37">
        <v>0</v>
      </c>
      <c r="S381" s="37">
        <v>0</v>
      </c>
      <c r="T381" s="37">
        <v>0</v>
      </c>
      <c r="U381" s="37">
        <v>0</v>
      </c>
      <c r="V381" s="37">
        <v>0</v>
      </c>
      <c r="W381" s="37">
        <v>0</v>
      </c>
      <c r="X381" s="37">
        <v>0</v>
      </c>
      <c r="Y381" s="36"/>
      <c r="Z381" s="38"/>
      <c r="AA381" s="39"/>
      <c r="AB381" s="39"/>
      <c r="AC381" s="40"/>
    </row>
    <row r="382" spans="1:29" ht="93" x14ac:dyDescent="0.25">
      <c r="A382" s="27" t="s">
        <v>1077</v>
      </c>
      <c r="B382" s="28" t="s">
        <v>1078</v>
      </c>
      <c r="C382" s="29" t="s">
        <v>279</v>
      </c>
      <c r="D382" s="29" t="s">
        <v>1051</v>
      </c>
      <c r="E382" s="30">
        <f>SUM(E383:E383)+3000</f>
        <v>3000</v>
      </c>
      <c r="F382" s="30">
        <f>SUM(F383:F383)</f>
        <v>0</v>
      </c>
      <c r="G382" s="30">
        <f>SUM(G383:G383)</f>
        <v>0</v>
      </c>
      <c r="H382" s="30">
        <f>SUM(H383:H383)+3000</f>
        <v>3000</v>
      </c>
      <c r="I382" s="30">
        <f t="shared" ref="I382:N382" si="296">SUM(I383:I383)</f>
        <v>0</v>
      </c>
      <c r="J382" s="30">
        <f t="shared" si="296"/>
        <v>0</v>
      </c>
      <c r="K382" s="30">
        <f t="shared" si="296"/>
        <v>0</v>
      </c>
      <c r="L382" s="30">
        <f t="shared" si="296"/>
        <v>0</v>
      </c>
      <c r="M382" s="30">
        <f t="shared" si="296"/>
        <v>0</v>
      </c>
      <c r="N382" s="30">
        <f t="shared" si="296"/>
        <v>0</v>
      </c>
      <c r="O382" s="30">
        <f>SUM(O383:O383)+3000</f>
        <v>3000</v>
      </c>
      <c r="P382" s="30">
        <f>SUM(P383:P383)</f>
        <v>0</v>
      </c>
      <c r="Q382" s="30">
        <f>SUM(Q383:Q383)</f>
        <v>0</v>
      </c>
      <c r="R382" s="30">
        <f>SUM(R383:R383)+2275.42</f>
        <v>2275.42</v>
      </c>
      <c r="S382" s="30">
        <f t="shared" ref="S382:X382" si="297">SUM(S383:S383)</f>
        <v>0</v>
      </c>
      <c r="T382" s="30">
        <f t="shared" si="297"/>
        <v>0</v>
      </c>
      <c r="U382" s="30">
        <f t="shared" si="297"/>
        <v>0</v>
      </c>
      <c r="V382" s="30">
        <f t="shared" si="297"/>
        <v>0</v>
      </c>
      <c r="W382" s="30">
        <f t="shared" si="297"/>
        <v>0</v>
      </c>
      <c r="X382" s="30">
        <f t="shared" si="297"/>
        <v>0</v>
      </c>
      <c r="Y382" s="29" t="s">
        <v>1079</v>
      </c>
      <c r="Z382" s="31" t="s">
        <v>1080</v>
      </c>
      <c r="AA382" s="32" t="s">
        <v>176</v>
      </c>
      <c r="AB382" s="32" t="s">
        <v>1081</v>
      </c>
      <c r="AC382" s="33" t="s">
        <v>1082</v>
      </c>
    </row>
    <row r="383" spans="1:29" ht="46.5" x14ac:dyDescent="0.25">
      <c r="A383" s="34" t="s">
        <v>1083</v>
      </c>
      <c r="B383" s="35" t="s">
        <v>1084</v>
      </c>
      <c r="C383" s="36"/>
      <c r="D383" s="36"/>
      <c r="E383" s="37">
        <v>0</v>
      </c>
      <c r="F383" s="37">
        <v>0</v>
      </c>
      <c r="G383" s="37">
        <v>0</v>
      </c>
      <c r="H383" s="37">
        <v>0</v>
      </c>
      <c r="I383" s="37">
        <v>0</v>
      </c>
      <c r="J383" s="37">
        <v>0</v>
      </c>
      <c r="K383" s="37">
        <v>0</v>
      </c>
      <c r="L383" s="37">
        <v>0</v>
      </c>
      <c r="M383" s="37">
        <v>0</v>
      </c>
      <c r="N383" s="37">
        <v>0</v>
      </c>
      <c r="O383" s="37">
        <v>0</v>
      </c>
      <c r="P383" s="37">
        <v>0</v>
      </c>
      <c r="Q383" s="37">
        <v>0</v>
      </c>
      <c r="R383" s="37">
        <v>0</v>
      </c>
      <c r="S383" s="37">
        <v>0</v>
      </c>
      <c r="T383" s="37">
        <v>0</v>
      </c>
      <c r="U383" s="37">
        <v>0</v>
      </c>
      <c r="V383" s="37">
        <v>0</v>
      </c>
      <c r="W383" s="37">
        <v>0</v>
      </c>
      <c r="X383" s="37">
        <v>0</v>
      </c>
      <c r="Y383" s="36"/>
      <c r="Z383" s="38"/>
      <c r="AA383" s="39"/>
      <c r="AB383" s="39"/>
      <c r="AC383" s="40"/>
    </row>
    <row r="384" spans="1:29" ht="46.5" x14ac:dyDescent="0.25">
      <c r="A384" s="27" t="s">
        <v>1085</v>
      </c>
      <c r="B384" s="28" t="s">
        <v>1086</v>
      </c>
      <c r="C384" s="29" t="s">
        <v>279</v>
      </c>
      <c r="D384" s="29" t="s">
        <v>1051</v>
      </c>
      <c r="E384" s="30">
        <f>SUM(E385:E385)+10000</f>
        <v>10000</v>
      </c>
      <c r="F384" s="30">
        <f>SUM(F385:F385)</f>
        <v>0</v>
      </c>
      <c r="G384" s="30">
        <f>SUM(G385:G385)</f>
        <v>0</v>
      </c>
      <c r="H384" s="30">
        <f>SUM(H385:H385)+10000</f>
        <v>10000</v>
      </c>
      <c r="I384" s="30">
        <f t="shared" ref="I384:X384" si="298">SUM(I385:I385)</f>
        <v>0</v>
      </c>
      <c r="J384" s="30">
        <f t="shared" si="298"/>
        <v>0</v>
      </c>
      <c r="K384" s="30">
        <f t="shared" si="298"/>
        <v>0</v>
      </c>
      <c r="L384" s="30">
        <f t="shared" si="298"/>
        <v>0</v>
      </c>
      <c r="M384" s="30">
        <f t="shared" si="298"/>
        <v>0</v>
      </c>
      <c r="N384" s="30">
        <f t="shared" si="298"/>
        <v>0</v>
      </c>
      <c r="O384" s="30">
        <f t="shared" si="298"/>
        <v>0</v>
      </c>
      <c r="P384" s="30">
        <f t="shared" si="298"/>
        <v>0</v>
      </c>
      <c r="Q384" s="30">
        <f t="shared" si="298"/>
        <v>0</v>
      </c>
      <c r="R384" s="30">
        <f t="shared" si="298"/>
        <v>0</v>
      </c>
      <c r="S384" s="30">
        <f t="shared" si="298"/>
        <v>0</v>
      </c>
      <c r="T384" s="30">
        <f t="shared" si="298"/>
        <v>0</v>
      </c>
      <c r="U384" s="30">
        <f t="shared" si="298"/>
        <v>0</v>
      </c>
      <c r="V384" s="30">
        <f t="shared" si="298"/>
        <v>0</v>
      </c>
      <c r="W384" s="30">
        <f t="shared" si="298"/>
        <v>0</v>
      </c>
      <c r="X384" s="30">
        <f t="shared" si="298"/>
        <v>0</v>
      </c>
      <c r="Y384" s="29" t="s">
        <v>1087</v>
      </c>
      <c r="Z384" s="31" t="s">
        <v>40</v>
      </c>
      <c r="AA384" s="32" t="s">
        <v>54</v>
      </c>
      <c r="AB384" s="32" t="s">
        <v>47</v>
      </c>
      <c r="AC384" s="33" t="s">
        <v>1088</v>
      </c>
    </row>
    <row r="385" spans="1:29" ht="46.5" x14ac:dyDescent="0.25">
      <c r="A385" s="34" t="s">
        <v>1089</v>
      </c>
      <c r="B385" s="35" t="s">
        <v>1090</v>
      </c>
      <c r="C385" s="36"/>
      <c r="D385" s="36"/>
      <c r="E385" s="37">
        <v>0</v>
      </c>
      <c r="F385" s="37">
        <v>0</v>
      </c>
      <c r="G385" s="37">
        <v>0</v>
      </c>
      <c r="H385" s="37">
        <v>0</v>
      </c>
      <c r="I385" s="37">
        <v>0</v>
      </c>
      <c r="J385" s="37">
        <v>0</v>
      </c>
      <c r="K385" s="37">
        <v>0</v>
      </c>
      <c r="L385" s="37">
        <v>0</v>
      </c>
      <c r="M385" s="37">
        <v>0</v>
      </c>
      <c r="N385" s="37">
        <v>0</v>
      </c>
      <c r="O385" s="37">
        <v>0</v>
      </c>
      <c r="P385" s="37">
        <v>0</v>
      </c>
      <c r="Q385" s="37">
        <v>0</v>
      </c>
      <c r="R385" s="37">
        <v>0</v>
      </c>
      <c r="S385" s="37">
        <v>0</v>
      </c>
      <c r="T385" s="37">
        <v>0</v>
      </c>
      <c r="U385" s="37">
        <v>0</v>
      </c>
      <c r="V385" s="37">
        <v>0</v>
      </c>
      <c r="W385" s="37">
        <v>0</v>
      </c>
      <c r="X385" s="37">
        <v>0</v>
      </c>
      <c r="Y385" s="36"/>
      <c r="Z385" s="38"/>
      <c r="AA385" s="39"/>
      <c r="AB385" s="39"/>
      <c r="AC385" s="40"/>
    </row>
    <row r="386" spans="1:29" ht="46.5" x14ac:dyDescent="0.25">
      <c r="A386" s="27" t="s">
        <v>1091</v>
      </c>
      <c r="B386" s="28" t="s">
        <v>1092</v>
      </c>
      <c r="C386" s="29" t="s">
        <v>279</v>
      </c>
      <c r="D386" s="29" t="s">
        <v>1051</v>
      </c>
      <c r="E386" s="30">
        <f>SUM(E387:E387)+1500</f>
        <v>1500</v>
      </c>
      <c r="F386" s="30">
        <f>SUM(F387:F387)</f>
        <v>0</v>
      </c>
      <c r="G386" s="30">
        <f>SUM(G387:G387)</f>
        <v>0</v>
      </c>
      <c r="H386" s="30">
        <f>SUM(H387:H387)+1500</f>
        <v>1500</v>
      </c>
      <c r="I386" s="30">
        <f t="shared" ref="I386:N386" si="299">SUM(I387:I387)</f>
        <v>0</v>
      </c>
      <c r="J386" s="30">
        <f t="shared" si="299"/>
        <v>0</v>
      </c>
      <c r="K386" s="30">
        <f t="shared" si="299"/>
        <v>0</v>
      </c>
      <c r="L386" s="30">
        <f t="shared" si="299"/>
        <v>0</v>
      </c>
      <c r="M386" s="30">
        <f t="shared" si="299"/>
        <v>0</v>
      </c>
      <c r="N386" s="30">
        <f t="shared" si="299"/>
        <v>0</v>
      </c>
      <c r="O386" s="30">
        <f>SUM(O387:O387)+1500</f>
        <v>1500</v>
      </c>
      <c r="P386" s="30">
        <f>SUM(P387:P387)</f>
        <v>0</v>
      </c>
      <c r="Q386" s="30">
        <f>SUM(Q387:Q387)</f>
        <v>0</v>
      </c>
      <c r="R386" s="30">
        <f>SUM(R387:R387)+1500</f>
        <v>1500</v>
      </c>
      <c r="S386" s="30">
        <f t="shared" ref="S386:X386" si="300">SUM(S387:S387)</f>
        <v>0</v>
      </c>
      <c r="T386" s="30">
        <f t="shared" si="300"/>
        <v>0</v>
      </c>
      <c r="U386" s="30">
        <f t="shared" si="300"/>
        <v>0</v>
      </c>
      <c r="V386" s="30">
        <f t="shared" si="300"/>
        <v>0</v>
      </c>
      <c r="W386" s="30">
        <f t="shared" si="300"/>
        <v>0</v>
      </c>
      <c r="X386" s="30">
        <f t="shared" si="300"/>
        <v>0</v>
      </c>
      <c r="Y386" s="29" t="s">
        <v>1093</v>
      </c>
      <c r="Z386" s="31" t="s">
        <v>40</v>
      </c>
      <c r="AA386" s="32" t="s">
        <v>41</v>
      </c>
      <c r="AB386" s="32" t="s">
        <v>41</v>
      </c>
      <c r="AC386" s="33"/>
    </row>
    <row r="387" spans="1:29" ht="46.5" x14ac:dyDescent="0.25">
      <c r="A387" s="34" t="s">
        <v>1094</v>
      </c>
      <c r="B387" s="35" t="s">
        <v>1095</v>
      </c>
      <c r="C387" s="36"/>
      <c r="D387" s="36"/>
      <c r="E387" s="37">
        <v>0</v>
      </c>
      <c r="F387" s="37">
        <v>0</v>
      </c>
      <c r="G387" s="37">
        <v>0</v>
      </c>
      <c r="H387" s="37">
        <v>0</v>
      </c>
      <c r="I387" s="37">
        <v>0</v>
      </c>
      <c r="J387" s="37">
        <v>0</v>
      </c>
      <c r="K387" s="37">
        <v>0</v>
      </c>
      <c r="L387" s="37">
        <v>0</v>
      </c>
      <c r="M387" s="37">
        <v>0</v>
      </c>
      <c r="N387" s="37">
        <v>0</v>
      </c>
      <c r="O387" s="37">
        <v>0</v>
      </c>
      <c r="P387" s="37">
        <v>0</v>
      </c>
      <c r="Q387" s="37">
        <v>0</v>
      </c>
      <c r="R387" s="37">
        <v>0</v>
      </c>
      <c r="S387" s="37">
        <v>0</v>
      </c>
      <c r="T387" s="37">
        <v>0</v>
      </c>
      <c r="U387" s="37">
        <v>0</v>
      </c>
      <c r="V387" s="37">
        <v>0</v>
      </c>
      <c r="W387" s="37">
        <v>0</v>
      </c>
      <c r="X387" s="37">
        <v>0</v>
      </c>
      <c r="Y387" s="36"/>
      <c r="Z387" s="38"/>
      <c r="AA387" s="39"/>
      <c r="AB387" s="39"/>
      <c r="AC387" s="40"/>
    </row>
    <row r="388" spans="1:29" ht="93" x14ac:dyDescent="0.25">
      <c r="A388" s="27" t="s">
        <v>1096</v>
      </c>
      <c r="B388" s="28" t="s">
        <v>1097</v>
      </c>
      <c r="C388" s="29" t="s">
        <v>279</v>
      </c>
      <c r="D388" s="29" t="s">
        <v>1051</v>
      </c>
      <c r="E388" s="30">
        <f>SUM(E389:E389)+27714</f>
        <v>27714</v>
      </c>
      <c r="F388" s="30">
        <f>SUM(F389:F389)+24214</f>
        <v>24214</v>
      </c>
      <c r="G388" s="30">
        <f>SUM(G389:G389)</f>
        <v>0</v>
      </c>
      <c r="H388" s="30">
        <f>SUM(H389:H389)+3500</f>
        <v>3500</v>
      </c>
      <c r="I388" s="30">
        <f t="shared" ref="I388:N388" si="301">SUM(I389:I389)</f>
        <v>0</v>
      </c>
      <c r="J388" s="30">
        <f t="shared" si="301"/>
        <v>0</v>
      </c>
      <c r="K388" s="30">
        <f t="shared" si="301"/>
        <v>0</v>
      </c>
      <c r="L388" s="30">
        <f t="shared" si="301"/>
        <v>0</v>
      </c>
      <c r="M388" s="30">
        <f t="shared" si="301"/>
        <v>0</v>
      </c>
      <c r="N388" s="30">
        <f t="shared" si="301"/>
        <v>0</v>
      </c>
      <c r="O388" s="30">
        <f>SUM(O389:O389)+27501.93</f>
        <v>27501.93</v>
      </c>
      <c r="P388" s="30">
        <f>SUM(P389:P389)</f>
        <v>0</v>
      </c>
      <c r="Q388" s="30">
        <f>SUM(Q389:Q389)</f>
        <v>0</v>
      </c>
      <c r="R388" s="30">
        <f>SUM(R389:R389)+27480.34</f>
        <v>27480.34</v>
      </c>
      <c r="S388" s="30">
        <f t="shared" ref="S388:X388" si="302">SUM(S389:S389)</f>
        <v>0</v>
      </c>
      <c r="T388" s="30">
        <f t="shared" si="302"/>
        <v>0</v>
      </c>
      <c r="U388" s="30">
        <f t="shared" si="302"/>
        <v>0</v>
      </c>
      <c r="V388" s="30">
        <f t="shared" si="302"/>
        <v>0</v>
      </c>
      <c r="W388" s="30">
        <f t="shared" si="302"/>
        <v>0</v>
      </c>
      <c r="X388" s="30">
        <f t="shared" si="302"/>
        <v>0</v>
      </c>
      <c r="Y388" s="29" t="s">
        <v>1098</v>
      </c>
      <c r="Z388" s="31" t="s">
        <v>40</v>
      </c>
      <c r="AA388" s="32" t="s">
        <v>1099</v>
      </c>
      <c r="AB388" s="32" t="s">
        <v>1100</v>
      </c>
      <c r="AC388" s="33" t="s">
        <v>1101</v>
      </c>
    </row>
    <row r="389" spans="1:29" ht="69.75" x14ac:dyDescent="0.25">
      <c r="A389" s="34" t="s">
        <v>1102</v>
      </c>
      <c r="B389" s="35" t="s">
        <v>1103</v>
      </c>
      <c r="C389" s="36"/>
      <c r="D389" s="36"/>
      <c r="E389" s="37">
        <v>0</v>
      </c>
      <c r="F389" s="37">
        <v>0</v>
      </c>
      <c r="G389" s="37">
        <v>0</v>
      </c>
      <c r="H389" s="37">
        <v>0</v>
      </c>
      <c r="I389" s="37">
        <v>0</v>
      </c>
      <c r="J389" s="37">
        <v>0</v>
      </c>
      <c r="K389" s="37">
        <v>0</v>
      </c>
      <c r="L389" s="37">
        <v>0</v>
      </c>
      <c r="M389" s="37">
        <v>0</v>
      </c>
      <c r="N389" s="37">
        <v>0</v>
      </c>
      <c r="O389" s="37">
        <v>0</v>
      </c>
      <c r="P389" s="37">
        <v>0</v>
      </c>
      <c r="Q389" s="37">
        <v>0</v>
      </c>
      <c r="R389" s="37">
        <v>0</v>
      </c>
      <c r="S389" s="37">
        <v>0</v>
      </c>
      <c r="T389" s="37">
        <v>0</v>
      </c>
      <c r="U389" s="37">
        <v>0</v>
      </c>
      <c r="V389" s="37">
        <v>0</v>
      </c>
      <c r="W389" s="37">
        <v>0</v>
      </c>
      <c r="X389" s="37">
        <v>0</v>
      </c>
      <c r="Y389" s="36"/>
      <c r="Z389" s="38"/>
      <c r="AA389" s="39"/>
      <c r="AB389" s="39"/>
      <c r="AC389" s="40"/>
    </row>
    <row r="390" spans="1:29" ht="116.25" x14ac:dyDescent="0.25">
      <c r="A390" s="27" t="s">
        <v>1104</v>
      </c>
      <c r="B390" s="28" t="s">
        <v>1105</v>
      </c>
      <c r="C390" s="29" t="s">
        <v>279</v>
      </c>
      <c r="D390" s="29" t="s">
        <v>1051</v>
      </c>
      <c r="E390" s="30">
        <f>SUM(E391:E391)+7100</f>
        <v>7100</v>
      </c>
      <c r="F390" s="30">
        <f>SUM(F391:F391)</f>
        <v>0</v>
      </c>
      <c r="G390" s="30">
        <f>SUM(G391:G391)</f>
        <v>0</v>
      </c>
      <c r="H390" s="30">
        <f>SUM(H391:H391)+7100</f>
        <v>7100</v>
      </c>
      <c r="I390" s="30">
        <f t="shared" ref="I390:N390" si="303">SUM(I391:I391)</f>
        <v>0</v>
      </c>
      <c r="J390" s="30">
        <f t="shared" si="303"/>
        <v>0</v>
      </c>
      <c r="K390" s="30">
        <f t="shared" si="303"/>
        <v>0</v>
      </c>
      <c r="L390" s="30">
        <f t="shared" si="303"/>
        <v>0</v>
      </c>
      <c r="M390" s="30">
        <f t="shared" si="303"/>
        <v>0</v>
      </c>
      <c r="N390" s="30">
        <f t="shared" si="303"/>
        <v>0</v>
      </c>
      <c r="O390" s="30">
        <f>SUM(O391:O391)+7052.02</f>
        <v>7052.02</v>
      </c>
      <c r="P390" s="30">
        <f>SUM(P391:P391)</f>
        <v>0</v>
      </c>
      <c r="Q390" s="30">
        <f>SUM(Q391:Q391)</f>
        <v>0</v>
      </c>
      <c r="R390" s="30">
        <f>SUM(R391:R391)+7047.03</f>
        <v>7047.03</v>
      </c>
      <c r="S390" s="30">
        <f t="shared" ref="S390:X390" si="304">SUM(S391:S391)</f>
        <v>0</v>
      </c>
      <c r="T390" s="30">
        <f t="shared" si="304"/>
        <v>0</v>
      </c>
      <c r="U390" s="30">
        <f t="shared" si="304"/>
        <v>0</v>
      </c>
      <c r="V390" s="30">
        <f t="shared" si="304"/>
        <v>0</v>
      </c>
      <c r="W390" s="30">
        <f t="shared" si="304"/>
        <v>0</v>
      </c>
      <c r="X390" s="30">
        <f t="shared" si="304"/>
        <v>0</v>
      </c>
      <c r="Y390" s="29" t="s">
        <v>1106</v>
      </c>
      <c r="Z390" s="31" t="s">
        <v>40</v>
      </c>
      <c r="AA390" s="32" t="s">
        <v>390</v>
      </c>
      <c r="AB390" s="32" t="s">
        <v>690</v>
      </c>
      <c r="AC390" s="33" t="s">
        <v>1107</v>
      </c>
    </row>
    <row r="391" spans="1:29" ht="69.75" x14ac:dyDescent="0.25">
      <c r="A391" s="34" t="s">
        <v>1108</v>
      </c>
      <c r="B391" s="35" t="s">
        <v>1109</v>
      </c>
      <c r="C391" s="36"/>
      <c r="D391" s="36"/>
      <c r="E391" s="37">
        <v>0</v>
      </c>
      <c r="F391" s="37">
        <v>0</v>
      </c>
      <c r="G391" s="37">
        <v>0</v>
      </c>
      <c r="H391" s="37">
        <v>0</v>
      </c>
      <c r="I391" s="37">
        <v>0</v>
      </c>
      <c r="J391" s="37">
        <v>0</v>
      </c>
      <c r="K391" s="37">
        <v>0</v>
      </c>
      <c r="L391" s="37">
        <v>0</v>
      </c>
      <c r="M391" s="37">
        <v>0</v>
      </c>
      <c r="N391" s="37">
        <v>0</v>
      </c>
      <c r="O391" s="37">
        <v>0</v>
      </c>
      <c r="P391" s="37">
        <v>0</v>
      </c>
      <c r="Q391" s="37">
        <v>0</v>
      </c>
      <c r="R391" s="37">
        <v>0</v>
      </c>
      <c r="S391" s="37">
        <v>0</v>
      </c>
      <c r="T391" s="37">
        <v>0</v>
      </c>
      <c r="U391" s="37">
        <v>0</v>
      </c>
      <c r="V391" s="37">
        <v>0</v>
      </c>
      <c r="W391" s="37">
        <v>0</v>
      </c>
      <c r="X391" s="37">
        <v>0</v>
      </c>
      <c r="Y391" s="36"/>
      <c r="Z391" s="38"/>
      <c r="AA391" s="39"/>
      <c r="AB391" s="39"/>
      <c r="AC391" s="40"/>
    </row>
    <row r="392" spans="1:29" ht="93" x14ac:dyDescent="0.25">
      <c r="A392" s="27" t="s">
        <v>1110</v>
      </c>
      <c r="B392" s="28" t="s">
        <v>1111</v>
      </c>
      <c r="C392" s="29" t="s">
        <v>279</v>
      </c>
      <c r="D392" s="29" t="s">
        <v>1051</v>
      </c>
      <c r="E392" s="30">
        <f>SUM(E393:E393)+3700</f>
        <v>3700</v>
      </c>
      <c r="F392" s="30">
        <f>SUM(F393:F393)</f>
        <v>0</v>
      </c>
      <c r="G392" s="30">
        <f>SUM(G393:G393)</f>
        <v>0</v>
      </c>
      <c r="H392" s="30">
        <f>SUM(H393:H393)+3700</f>
        <v>3700</v>
      </c>
      <c r="I392" s="30">
        <f t="shared" ref="I392:N392" si="305">SUM(I393:I393)</f>
        <v>0</v>
      </c>
      <c r="J392" s="30">
        <f t="shared" si="305"/>
        <v>0</v>
      </c>
      <c r="K392" s="30">
        <f t="shared" si="305"/>
        <v>0</v>
      </c>
      <c r="L392" s="30">
        <f t="shared" si="305"/>
        <v>0</v>
      </c>
      <c r="M392" s="30">
        <f t="shared" si="305"/>
        <v>0</v>
      </c>
      <c r="N392" s="30">
        <f t="shared" si="305"/>
        <v>0</v>
      </c>
      <c r="O392" s="30">
        <f>SUM(O393:O393)+2851.98</f>
        <v>2851.98</v>
      </c>
      <c r="P392" s="30">
        <f>SUM(P393:P393)</f>
        <v>0</v>
      </c>
      <c r="Q392" s="30">
        <f>SUM(Q393:Q393)</f>
        <v>0</v>
      </c>
      <c r="R392" s="30">
        <f>SUM(R393:R393)+2351.98</f>
        <v>2351.98</v>
      </c>
      <c r="S392" s="30">
        <f t="shared" ref="S392:X392" si="306">SUM(S393:S393)</f>
        <v>0</v>
      </c>
      <c r="T392" s="30">
        <f t="shared" si="306"/>
        <v>0</v>
      </c>
      <c r="U392" s="30">
        <f t="shared" si="306"/>
        <v>0</v>
      </c>
      <c r="V392" s="30">
        <f t="shared" si="306"/>
        <v>0</v>
      </c>
      <c r="W392" s="30">
        <f t="shared" si="306"/>
        <v>0</v>
      </c>
      <c r="X392" s="30">
        <f t="shared" si="306"/>
        <v>0</v>
      </c>
      <c r="Y392" s="29" t="s">
        <v>1112</v>
      </c>
      <c r="Z392" s="31" t="s">
        <v>40</v>
      </c>
      <c r="AA392" s="32" t="s">
        <v>54</v>
      </c>
      <c r="AB392" s="32" t="s">
        <v>47</v>
      </c>
      <c r="AC392" s="33" t="s">
        <v>1113</v>
      </c>
    </row>
    <row r="393" spans="1:29" ht="69.75" x14ac:dyDescent="0.25">
      <c r="A393" s="34" t="s">
        <v>1114</v>
      </c>
      <c r="B393" s="35" t="s">
        <v>1115</v>
      </c>
      <c r="C393" s="36"/>
      <c r="D393" s="36"/>
      <c r="E393" s="37">
        <v>0</v>
      </c>
      <c r="F393" s="37">
        <v>0</v>
      </c>
      <c r="G393" s="37">
        <v>0</v>
      </c>
      <c r="H393" s="37">
        <v>0</v>
      </c>
      <c r="I393" s="37">
        <v>0</v>
      </c>
      <c r="J393" s="37">
        <v>0</v>
      </c>
      <c r="K393" s="37">
        <v>0</v>
      </c>
      <c r="L393" s="37">
        <v>0</v>
      </c>
      <c r="M393" s="37">
        <v>0</v>
      </c>
      <c r="N393" s="37">
        <v>0</v>
      </c>
      <c r="O393" s="37">
        <v>0</v>
      </c>
      <c r="P393" s="37">
        <v>0</v>
      </c>
      <c r="Q393" s="37">
        <v>0</v>
      </c>
      <c r="R393" s="37">
        <v>0</v>
      </c>
      <c r="S393" s="37">
        <v>0</v>
      </c>
      <c r="T393" s="37">
        <v>0</v>
      </c>
      <c r="U393" s="37">
        <v>0</v>
      </c>
      <c r="V393" s="37">
        <v>0</v>
      </c>
      <c r="W393" s="37">
        <v>0</v>
      </c>
      <c r="X393" s="37">
        <v>0</v>
      </c>
      <c r="Y393" s="36"/>
      <c r="Z393" s="38"/>
      <c r="AA393" s="39"/>
      <c r="AB393" s="39"/>
      <c r="AC393" s="40"/>
    </row>
    <row r="394" spans="1:29" ht="46.5" x14ac:dyDescent="0.25">
      <c r="A394" s="27" t="s">
        <v>1116</v>
      </c>
      <c r="B394" s="28" t="s">
        <v>1117</v>
      </c>
      <c r="C394" s="29" t="s">
        <v>279</v>
      </c>
      <c r="D394" s="29" t="s">
        <v>1051</v>
      </c>
      <c r="E394" s="30">
        <f>SUM(E395:E395)+9000</f>
        <v>9000</v>
      </c>
      <c r="F394" s="30">
        <f>SUM(F395:F395)+5000</f>
        <v>5000</v>
      </c>
      <c r="G394" s="30">
        <f>SUM(G395:G395)</f>
        <v>0</v>
      </c>
      <c r="H394" s="30">
        <f>SUM(H395:H395)+4000</f>
        <v>4000</v>
      </c>
      <c r="I394" s="30">
        <f t="shared" ref="I394:N394" si="307">SUM(I395:I395)</f>
        <v>0</v>
      </c>
      <c r="J394" s="30">
        <f t="shared" si="307"/>
        <v>0</v>
      </c>
      <c r="K394" s="30">
        <f t="shared" si="307"/>
        <v>0</v>
      </c>
      <c r="L394" s="30">
        <f t="shared" si="307"/>
        <v>0</v>
      </c>
      <c r="M394" s="30">
        <f t="shared" si="307"/>
        <v>0</v>
      </c>
      <c r="N394" s="30">
        <f t="shared" si="307"/>
        <v>0</v>
      </c>
      <c r="O394" s="30">
        <f>SUM(O395:O395)+9000</f>
        <v>9000</v>
      </c>
      <c r="P394" s="30">
        <f>SUM(P395:P395)</f>
        <v>0</v>
      </c>
      <c r="Q394" s="30">
        <f>SUM(Q395:Q395)</f>
        <v>0</v>
      </c>
      <c r="R394" s="30">
        <f>SUM(R395:R395)+9000</f>
        <v>9000</v>
      </c>
      <c r="S394" s="30">
        <f t="shared" ref="S394:X394" si="308">SUM(S395:S395)</f>
        <v>0</v>
      </c>
      <c r="T394" s="30">
        <f t="shared" si="308"/>
        <v>0</v>
      </c>
      <c r="U394" s="30">
        <f t="shared" si="308"/>
        <v>0</v>
      </c>
      <c r="V394" s="30">
        <f t="shared" si="308"/>
        <v>0</v>
      </c>
      <c r="W394" s="30">
        <f t="shared" si="308"/>
        <v>0</v>
      </c>
      <c r="X394" s="30">
        <f t="shared" si="308"/>
        <v>0</v>
      </c>
      <c r="Y394" s="29" t="s">
        <v>1118</v>
      </c>
      <c r="Z394" s="31" t="s">
        <v>40</v>
      </c>
      <c r="AA394" s="32" t="s">
        <v>70</v>
      </c>
      <c r="AB394" s="32" t="s">
        <v>70</v>
      </c>
      <c r="AC394" s="33"/>
    </row>
    <row r="395" spans="1:29" ht="69.75" x14ac:dyDescent="0.25">
      <c r="A395" s="34" t="s">
        <v>1119</v>
      </c>
      <c r="B395" s="35" t="s">
        <v>1120</v>
      </c>
      <c r="C395" s="36"/>
      <c r="D395" s="36"/>
      <c r="E395" s="37">
        <v>0</v>
      </c>
      <c r="F395" s="37">
        <v>0</v>
      </c>
      <c r="G395" s="37">
        <v>0</v>
      </c>
      <c r="H395" s="37">
        <v>0</v>
      </c>
      <c r="I395" s="37">
        <v>0</v>
      </c>
      <c r="J395" s="37">
        <v>0</v>
      </c>
      <c r="K395" s="37">
        <v>0</v>
      </c>
      <c r="L395" s="37">
        <v>0</v>
      </c>
      <c r="M395" s="37">
        <v>0</v>
      </c>
      <c r="N395" s="37">
        <v>0</v>
      </c>
      <c r="O395" s="37">
        <v>0</v>
      </c>
      <c r="P395" s="37">
        <v>0</v>
      </c>
      <c r="Q395" s="37">
        <v>0</v>
      </c>
      <c r="R395" s="37">
        <v>0</v>
      </c>
      <c r="S395" s="37">
        <v>0</v>
      </c>
      <c r="T395" s="37">
        <v>0</v>
      </c>
      <c r="U395" s="37">
        <v>0</v>
      </c>
      <c r="V395" s="37">
        <v>0</v>
      </c>
      <c r="W395" s="37">
        <v>0</v>
      </c>
      <c r="X395" s="37">
        <v>0</v>
      </c>
      <c r="Y395" s="36"/>
      <c r="Z395" s="38"/>
      <c r="AA395" s="39"/>
      <c r="AB395" s="39"/>
      <c r="AC395" s="40"/>
    </row>
    <row r="396" spans="1:29" ht="116.25" x14ac:dyDescent="0.25">
      <c r="A396" s="27" t="s">
        <v>1121</v>
      </c>
      <c r="B396" s="28" t="s">
        <v>1122</v>
      </c>
      <c r="C396" s="29" t="s">
        <v>279</v>
      </c>
      <c r="D396" s="29" t="s">
        <v>1051</v>
      </c>
      <c r="E396" s="30">
        <f>SUM(E397:E397)+2000</f>
        <v>2000</v>
      </c>
      <c r="F396" s="30">
        <f>SUM(F397:F397)</f>
        <v>0</v>
      </c>
      <c r="G396" s="30">
        <f>SUM(G397:G397)</f>
        <v>0</v>
      </c>
      <c r="H396" s="30">
        <f>SUM(H397:H397)+2000</f>
        <v>2000</v>
      </c>
      <c r="I396" s="30">
        <f t="shared" ref="I396:N396" si="309">SUM(I397:I397)</f>
        <v>0</v>
      </c>
      <c r="J396" s="30">
        <f t="shared" si="309"/>
        <v>0</v>
      </c>
      <c r="K396" s="30">
        <f t="shared" si="309"/>
        <v>0</v>
      </c>
      <c r="L396" s="30">
        <f t="shared" si="309"/>
        <v>0</v>
      </c>
      <c r="M396" s="30">
        <f t="shared" si="309"/>
        <v>0</v>
      </c>
      <c r="N396" s="30">
        <f t="shared" si="309"/>
        <v>0</v>
      </c>
      <c r="O396" s="30">
        <f>SUM(O397:O397)+1453.94</f>
        <v>1453.94</v>
      </c>
      <c r="P396" s="30">
        <f>SUM(P397:P397)</f>
        <v>0</v>
      </c>
      <c r="Q396" s="30">
        <f>SUM(Q397:Q397)</f>
        <v>0</v>
      </c>
      <c r="R396" s="30">
        <f>SUM(R397:R397)+1449.5</f>
        <v>1449.5</v>
      </c>
      <c r="S396" s="30">
        <f t="shared" ref="S396:X396" si="310">SUM(S397:S397)</f>
        <v>0</v>
      </c>
      <c r="T396" s="30">
        <f t="shared" si="310"/>
        <v>0</v>
      </c>
      <c r="U396" s="30">
        <f t="shared" si="310"/>
        <v>0</v>
      </c>
      <c r="V396" s="30">
        <f t="shared" si="310"/>
        <v>0</v>
      </c>
      <c r="W396" s="30">
        <f t="shared" si="310"/>
        <v>0</v>
      </c>
      <c r="X396" s="30">
        <f t="shared" si="310"/>
        <v>0</v>
      </c>
      <c r="Y396" s="29" t="s">
        <v>731</v>
      </c>
      <c r="Z396" s="31" t="s">
        <v>40</v>
      </c>
      <c r="AA396" s="32" t="s">
        <v>54</v>
      </c>
      <c r="AB396" s="32" t="s">
        <v>47</v>
      </c>
      <c r="AC396" s="33" t="s">
        <v>1123</v>
      </c>
    </row>
    <row r="397" spans="1:29" ht="46.5" x14ac:dyDescent="0.25">
      <c r="A397" s="34" t="s">
        <v>1124</v>
      </c>
      <c r="B397" s="35" t="s">
        <v>1125</v>
      </c>
      <c r="C397" s="36"/>
      <c r="D397" s="36"/>
      <c r="E397" s="37">
        <v>0</v>
      </c>
      <c r="F397" s="37">
        <v>0</v>
      </c>
      <c r="G397" s="37">
        <v>0</v>
      </c>
      <c r="H397" s="37">
        <v>0</v>
      </c>
      <c r="I397" s="37">
        <v>0</v>
      </c>
      <c r="J397" s="37">
        <v>0</v>
      </c>
      <c r="K397" s="37">
        <v>0</v>
      </c>
      <c r="L397" s="37">
        <v>0</v>
      </c>
      <c r="M397" s="37">
        <v>0</v>
      </c>
      <c r="N397" s="37">
        <v>0</v>
      </c>
      <c r="O397" s="37">
        <v>0</v>
      </c>
      <c r="P397" s="37">
        <v>0</v>
      </c>
      <c r="Q397" s="37">
        <v>0</v>
      </c>
      <c r="R397" s="37">
        <v>0</v>
      </c>
      <c r="S397" s="37">
        <v>0</v>
      </c>
      <c r="T397" s="37">
        <v>0</v>
      </c>
      <c r="U397" s="37">
        <v>0</v>
      </c>
      <c r="V397" s="37">
        <v>0</v>
      </c>
      <c r="W397" s="37">
        <v>0</v>
      </c>
      <c r="X397" s="37">
        <v>0</v>
      </c>
      <c r="Y397" s="36"/>
      <c r="Z397" s="38"/>
      <c r="AA397" s="39"/>
      <c r="AB397" s="39"/>
      <c r="AC397" s="40"/>
    </row>
    <row r="398" spans="1:29" ht="46.5" x14ac:dyDescent="0.25">
      <c r="A398" s="27" t="s">
        <v>1126</v>
      </c>
      <c r="B398" s="28" t="s">
        <v>1127</v>
      </c>
      <c r="C398" s="29" t="s">
        <v>279</v>
      </c>
      <c r="D398" s="29" t="s">
        <v>1051</v>
      </c>
      <c r="E398" s="30">
        <f>SUM(E399:E399)+6046.05</f>
        <v>6046.05</v>
      </c>
      <c r="F398" s="30">
        <f>SUM(F399:F399)</f>
        <v>0</v>
      </c>
      <c r="G398" s="30">
        <f>SUM(G399:G399)</f>
        <v>0</v>
      </c>
      <c r="H398" s="30">
        <f>SUM(H399:H399)+6046.05</f>
        <v>6046.05</v>
      </c>
      <c r="I398" s="30">
        <f t="shared" ref="I398:N398" si="311">SUM(I399:I399)</f>
        <v>0</v>
      </c>
      <c r="J398" s="30">
        <f t="shared" si="311"/>
        <v>0</v>
      </c>
      <c r="K398" s="30">
        <f t="shared" si="311"/>
        <v>0</v>
      </c>
      <c r="L398" s="30">
        <f t="shared" si="311"/>
        <v>0</v>
      </c>
      <c r="M398" s="30">
        <f t="shared" si="311"/>
        <v>0</v>
      </c>
      <c r="N398" s="30">
        <f t="shared" si="311"/>
        <v>0</v>
      </c>
      <c r="O398" s="30">
        <f>SUM(O399:O399)+5944.71</f>
        <v>5944.71</v>
      </c>
      <c r="P398" s="30">
        <f>SUM(P399:P399)</f>
        <v>0</v>
      </c>
      <c r="Q398" s="30">
        <f>SUM(Q399:Q399)</f>
        <v>0</v>
      </c>
      <c r="R398" s="30">
        <f>SUM(R399:R399)+5943.76</f>
        <v>5943.76</v>
      </c>
      <c r="S398" s="30">
        <f t="shared" ref="S398:X398" si="312">SUM(S399:S399)</f>
        <v>0</v>
      </c>
      <c r="T398" s="30">
        <f t="shared" si="312"/>
        <v>0</v>
      </c>
      <c r="U398" s="30">
        <f t="shared" si="312"/>
        <v>0</v>
      </c>
      <c r="V398" s="30">
        <f t="shared" si="312"/>
        <v>0</v>
      </c>
      <c r="W398" s="30">
        <f t="shared" si="312"/>
        <v>0</v>
      </c>
      <c r="X398" s="30">
        <f t="shared" si="312"/>
        <v>0</v>
      </c>
      <c r="Y398" s="29" t="s">
        <v>1128</v>
      </c>
      <c r="Z398" s="31" t="s">
        <v>40</v>
      </c>
      <c r="AA398" s="32" t="s">
        <v>690</v>
      </c>
      <c r="AB398" s="32" t="s">
        <v>690</v>
      </c>
      <c r="AC398" s="33"/>
    </row>
    <row r="399" spans="1:29" ht="69.75" x14ac:dyDescent="0.25">
      <c r="A399" s="34" t="s">
        <v>1129</v>
      </c>
      <c r="B399" s="35" t="s">
        <v>1130</v>
      </c>
      <c r="C399" s="36"/>
      <c r="D399" s="36"/>
      <c r="E399" s="37">
        <v>0</v>
      </c>
      <c r="F399" s="37">
        <v>0</v>
      </c>
      <c r="G399" s="37">
        <v>0</v>
      </c>
      <c r="H399" s="37">
        <v>0</v>
      </c>
      <c r="I399" s="37">
        <v>0</v>
      </c>
      <c r="J399" s="37">
        <v>0</v>
      </c>
      <c r="K399" s="37">
        <v>0</v>
      </c>
      <c r="L399" s="37">
        <v>0</v>
      </c>
      <c r="M399" s="37">
        <v>0</v>
      </c>
      <c r="N399" s="37">
        <v>0</v>
      </c>
      <c r="O399" s="37">
        <v>0</v>
      </c>
      <c r="P399" s="37">
        <v>0</v>
      </c>
      <c r="Q399" s="37">
        <v>0</v>
      </c>
      <c r="R399" s="37">
        <v>0</v>
      </c>
      <c r="S399" s="37">
        <v>0</v>
      </c>
      <c r="T399" s="37">
        <v>0</v>
      </c>
      <c r="U399" s="37">
        <v>0</v>
      </c>
      <c r="V399" s="37">
        <v>0</v>
      </c>
      <c r="W399" s="37">
        <v>0</v>
      </c>
      <c r="X399" s="37">
        <v>0</v>
      </c>
      <c r="Y399" s="36"/>
      <c r="Z399" s="38"/>
      <c r="AA399" s="39"/>
      <c r="AB399" s="39"/>
      <c r="AC399" s="40"/>
    </row>
    <row r="400" spans="1:29" ht="46.5" x14ac:dyDescent="0.25">
      <c r="A400" s="27" t="s">
        <v>1131</v>
      </c>
      <c r="B400" s="28" t="s">
        <v>1132</v>
      </c>
      <c r="C400" s="29" t="s">
        <v>279</v>
      </c>
      <c r="D400" s="29" t="s">
        <v>1051</v>
      </c>
      <c r="E400" s="30">
        <f>SUM(E401:E401)+24600</f>
        <v>24600</v>
      </c>
      <c r="F400" s="30">
        <f>SUM(F401:F401)</f>
        <v>0</v>
      </c>
      <c r="G400" s="30">
        <f>SUM(G401:G401)</f>
        <v>0</v>
      </c>
      <c r="H400" s="30">
        <f>SUM(H401:H401)+24600</f>
        <v>24600</v>
      </c>
      <c r="I400" s="30">
        <f t="shared" ref="I400:N400" si="313">SUM(I401:I401)</f>
        <v>0</v>
      </c>
      <c r="J400" s="30">
        <f t="shared" si="313"/>
        <v>0</v>
      </c>
      <c r="K400" s="30">
        <f t="shared" si="313"/>
        <v>0</v>
      </c>
      <c r="L400" s="30">
        <f t="shared" si="313"/>
        <v>0</v>
      </c>
      <c r="M400" s="30">
        <f t="shared" si="313"/>
        <v>0</v>
      </c>
      <c r="N400" s="30">
        <f t="shared" si="313"/>
        <v>0</v>
      </c>
      <c r="O400" s="30">
        <f>SUM(O401:O401)+24553.32</f>
        <v>24553.32</v>
      </c>
      <c r="P400" s="30">
        <f>SUM(P401:P401)</f>
        <v>0</v>
      </c>
      <c r="Q400" s="30">
        <f>SUM(Q401:Q401)</f>
        <v>0</v>
      </c>
      <c r="R400" s="30">
        <f>SUM(R401:R401)+12622.32</f>
        <v>12622.32</v>
      </c>
      <c r="S400" s="30">
        <f t="shared" ref="S400:X400" si="314">SUM(S401:S401)</f>
        <v>0</v>
      </c>
      <c r="T400" s="30">
        <f t="shared" si="314"/>
        <v>0</v>
      </c>
      <c r="U400" s="30">
        <f t="shared" si="314"/>
        <v>0</v>
      </c>
      <c r="V400" s="30">
        <f t="shared" si="314"/>
        <v>0</v>
      </c>
      <c r="W400" s="30">
        <f t="shared" si="314"/>
        <v>0</v>
      </c>
      <c r="X400" s="30">
        <f t="shared" si="314"/>
        <v>0</v>
      </c>
      <c r="Y400" s="29" t="s">
        <v>1133</v>
      </c>
      <c r="Z400" s="31" t="s">
        <v>40</v>
      </c>
      <c r="AA400" s="32" t="s">
        <v>690</v>
      </c>
      <c r="AB400" s="32" t="s">
        <v>690</v>
      </c>
      <c r="AC400" s="33"/>
    </row>
    <row r="401" spans="1:29" ht="69.75" x14ac:dyDescent="0.25">
      <c r="A401" s="34" t="s">
        <v>1134</v>
      </c>
      <c r="B401" s="35" t="s">
        <v>1135</v>
      </c>
      <c r="C401" s="36"/>
      <c r="D401" s="36"/>
      <c r="E401" s="37">
        <v>0</v>
      </c>
      <c r="F401" s="37">
        <v>0</v>
      </c>
      <c r="G401" s="37">
        <v>0</v>
      </c>
      <c r="H401" s="37">
        <v>0</v>
      </c>
      <c r="I401" s="37">
        <v>0</v>
      </c>
      <c r="J401" s="37">
        <v>0</v>
      </c>
      <c r="K401" s="37">
        <v>0</v>
      </c>
      <c r="L401" s="37">
        <v>0</v>
      </c>
      <c r="M401" s="37">
        <v>0</v>
      </c>
      <c r="N401" s="37">
        <v>0</v>
      </c>
      <c r="O401" s="37">
        <v>0</v>
      </c>
      <c r="P401" s="37">
        <v>0</v>
      </c>
      <c r="Q401" s="37">
        <v>0</v>
      </c>
      <c r="R401" s="37">
        <v>0</v>
      </c>
      <c r="S401" s="37">
        <v>0</v>
      </c>
      <c r="T401" s="37">
        <v>0</v>
      </c>
      <c r="U401" s="37">
        <v>0</v>
      </c>
      <c r="V401" s="37">
        <v>0</v>
      </c>
      <c r="W401" s="37">
        <v>0</v>
      </c>
      <c r="X401" s="37">
        <v>0</v>
      </c>
      <c r="Y401" s="36"/>
      <c r="Z401" s="38"/>
      <c r="AA401" s="39"/>
      <c r="AB401" s="39"/>
      <c r="AC401" s="40"/>
    </row>
    <row r="402" spans="1:29" ht="46.5" x14ac:dyDescent="0.25">
      <c r="A402" s="27" t="s">
        <v>1136</v>
      </c>
      <c r="B402" s="28" t="s">
        <v>1137</v>
      </c>
      <c r="C402" s="29" t="s">
        <v>279</v>
      </c>
      <c r="D402" s="29" t="s">
        <v>1051</v>
      </c>
      <c r="E402" s="30">
        <f>SUM(E403:E403)+1000</f>
        <v>1000</v>
      </c>
      <c r="F402" s="30">
        <f>SUM(F403:F403)</f>
        <v>0</v>
      </c>
      <c r="G402" s="30">
        <f>SUM(G403:G403)</f>
        <v>0</v>
      </c>
      <c r="H402" s="30">
        <f>SUM(H403:H403)+1000</f>
        <v>1000</v>
      </c>
      <c r="I402" s="30">
        <f t="shared" ref="I402:X402" si="315">SUM(I403:I403)</f>
        <v>0</v>
      </c>
      <c r="J402" s="30">
        <f t="shared" si="315"/>
        <v>0</v>
      </c>
      <c r="K402" s="30">
        <f t="shared" si="315"/>
        <v>0</v>
      </c>
      <c r="L402" s="30">
        <f t="shared" si="315"/>
        <v>0</v>
      </c>
      <c r="M402" s="30">
        <f t="shared" si="315"/>
        <v>0</v>
      </c>
      <c r="N402" s="30">
        <f t="shared" si="315"/>
        <v>0</v>
      </c>
      <c r="O402" s="30">
        <f t="shared" si="315"/>
        <v>0</v>
      </c>
      <c r="P402" s="30">
        <f t="shared" si="315"/>
        <v>0</v>
      </c>
      <c r="Q402" s="30">
        <f t="shared" si="315"/>
        <v>0</v>
      </c>
      <c r="R402" s="30">
        <f t="shared" si="315"/>
        <v>0</v>
      </c>
      <c r="S402" s="30">
        <f t="shared" si="315"/>
        <v>0</v>
      </c>
      <c r="T402" s="30">
        <f t="shared" si="315"/>
        <v>0</v>
      </c>
      <c r="U402" s="30">
        <f t="shared" si="315"/>
        <v>0</v>
      </c>
      <c r="V402" s="30">
        <f t="shared" si="315"/>
        <v>0</v>
      </c>
      <c r="W402" s="30">
        <f t="shared" si="315"/>
        <v>0</v>
      </c>
      <c r="X402" s="30">
        <f t="shared" si="315"/>
        <v>0</v>
      </c>
      <c r="Y402" s="29" t="s">
        <v>1138</v>
      </c>
      <c r="Z402" s="31" t="s">
        <v>40</v>
      </c>
      <c r="AA402" s="32" t="s">
        <v>54</v>
      </c>
      <c r="AB402" s="32" t="s">
        <v>47</v>
      </c>
      <c r="AC402" s="33" t="s">
        <v>1088</v>
      </c>
    </row>
    <row r="403" spans="1:29" ht="46.5" x14ac:dyDescent="0.25">
      <c r="A403" s="34" t="s">
        <v>1139</v>
      </c>
      <c r="B403" s="35" t="s">
        <v>1140</v>
      </c>
      <c r="C403" s="36"/>
      <c r="D403" s="36"/>
      <c r="E403" s="37">
        <v>0</v>
      </c>
      <c r="F403" s="37">
        <v>0</v>
      </c>
      <c r="G403" s="37">
        <v>0</v>
      </c>
      <c r="H403" s="37">
        <v>0</v>
      </c>
      <c r="I403" s="37">
        <v>0</v>
      </c>
      <c r="J403" s="37">
        <v>0</v>
      </c>
      <c r="K403" s="37">
        <v>0</v>
      </c>
      <c r="L403" s="37">
        <v>0</v>
      </c>
      <c r="M403" s="37">
        <v>0</v>
      </c>
      <c r="N403" s="37">
        <v>0</v>
      </c>
      <c r="O403" s="37">
        <v>0</v>
      </c>
      <c r="P403" s="37">
        <v>0</v>
      </c>
      <c r="Q403" s="37">
        <v>0</v>
      </c>
      <c r="R403" s="37">
        <v>0</v>
      </c>
      <c r="S403" s="37">
        <v>0</v>
      </c>
      <c r="T403" s="37">
        <v>0</v>
      </c>
      <c r="U403" s="37">
        <v>0</v>
      </c>
      <c r="V403" s="37">
        <v>0</v>
      </c>
      <c r="W403" s="37">
        <v>0</v>
      </c>
      <c r="X403" s="37">
        <v>0</v>
      </c>
      <c r="Y403" s="36"/>
      <c r="Z403" s="38"/>
      <c r="AA403" s="39"/>
      <c r="AB403" s="39"/>
      <c r="AC403" s="40"/>
    </row>
    <row r="404" spans="1:29" ht="69.75" x14ac:dyDescent="0.25">
      <c r="A404" s="27" t="s">
        <v>1141</v>
      </c>
      <c r="B404" s="28" t="s">
        <v>1142</v>
      </c>
      <c r="C404" s="29" t="s">
        <v>279</v>
      </c>
      <c r="D404" s="29" t="s">
        <v>1051</v>
      </c>
      <c r="E404" s="30">
        <f>SUM(E405:E405)+1000</f>
        <v>1000</v>
      </c>
      <c r="F404" s="30">
        <f>SUM(F405:F405)</f>
        <v>0</v>
      </c>
      <c r="G404" s="30">
        <f>SUM(G405:G405)</f>
        <v>0</v>
      </c>
      <c r="H404" s="30">
        <f>SUM(H405:H405)+1000</f>
        <v>1000</v>
      </c>
      <c r="I404" s="30">
        <f t="shared" ref="I404:X404" si="316">SUM(I405:I405)</f>
        <v>0</v>
      </c>
      <c r="J404" s="30">
        <f t="shared" si="316"/>
        <v>0</v>
      </c>
      <c r="K404" s="30">
        <f t="shared" si="316"/>
        <v>0</v>
      </c>
      <c r="L404" s="30">
        <f t="shared" si="316"/>
        <v>0</v>
      </c>
      <c r="M404" s="30">
        <f t="shared" si="316"/>
        <v>0</v>
      </c>
      <c r="N404" s="30">
        <f t="shared" si="316"/>
        <v>0</v>
      </c>
      <c r="O404" s="30">
        <f t="shared" si="316"/>
        <v>0</v>
      </c>
      <c r="P404" s="30">
        <f t="shared" si="316"/>
        <v>0</v>
      </c>
      <c r="Q404" s="30">
        <f t="shared" si="316"/>
        <v>0</v>
      </c>
      <c r="R404" s="30">
        <f t="shared" si="316"/>
        <v>0</v>
      </c>
      <c r="S404" s="30">
        <f t="shared" si="316"/>
        <v>0</v>
      </c>
      <c r="T404" s="30">
        <f t="shared" si="316"/>
        <v>0</v>
      </c>
      <c r="U404" s="30">
        <f t="shared" si="316"/>
        <v>0</v>
      </c>
      <c r="V404" s="30">
        <f t="shared" si="316"/>
        <v>0</v>
      </c>
      <c r="W404" s="30">
        <f t="shared" si="316"/>
        <v>0</v>
      </c>
      <c r="X404" s="30">
        <f t="shared" si="316"/>
        <v>0</v>
      </c>
      <c r="Y404" s="29" t="s">
        <v>1143</v>
      </c>
      <c r="Z404" s="31" t="s">
        <v>40</v>
      </c>
      <c r="AA404" s="32" t="s">
        <v>54</v>
      </c>
      <c r="AB404" s="32" t="s">
        <v>47</v>
      </c>
      <c r="AC404" s="33" t="s">
        <v>1088</v>
      </c>
    </row>
    <row r="405" spans="1:29" ht="69.75" x14ac:dyDescent="0.25">
      <c r="A405" s="34" t="s">
        <v>1144</v>
      </c>
      <c r="B405" s="35" t="s">
        <v>1145</v>
      </c>
      <c r="C405" s="36"/>
      <c r="D405" s="36"/>
      <c r="E405" s="37">
        <v>0</v>
      </c>
      <c r="F405" s="37">
        <v>0</v>
      </c>
      <c r="G405" s="37">
        <v>0</v>
      </c>
      <c r="H405" s="37">
        <v>0</v>
      </c>
      <c r="I405" s="37">
        <v>0</v>
      </c>
      <c r="J405" s="37">
        <v>0</v>
      </c>
      <c r="K405" s="37">
        <v>0</v>
      </c>
      <c r="L405" s="37">
        <v>0</v>
      </c>
      <c r="M405" s="37">
        <v>0</v>
      </c>
      <c r="N405" s="37">
        <v>0</v>
      </c>
      <c r="O405" s="37">
        <v>0</v>
      </c>
      <c r="P405" s="37">
        <v>0</v>
      </c>
      <c r="Q405" s="37">
        <v>0</v>
      </c>
      <c r="R405" s="37">
        <v>0</v>
      </c>
      <c r="S405" s="37">
        <v>0</v>
      </c>
      <c r="T405" s="37">
        <v>0</v>
      </c>
      <c r="U405" s="37">
        <v>0</v>
      </c>
      <c r="V405" s="37">
        <v>0</v>
      </c>
      <c r="W405" s="37">
        <v>0</v>
      </c>
      <c r="X405" s="37">
        <v>0</v>
      </c>
      <c r="Y405" s="36"/>
      <c r="Z405" s="38"/>
      <c r="AA405" s="39"/>
      <c r="AB405" s="39"/>
      <c r="AC405" s="40"/>
    </row>
    <row r="406" spans="1:29" ht="139.5" x14ac:dyDescent="0.25">
      <c r="A406" s="27" t="s">
        <v>1146</v>
      </c>
      <c r="B406" s="28" t="s">
        <v>1147</v>
      </c>
      <c r="C406" s="29" t="s">
        <v>279</v>
      </c>
      <c r="D406" s="29" t="s">
        <v>1148</v>
      </c>
      <c r="E406" s="48">
        <v>500</v>
      </c>
      <c r="F406" s="48">
        <v>0</v>
      </c>
      <c r="G406" s="48">
        <v>0</v>
      </c>
      <c r="H406" s="48">
        <v>500</v>
      </c>
      <c r="I406" s="48">
        <v>0</v>
      </c>
      <c r="J406" s="48">
        <v>0</v>
      </c>
      <c r="K406" s="48">
        <v>0</v>
      </c>
      <c r="L406" s="48">
        <v>0</v>
      </c>
      <c r="M406" s="48">
        <v>0</v>
      </c>
      <c r="N406" s="48">
        <v>0</v>
      </c>
      <c r="O406" s="48">
        <v>500</v>
      </c>
      <c r="P406" s="48">
        <v>0</v>
      </c>
      <c r="Q406" s="48">
        <v>0</v>
      </c>
      <c r="R406" s="48">
        <v>500</v>
      </c>
      <c r="S406" s="48">
        <v>0</v>
      </c>
      <c r="T406" s="48">
        <v>0</v>
      </c>
      <c r="U406" s="48">
        <v>0</v>
      </c>
      <c r="V406" s="48">
        <v>0</v>
      </c>
      <c r="W406" s="48">
        <v>0</v>
      </c>
      <c r="X406" s="48">
        <v>0</v>
      </c>
      <c r="Y406" s="29" t="s">
        <v>1149</v>
      </c>
      <c r="Z406" s="31" t="s">
        <v>40</v>
      </c>
      <c r="AA406" s="32" t="s">
        <v>54</v>
      </c>
      <c r="AB406" s="32" t="s">
        <v>54</v>
      </c>
      <c r="AC406" s="33"/>
    </row>
    <row r="407" spans="1:29" ht="157.5" x14ac:dyDescent="0.25">
      <c r="A407" s="20" t="s">
        <v>1150</v>
      </c>
      <c r="B407" s="21" t="s">
        <v>1151</v>
      </c>
      <c r="C407" s="22" t="s">
        <v>279</v>
      </c>
      <c r="D407" s="22" t="s">
        <v>282</v>
      </c>
      <c r="E407" s="23">
        <f t="shared" ref="E407:X407" si="317">E408+E410+E412+E414+E416+E418+E420+E422+E424+E426+E428+E430+E432+E434+E436+E438+E440</f>
        <v>2397076.73</v>
      </c>
      <c r="F407" s="23">
        <f t="shared" si="317"/>
        <v>2395633.73</v>
      </c>
      <c r="G407" s="23">
        <f t="shared" si="317"/>
        <v>0</v>
      </c>
      <c r="H407" s="23">
        <f t="shared" si="317"/>
        <v>0</v>
      </c>
      <c r="I407" s="23">
        <f t="shared" si="317"/>
        <v>0</v>
      </c>
      <c r="J407" s="23">
        <f t="shared" si="317"/>
        <v>0</v>
      </c>
      <c r="K407" s="23">
        <f t="shared" si="317"/>
        <v>0</v>
      </c>
      <c r="L407" s="23">
        <f t="shared" si="317"/>
        <v>0</v>
      </c>
      <c r="M407" s="23">
        <f t="shared" si="317"/>
        <v>0</v>
      </c>
      <c r="N407" s="23">
        <f t="shared" si="317"/>
        <v>0</v>
      </c>
      <c r="O407" s="23">
        <f t="shared" si="317"/>
        <v>2386197.0099999998</v>
      </c>
      <c r="P407" s="23">
        <f t="shared" si="317"/>
        <v>2383353.79</v>
      </c>
      <c r="Q407" s="23">
        <f t="shared" si="317"/>
        <v>0</v>
      </c>
      <c r="R407" s="23">
        <f t="shared" si="317"/>
        <v>0</v>
      </c>
      <c r="S407" s="23">
        <f t="shared" si="317"/>
        <v>0</v>
      </c>
      <c r="T407" s="23">
        <f t="shared" si="317"/>
        <v>0</v>
      </c>
      <c r="U407" s="23">
        <f t="shared" si="317"/>
        <v>0</v>
      </c>
      <c r="V407" s="23">
        <f t="shared" si="317"/>
        <v>0</v>
      </c>
      <c r="W407" s="23">
        <f t="shared" si="317"/>
        <v>0</v>
      </c>
      <c r="X407" s="23">
        <f t="shared" si="317"/>
        <v>0</v>
      </c>
      <c r="Y407" s="22" t="s">
        <v>287</v>
      </c>
      <c r="Z407" s="24" t="s">
        <v>40</v>
      </c>
      <c r="AA407" s="25" t="s">
        <v>54</v>
      </c>
      <c r="AB407" s="25" t="s">
        <v>47</v>
      </c>
      <c r="AC407" s="26" t="s">
        <v>1152</v>
      </c>
    </row>
    <row r="408" spans="1:29" ht="69.75" x14ac:dyDescent="0.25">
      <c r="A408" s="27" t="s">
        <v>1153</v>
      </c>
      <c r="B408" s="28" t="s">
        <v>1154</v>
      </c>
      <c r="C408" s="29" t="s">
        <v>279</v>
      </c>
      <c r="D408" s="29" t="s">
        <v>1051</v>
      </c>
      <c r="E408" s="30">
        <f>SUM(E409:E409)+6394.85</f>
        <v>6394.85</v>
      </c>
      <c r="F408" s="30">
        <f>SUM(F409:F409)+6394.85</f>
        <v>6394.85</v>
      </c>
      <c r="G408" s="30">
        <f t="shared" ref="G408:N408" si="318">SUM(G409:G409)</f>
        <v>0</v>
      </c>
      <c r="H408" s="30">
        <f t="shared" si="318"/>
        <v>0</v>
      </c>
      <c r="I408" s="30">
        <f t="shared" si="318"/>
        <v>0</v>
      </c>
      <c r="J408" s="30">
        <f t="shared" si="318"/>
        <v>0</v>
      </c>
      <c r="K408" s="30">
        <f t="shared" si="318"/>
        <v>0</v>
      </c>
      <c r="L408" s="30">
        <f t="shared" si="318"/>
        <v>0</v>
      </c>
      <c r="M408" s="30">
        <f t="shared" si="318"/>
        <v>0</v>
      </c>
      <c r="N408" s="30">
        <f t="shared" si="318"/>
        <v>0</v>
      </c>
      <c r="O408" s="30">
        <f>SUM(O409:O409)+6394.85</f>
        <v>6394.85</v>
      </c>
      <c r="P408" s="30">
        <f>SUM(P409:P409)+6394.85</f>
        <v>6394.85</v>
      </c>
      <c r="Q408" s="30">
        <f t="shared" ref="Q408:X408" si="319">SUM(Q409:Q409)</f>
        <v>0</v>
      </c>
      <c r="R408" s="30">
        <f t="shared" si="319"/>
        <v>0</v>
      </c>
      <c r="S408" s="30">
        <f t="shared" si="319"/>
        <v>0</v>
      </c>
      <c r="T408" s="30">
        <f t="shared" si="319"/>
        <v>0</v>
      </c>
      <c r="U408" s="30">
        <f t="shared" si="319"/>
        <v>0</v>
      </c>
      <c r="V408" s="30">
        <f t="shared" si="319"/>
        <v>0</v>
      </c>
      <c r="W408" s="30">
        <f t="shared" si="319"/>
        <v>0</v>
      </c>
      <c r="X408" s="30">
        <f t="shared" si="319"/>
        <v>0</v>
      </c>
      <c r="Y408" s="29" t="s">
        <v>1155</v>
      </c>
      <c r="Z408" s="31" t="s">
        <v>40</v>
      </c>
      <c r="AA408" s="32" t="s">
        <v>217</v>
      </c>
      <c r="AB408" s="32" t="s">
        <v>981</v>
      </c>
      <c r="AC408" s="33" t="s">
        <v>1156</v>
      </c>
    </row>
    <row r="409" spans="1:29" ht="116.25" x14ac:dyDescent="0.25">
      <c r="A409" s="34" t="s">
        <v>1157</v>
      </c>
      <c r="B409" s="35" t="s">
        <v>1158</v>
      </c>
      <c r="C409" s="36"/>
      <c r="D409" s="36"/>
      <c r="E409" s="37">
        <v>0</v>
      </c>
      <c r="F409" s="37">
        <v>0</v>
      </c>
      <c r="G409" s="37">
        <v>0</v>
      </c>
      <c r="H409" s="37">
        <v>0</v>
      </c>
      <c r="I409" s="37">
        <v>0</v>
      </c>
      <c r="J409" s="37">
        <v>0</v>
      </c>
      <c r="K409" s="37">
        <v>0</v>
      </c>
      <c r="L409" s="37">
        <v>0</v>
      </c>
      <c r="M409" s="37">
        <v>0</v>
      </c>
      <c r="N409" s="37">
        <v>0</v>
      </c>
      <c r="O409" s="37">
        <v>0</v>
      </c>
      <c r="P409" s="37">
        <v>0</v>
      </c>
      <c r="Q409" s="37">
        <v>0</v>
      </c>
      <c r="R409" s="37">
        <v>0</v>
      </c>
      <c r="S409" s="37">
        <v>0</v>
      </c>
      <c r="T409" s="37">
        <v>0</v>
      </c>
      <c r="U409" s="37">
        <v>0</v>
      </c>
      <c r="V409" s="37">
        <v>0</v>
      </c>
      <c r="W409" s="37">
        <v>0</v>
      </c>
      <c r="X409" s="37">
        <v>0</v>
      </c>
      <c r="Y409" s="36"/>
      <c r="Z409" s="38"/>
      <c r="AA409" s="39"/>
      <c r="AB409" s="39"/>
      <c r="AC409" s="40"/>
    </row>
    <row r="410" spans="1:29" ht="69.75" x14ac:dyDescent="0.25">
      <c r="A410" s="27" t="s">
        <v>1159</v>
      </c>
      <c r="B410" s="28" t="s">
        <v>1160</v>
      </c>
      <c r="C410" s="29" t="s">
        <v>279</v>
      </c>
      <c r="D410" s="29" t="s">
        <v>1051</v>
      </c>
      <c r="E410" s="30">
        <f>SUM(E411:E411)+2000</f>
        <v>2000</v>
      </c>
      <c r="F410" s="30">
        <f>SUM(F411:F411)+2000</f>
        <v>2000</v>
      </c>
      <c r="G410" s="30">
        <f t="shared" ref="G410:N410" si="320">SUM(G411:G411)</f>
        <v>0</v>
      </c>
      <c r="H410" s="30">
        <f t="shared" si="320"/>
        <v>0</v>
      </c>
      <c r="I410" s="30">
        <f t="shared" si="320"/>
        <v>0</v>
      </c>
      <c r="J410" s="30">
        <f t="shared" si="320"/>
        <v>0</v>
      </c>
      <c r="K410" s="30">
        <f t="shared" si="320"/>
        <v>0</v>
      </c>
      <c r="L410" s="30">
        <f t="shared" si="320"/>
        <v>0</v>
      </c>
      <c r="M410" s="30">
        <f t="shared" si="320"/>
        <v>0</v>
      </c>
      <c r="N410" s="30">
        <f t="shared" si="320"/>
        <v>0</v>
      </c>
      <c r="O410" s="30">
        <f>SUM(O411:O411)+2000</f>
        <v>2000</v>
      </c>
      <c r="P410" s="30">
        <f>SUM(P411:P411)+2000</f>
        <v>2000</v>
      </c>
      <c r="Q410" s="30">
        <f t="shared" ref="Q410:X410" si="321">SUM(Q411:Q411)</f>
        <v>0</v>
      </c>
      <c r="R410" s="30">
        <f t="shared" si="321"/>
        <v>0</v>
      </c>
      <c r="S410" s="30">
        <f t="shared" si="321"/>
        <v>0</v>
      </c>
      <c r="T410" s="30">
        <f t="shared" si="321"/>
        <v>0</v>
      </c>
      <c r="U410" s="30">
        <f t="shared" si="321"/>
        <v>0</v>
      </c>
      <c r="V410" s="30">
        <f t="shared" si="321"/>
        <v>0</v>
      </c>
      <c r="W410" s="30">
        <f t="shared" si="321"/>
        <v>0</v>
      </c>
      <c r="X410" s="30">
        <f t="shared" si="321"/>
        <v>0</v>
      </c>
      <c r="Y410" s="29" t="s">
        <v>1143</v>
      </c>
      <c r="Z410" s="31" t="s">
        <v>40</v>
      </c>
      <c r="AA410" s="32" t="s">
        <v>54</v>
      </c>
      <c r="AB410" s="32" t="s">
        <v>54</v>
      </c>
      <c r="AC410" s="33"/>
    </row>
    <row r="411" spans="1:29" ht="69.75" x14ac:dyDescent="0.25">
      <c r="A411" s="34" t="s">
        <v>1161</v>
      </c>
      <c r="B411" s="35" t="s">
        <v>1162</v>
      </c>
      <c r="C411" s="36"/>
      <c r="D411" s="36"/>
      <c r="E411" s="37">
        <v>0</v>
      </c>
      <c r="F411" s="37">
        <v>0</v>
      </c>
      <c r="G411" s="37">
        <v>0</v>
      </c>
      <c r="H411" s="37">
        <v>0</v>
      </c>
      <c r="I411" s="37">
        <v>0</v>
      </c>
      <c r="J411" s="37">
        <v>0</v>
      </c>
      <c r="K411" s="37">
        <v>0</v>
      </c>
      <c r="L411" s="37">
        <v>0</v>
      </c>
      <c r="M411" s="37">
        <v>0</v>
      </c>
      <c r="N411" s="37">
        <v>0</v>
      </c>
      <c r="O411" s="37">
        <v>0</v>
      </c>
      <c r="P411" s="37">
        <v>0</v>
      </c>
      <c r="Q411" s="37">
        <v>0</v>
      </c>
      <c r="R411" s="37">
        <v>0</v>
      </c>
      <c r="S411" s="37">
        <v>0</v>
      </c>
      <c r="T411" s="37">
        <v>0</v>
      </c>
      <c r="U411" s="37">
        <v>0</v>
      </c>
      <c r="V411" s="37">
        <v>0</v>
      </c>
      <c r="W411" s="37">
        <v>0</v>
      </c>
      <c r="X411" s="37">
        <v>0</v>
      </c>
      <c r="Y411" s="36"/>
      <c r="Z411" s="38"/>
      <c r="AA411" s="39"/>
      <c r="AB411" s="39"/>
      <c r="AC411" s="40"/>
    </row>
    <row r="412" spans="1:29" ht="46.5" x14ac:dyDescent="0.25">
      <c r="A412" s="27" t="s">
        <v>1163</v>
      </c>
      <c r="B412" s="28" t="s">
        <v>1164</v>
      </c>
      <c r="C412" s="29" t="s">
        <v>827</v>
      </c>
      <c r="D412" s="29" t="s">
        <v>828</v>
      </c>
      <c r="E412" s="30">
        <f>SUM(E413:E413)+71697</f>
        <v>71697</v>
      </c>
      <c r="F412" s="30">
        <f>SUM(F413:F413)+71697</f>
        <v>71697</v>
      </c>
      <c r="G412" s="30">
        <f t="shared" ref="G412:N412" si="322">SUM(G413:G413)</f>
        <v>0</v>
      </c>
      <c r="H412" s="30">
        <f t="shared" si="322"/>
        <v>0</v>
      </c>
      <c r="I412" s="30">
        <f t="shared" si="322"/>
        <v>0</v>
      </c>
      <c r="J412" s="30">
        <f t="shared" si="322"/>
        <v>0</v>
      </c>
      <c r="K412" s="30">
        <f t="shared" si="322"/>
        <v>0</v>
      </c>
      <c r="L412" s="30">
        <f t="shared" si="322"/>
        <v>0</v>
      </c>
      <c r="M412" s="30">
        <f t="shared" si="322"/>
        <v>0</v>
      </c>
      <c r="N412" s="30">
        <f t="shared" si="322"/>
        <v>0</v>
      </c>
      <c r="O412" s="30">
        <f>SUM(O413:O413)+71561.84</f>
        <v>71561.84</v>
      </c>
      <c r="P412" s="30">
        <f>SUM(P413:P413)+71561.84</f>
        <v>71561.84</v>
      </c>
      <c r="Q412" s="30">
        <f t="shared" ref="Q412:X412" si="323">SUM(Q413:Q413)</f>
        <v>0</v>
      </c>
      <c r="R412" s="30">
        <f t="shared" si="323"/>
        <v>0</v>
      </c>
      <c r="S412" s="30">
        <f t="shared" si="323"/>
        <v>0</v>
      </c>
      <c r="T412" s="30">
        <f t="shared" si="323"/>
        <v>0</v>
      </c>
      <c r="U412" s="30">
        <f t="shared" si="323"/>
        <v>0</v>
      </c>
      <c r="V412" s="30">
        <f t="shared" si="323"/>
        <v>0</v>
      </c>
      <c r="W412" s="30">
        <f t="shared" si="323"/>
        <v>0</v>
      </c>
      <c r="X412" s="30">
        <f t="shared" si="323"/>
        <v>0</v>
      </c>
      <c r="Y412" s="29" t="s">
        <v>1165</v>
      </c>
      <c r="Z412" s="31" t="s">
        <v>1166</v>
      </c>
      <c r="AA412" s="32" t="s">
        <v>106</v>
      </c>
      <c r="AB412" s="32" t="s">
        <v>106</v>
      </c>
      <c r="AC412" s="33"/>
    </row>
    <row r="413" spans="1:29" ht="46.5" x14ac:dyDescent="0.25">
      <c r="A413" s="34" t="s">
        <v>1167</v>
      </c>
      <c r="B413" s="35" t="s">
        <v>1168</v>
      </c>
      <c r="C413" s="36"/>
      <c r="D413" s="36"/>
      <c r="E413" s="37">
        <v>0</v>
      </c>
      <c r="F413" s="37">
        <v>0</v>
      </c>
      <c r="G413" s="37">
        <v>0</v>
      </c>
      <c r="H413" s="37">
        <v>0</v>
      </c>
      <c r="I413" s="37">
        <v>0</v>
      </c>
      <c r="J413" s="37">
        <v>0</v>
      </c>
      <c r="K413" s="37">
        <v>0</v>
      </c>
      <c r="L413" s="37">
        <v>0</v>
      </c>
      <c r="M413" s="37">
        <v>0</v>
      </c>
      <c r="N413" s="37">
        <v>0</v>
      </c>
      <c r="O413" s="37">
        <v>0</v>
      </c>
      <c r="P413" s="37">
        <v>0</v>
      </c>
      <c r="Q413" s="37">
        <v>0</v>
      </c>
      <c r="R413" s="37">
        <v>0</v>
      </c>
      <c r="S413" s="37">
        <v>0</v>
      </c>
      <c r="T413" s="37">
        <v>0</v>
      </c>
      <c r="U413" s="37">
        <v>0</v>
      </c>
      <c r="V413" s="37">
        <v>0</v>
      </c>
      <c r="W413" s="37">
        <v>0</v>
      </c>
      <c r="X413" s="37">
        <v>0</v>
      </c>
      <c r="Y413" s="36"/>
      <c r="Z413" s="38"/>
      <c r="AA413" s="39"/>
      <c r="AB413" s="39"/>
      <c r="AC413" s="40"/>
    </row>
    <row r="414" spans="1:29" ht="46.5" x14ac:dyDescent="0.25">
      <c r="A414" s="27" t="s">
        <v>1169</v>
      </c>
      <c r="B414" s="28" t="s">
        <v>1170</v>
      </c>
      <c r="C414" s="29" t="s">
        <v>836</v>
      </c>
      <c r="D414" s="29" t="s">
        <v>837</v>
      </c>
      <c r="E414" s="30">
        <f>SUM(E415:E415)+173093</f>
        <v>173093</v>
      </c>
      <c r="F414" s="30">
        <f>SUM(F415:F415)+173093</f>
        <v>173093</v>
      </c>
      <c r="G414" s="30">
        <f t="shared" ref="G414:N414" si="324">SUM(G415:G415)</f>
        <v>0</v>
      </c>
      <c r="H414" s="30">
        <f t="shared" si="324"/>
        <v>0</v>
      </c>
      <c r="I414" s="30">
        <f t="shared" si="324"/>
        <v>0</v>
      </c>
      <c r="J414" s="30">
        <f t="shared" si="324"/>
        <v>0</v>
      </c>
      <c r="K414" s="30">
        <f t="shared" si="324"/>
        <v>0</v>
      </c>
      <c r="L414" s="30">
        <f t="shared" si="324"/>
        <v>0</v>
      </c>
      <c r="M414" s="30">
        <f t="shared" si="324"/>
        <v>0</v>
      </c>
      <c r="N414" s="30">
        <f t="shared" si="324"/>
        <v>0</v>
      </c>
      <c r="O414" s="30">
        <f>SUM(O415:O415)+171499.34</f>
        <v>171499.34</v>
      </c>
      <c r="P414" s="30">
        <f>SUM(P415:P415)+171499.34</f>
        <v>171499.34</v>
      </c>
      <c r="Q414" s="30">
        <f t="shared" ref="Q414:X414" si="325">SUM(Q415:Q415)</f>
        <v>0</v>
      </c>
      <c r="R414" s="30">
        <f t="shared" si="325"/>
        <v>0</v>
      </c>
      <c r="S414" s="30">
        <f t="shared" si="325"/>
        <v>0</v>
      </c>
      <c r="T414" s="30">
        <f t="shared" si="325"/>
        <v>0</v>
      </c>
      <c r="U414" s="30">
        <f t="shared" si="325"/>
        <v>0</v>
      </c>
      <c r="V414" s="30">
        <f t="shared" si="325"/>
        <v>0</v>
      </c>
      <c r="W414" s="30">
        <f t="shared" si="325"/>
        <v>0</v>
      </c>
      <c r="X414" s="30">
        <f t="shared" si="325"/>
        <v>0</v>
      </c>
      <c r="Y414" s="29" t="s">
        <v>1165</v>
      </c>
      <c r="Z414" s="31" t="s">
        <v>1166</v>
      </c>
      <c r="AA414" s="32" t="s">
        <v>1099</v>
      </c>
      <c r="AB414" s="32" t="s">
        <v>1099</v>
      </c>
      <c r="AC414" s="33"/>
    </row>
    <row r="415" spans="1:29" ht="46.5" x14ac:dyDescent="0.25">
      <c r="A415" s="34" t="s">
        <v>1171</v>
      </c>
      <c r="B415" s="35" t="s">
        <v>1172</v>
      </c>
      <c r="C415" s="36"/>
      <c r="D415" s="36"/>
      <c r="E415" s="37">
        <v>0</v>
      </c>
      <c r="F415" s="37">
        <v>0</v>
      </c>
      <c r="G415" s="37">
        <v>0</v>
      </c>
      <c r="H415" s="37">
        <v>0</v>
      </c>
      <c r="I415" s="37">
        <v>0</v>
      </c>
      <c r="J415" s="37">
        <v>0</v>
      </c>
      <c r="K415" s="37">
        <v>0</v>
      </c>
      <c r="L415" s="37">
        <v>0</v>
      </c>
      <c r="M415" s="37">
        <v>0</v>
      </c>
      <c r="N415" s="37">
        <v>0</v>
      </c>
      <c r="O415" s="37">
        <v>0</v>
      </c>
      <c r="P415" s="37">
        <v>0</v>
      </c>
      <c r="Q415" s="37">
        <v>0</v>
      </c>
      <c r="R415" s="37">
        <v>0</v>
      </c>
      <c r="S415" s="37">
        <v>0</v>
      </c>
      <c r="T415" s="37">
        <v>0</v>
      </c>
      <c r="U415" s="37">
        <v>0</v>
      </c>
      <c r="V415" s="37">
        <v>0</v>
      </c>
      <c r="W415" s="37">
        <v>0</v>
      </c>
      <c r="X415" s="37">
        <v>0</v>
      </c>
      <c r="Y415" s="36"/>
      <c r="Z415" s="38"/>
      <c r="AA415" s="39"/>
      <c r="AB415" s="39"/>
      <c r="AC415" s="40"/>
    </row>
    <row r="416" spans="1:29" ht="46.5" x14ac:dyDescent="0.25">
      <c r="A416" s="27" t="s">
        <v>1173</v>
      </c>
      <c r="B416" s="28" t="s">
        <v>1174</v>
      </c>
      <c r="C416" s="29" t="s">
        <v>98</v>
      </c>
      <c r="D416" s="29" t="s">
        <v>842</v>
      </c>
      <c r="E416" s="30">
        <f>SUM(E417:E417)+118082</f>
        <v>118082</v>
      </c>
      <c r="F416" s="30">
        <f>SUM(F417:F417)+118082</f>
        <v>118082</v>
      </c>
      <c r="G416" s="30">
        <f t="shared" ref="G416:N416" si="326">SUM(G417:G417)</f>
        <v>0</v>
      </c>
      <c r="H416" s="30">
        <f t="shared" si="326"/>
        <v>0</v>
      </c>
      <c r="I416" s="30">
        <f t="shared" si="326"/>
        <v>0</v>
      </c>
      <c r="J416" s="30">
        <f t="shared" si="326"/>
        <v>0</v>
      </c>
      <c r="K416" s="30">
        <f t="shared" si="326"/>
        <v>0</v>
      </c>
      <c r="L416" s="30">
        <f t="shared" si="326"/>
        <v>0</v>
      </c>
      <c r="M416" s="30">
        <f t="shared" si="326"/>
        <v>0</v>
      </c>
      <c r="N416" s="30">
        <f t="shared" si="326"/>
        <v>0</v>
      </c>
      <c r="O416" s="30">
        <f>SUM(O417:O417)+117937</f>
        <v>117937</v>
      </c>
      <c r="P416" s="30">
        <f>SUM(P417:P417)+117937</f>
        <v>117937</v>
      </c>
      <c r="Q416" s="30">
        <f t="shared" ref="Q416:X416" si="327">SUM(Q417:Q417)</f>
        <v>0</v>
      </c>
      <c r="R416" s="30">
        <f t="shared" si="327"/>
        <v>0</v>
      </c>
      <c r="S416" s="30">
        <f t="shared" si="327"/>
        <v>0</v>
      </c>
      <c r="T416" s="30">
        <f t="shared" si="327"/>
        <v>0</v>
      </c>
      <c r="U416" s="30">
        <f t="shared" si="327"/>
        <v>0</v>
      </c>
      <c r="V416" s="30">
        <f t="shared" si="327"/>
        <v>0</v>
      </c>
      <c r="W416" s="30">
        <f t="shared" si="327"/>
        <v>0</v>
      </c>
      <c r="X416" s="30">
        <f t="shared" si="327"/>
        <v>0</v>
      </c>
      <c r="Y416" s="29" t="s">
        <v>1165</v>
      </c>
      <c r="Z416" s="31" t="s">
        <v>1166</v>
      </c>
      <c r="AA416" s="32" t="s">
        <v>186</v>
      </c>
      <c r="AB416" s="32" t="s">
        <v>186</v>
      </c>
      <c r="AC416" s="33"/>
    </row>
    <row r="417" spans="1:29" ht="46.5" x14ac:dyDescent="0.25">
      <c r="A417" s="34" t="s">
        <v>1175</v>
      </c>
      <c r="B417" s="35" t="s">
        <v>1176</v>
      </c>
      <c r="C417" s="36"/>
      <c r="D417" s="36"/>
      <c r="E417" s="37">
        <v>0</v>
      </c>
      <c r="F417" s="37">
        <v>0</v>
      </c>
      <c r="G417" s="37">
        <v>0</v>
      </c>
      <c r="H417" s="37">
        <v>0</v>
      </c>
      <c r="I417" s="37">
        <v>0</v>
      </c>
      <c r="J417" s="37">
        <v>0</v>
      </c>
      <c r="K417" s="37">
        <v>0</v>
      </c>
      <c r="L417" s="37">
        <v>0</v>
      </c>
      <c r="M417" s="37">
        <v>0</v>
      </c>
      <c r="N417" s="37">
        <v>0</v>
      </c>
      <c r="O417" s="37">
        <v>0</v>
      </c>
      <c r="P417" s="37">
        <v>0</v>
      </c>
      <c r="Q417" s="37">
        <v>0</v>
      </c>
      <c r="R417" s="37">
        <v>0</v>
      </c>
      <c r="S417" s="37">
        <v>0</v>
      </c>
      <c r="T417" s="37">
        <v>0</v>
      </c>
      <c r="U417" s="37">
        <v>0</v>
      </c>
      <c r="V417" s="37">
        <v>0</v>
      </c>
      <c r="W417" s="37">
        <v>0</v>
      </c>
      <c r="X417" s="37">
        <v>0</v>
      </c>
      <c r="Y417" s="36"/>
      <c r="Z417" s="38"/>
      <c r="AA417" s="39"/>
      <c r="AB417" s="39"/>
      <c r="AC417" s="40"/>
    </row>
    <row r="418" spans="1:29" ht="46.5" x14ac:dyDescent="0.25">
      <c r="A418" s="27" t="s">
        <v>1177</v>
      </c>
      <c r="B418" s="28" t="s">
        <v>1178</v>
      </c>
      <c r="C418" s="29" t="s">
        <v>847</v>
      </c>
      <c r="D418" s="29" t="s">
        <v>848</v>
      </c>
      <c r="E418" s="30">
        <f>SUM(E419:E419)+132478</f>
        <v>132478</v>
      </c>
      <c r="F418" s="30">
        <f>SUM(F419:F419)+132478</f>
        <v>132478</v>
      </c>
      <c r="G418" s="30">
        <f t="shared" ref="G418:N418" si="328">SUM(G419:G419)</f>
        <v>0</v>
      </c>
      <c r="H418" s="30">
        <f t="shared" si="328"/>
        <v>0</v>
      </c>
      <c r="I418" s="30">
        <f t="shared" si="328"/>
        <v>0</v>
      </c>
      <c r="J418" s="30">
        <f t="shared" si="328"/>
        <v>0</v>
      </c>
      <c r="K418" s="30">
        <f t="shared" si="328"/>
        <v>0</v>
      </c>
      <c r="L418" s="30">
        <f t="shared" si="328"/>
        <v>0</v>
      </c>
      <c r="M418" s="30">
        <f t="shared" si="328"/>
        <v>0</v>
      </c>
      <c r="N418" s="30">
        <f t="shared" si="328"/>
        <v>0</v>
      </c>
      <c r="O418" s="30">
        <f>SUM(O419:O419)+132280.89</f>
        <v>132280.89000000001</v>
      </c>
      <c r="P418" s="30">
        <f>SUM(P419:P419)+132280.89</f>
        <v>132280.89000000001</v>
      </c>
      <c r="Q418" s="30">
        <f t="shared" ref="Q418:X418" si="329">SUM(Q419:Q419)</f>
        <v>0</v>
      </c>
      <c r="R418" s="30">
        <f t="shared" si="329"/>
        <v>0</v>
      </c>
      <c r="S418" s="30">
        <f t="shared" si="329"/>
        <v>0</v>
      </c>
      <c r="T418" s="30">
        <f t="shared" si="329"/>
        <v>0</v>
      </c>
      <c r="U418" s="30">
        <f t="shared" si="329"/>
        <v>0</v>
      </c>
      <c r="V418" s="30">
        <f t="shared" si="329"/>
        <v>0</v>
      </c>
      <c r="W418" s="30">
        <f t="shared" si="329"/>
        <v>0</v>
      </c>
      <c r="X418" s="30">
        <f t="shared" si="329"/>
        <v>0</v>
      </c>
      <c r="Y418" s="29" t="s">
        <v>1165</v>
      </c>
      <c r="Z418" s="31" t="s">
        <v>1166</v>
      </c>
      <c r="AA418" s="32" t="s">
        <v>1179</v>
      </c>
      <c r="AB418" s="32" t="s">
        <v>1179</v>
      </c>
      <c r="AC418" s="33"/>
    </row>
    <row r="419" spans="1:29" ht="46.5" x14ac:dyDescent="0.25">
      <c r="A419" s="34" t="s">
        <v>1180</v>
      </c>
      <c r="B419" s="35" t="s">
        <v>1181</v>
      </c>
      <c r="C419" s="36"/>
      <c r="D419" s="36"/>
      <c r="E419" s="37">
        <v>0</v>
      </c>
      <c r="F419" s="37">
        <v>0</v>
      </c>
      <c r="G419" s="37">
        <v>0</v>
      </c>
      <c r="H419" s="37">
        <v>0</v>
      </c>
      <c r="I419" s="37">
        <v>0</v>
      </c>
      <c r="J419" s="37">
        <v>0</v>
      </c>
      <c r="K419" s="37">
        <v>0</v>
      </c>
      <c r="L419" s="37">
        <v>0</v>
      </c>
      <c r="M419" s="37">
        <v>0</v>
      </c>
      <c r="N419" s="37">
        <v>0</v>
      </c>
      <c r="O419" s="37">
        <v>0</v>
      </c>
      <c r="P419" s="37">
        <v>0</v>
      </c>
      <c r="Q419" s="37">
        <v>0</v>
      </c>
      <c r="R419" s="37">
        <v>0</v>
      </c>
      <c r="S419" s="37">
        <v>0</v>
      </c>
      <c r="T419" s="37">
        <v>0</v>
      </c>
      <c r="U419" s="37">
        <v>0</v>
      </c>
      <c r="V419" s="37">
        <v>0</v>
      </c>
      <c r="W419" s="37">
        <v>0</v>
      </c>
      <c r="X419" s="37">
        <v>0</v>
      </c>
      <c r="Y419" s="36"/>
      <c r="Z419" s="38"/>
      <c r="AA419" s="39"/>
      <c r="AB419" s="39"/>
      <c r="AC419" s="40"/>
    </row>
    <row r="420" spans="1:29" ht="46.5" x14ac:dyDescent="0.25">
      <c r="A420" s="27" t="s">
        <v>1182</v>
      </c>
      <c r="B420" s="28" t="s">
        <v>1183</v>
      </c>
      <c r="C420" s="29" t="s">
        <v>105</v>
      </c>
      <c r="D420" s="29" t="s">
        <v>853</v>
      </c>
      <c r="E420" s="30">
        <f>SUM(E421:E421)+135144</f>
        <v>135144</v>
      </c>
      <c r="F420" s="30">
        <f>SUM(F421:F421)+135144</f>
        <v>135144</v>
      </c>
      <c r="G420" s="30">
        <f t="shared" ref="G420:N420" si="330">SUM(G421:G421)</f>
        <v>0</v>
      </c>
      <c r="H420" s="30">
        <f t="shared" si="330"/>
        <v>0</v>
      </c>
      <c r="I420" s="30">
        <f t="shared" si="330"/>
        <v>0</v>
      </c>
      <c r="J420" s="30">
        <f t="shared" si="330"/>
        <v>0</v>
      </c>
      <c r="K420" s="30">
        <f t="shared" si="330"/>
        <v>0</v>
      </c>
      <c r="L420" s="30">
        <f t="shared" si="330"/>
        <v>0</v>
      </c>
      <c r="M420" s="30">
        <f t="shared" si="330"/>
        <v>0</v>
      </c>
      <c r="N420" s="30">
        <f t="shared" si="330"/>
        <v>0</v>
      </c>
      <c r="O420" s="30">
        <f>SUM(O421:O421)+135063.26</f>
        <v>135063.26</v>
      </c>
      <c r="P420" s="30">
        <f>SUM(P421:P421)+135063.26</f>
        <v>135063.26</v>
      </c>
      <c r="Q420" s="30">
        <f t="shared" ref="Q420:X420" si="331">SUM(Q421:Q421)</f>
        <v>0</v>
      </c>
      <c r="R420" s="30">
        <f t="shared" si="331"/>
        <v>0</v>
      </c>
      <c r="S420" s="30">
        <f t="shared" si="331"/>
        <v>0</v>
      </c>
      <c r="T420" s="30">
        <f t="shared" si="331"/>
        <v>0</v>
      </c>
      <c r="U420" s="30">
        <f t="shared" si="331"/>
        <v>0</v>
      </c>
      <c r="V420" s="30">
        <f t="shared" si="331"/>
        <v>0</v>
      </c>
      <c r="W420" s="30">
        <f t="shared" si="331"/>
        <v>0</v>
      </c>
      <c r="X420" s="30">
        <f t="shared" si="331"/>
        <v>0</v>
      </c>
      <c r="Y420" s="29" t="s">
        <v>1165</v>
      </c>
      <c r="Z420" s="31" t="s">
        <v>1166</v>
      </c>
      <c r="AA420" s="32" t="s">
        <v>1184</v>
      </c>
      <c r="AB420" s="32" t="s">
        <v>1184</v>
      </c>
      <c r="AC420" s="33"/>
    </row>
    <row r="421" spans="1:29" ht="46.5" x14ac:dyDescent="0.25">
      <c r="A421" s="34" t="s">
        <v>1185</v>
      </c>
      <c r="B421" s="35" t="s">
        <v>1186</v>
      </c>
      <c r="C421" s="36"/>
      <c r="D421" s="36"/>
      <c r="E421" s="37">
        <v>0</v>
      </c>
      <c r="F421" s="37">
        <v>0</v>
      </c>
      <c r="G421" s="37">
        <v>0</v>
      </c>
      <c r="H421" s="37">
        <v>0</v>
      </c>
      <c r="I421" s="37">
        <v>0</v>
      </c>
      <c r="J421" s="37">
        <v>0</v>
      </c>
      <c r="K421" s="37">
        <v>0</v>
      </c>
      <c r="L421" s="37">
        <v>0</v>
      </c>
      <c r="M421" s="37">
        <v>0</v>
      </c>
      <c r="N421" s="37">
        <v>0</v>
      </c>
      <c r="O421" s="37">
        <v>0</v>
      </c>
      <c r="P421" s="37">
        <v>0</v>
      </c>
      <c r="Q421" s="37">
        <v>0</v>
      </c>
      <c r="R421" s="37">
        <v>0</v>
      </c>
      <c r="S421" s="37">
        <v>0</v>
      </c>
      <c r="T421" s="37">
        <v>0</v>
      </c>
      <c r="U421" s="37">
        <v>0</v>
      </c>
      <c r="V421" s="37">
        <v>0</v>
      </c>
      <c r="W421" s="37">
        <v>0</v>
      </c>
      <c r="X421" s="37">
        <v>0</v>
      </c>
      <c r="Y421" s="36"/>
      <c r="Z421" s="38"/>
      <c r="AA421" s="39"/>
      <c r="AB421" s="39"/>
      <c r="AC421" s="40"/>
    </row>
    <row r="422" spans="1:29" ht="46.5" x14ac:dyDescent="0.25">
      <c r="A422" s="27" t="s">
        <v>1187</v>
      </c>
      <c r="B422" s="28" t="s">
        <v>1188</v>
      </c>
      <c r="C422" s="29" t="s">
        <v>110</v>
      </c>
      <c r="D422" s="29" t="s">
        <v>858</v>
      </c>
      <c r="E422" s="30">
        <f>SUM(E423:E423)+234572</f>
        <v>234572</v>
      </c>
      <c r="F422" s="30">
        <f>SUM(F423:F423)+234572</f>
        <v>234572</v>
      </c>
      <c r="G422" s="30">
        <f t="shared" ref="G422:N422" si="332">SUM(G423:G423)</f>
        <v>0</v>
      </c>
      <c r="H422" s="30">
        <f t="shared" si="332"/>
        <v>0</v>
      </c>
      <c r="I422" s="30">
        <f t="shared" si="332"/>
        <v>0</v>
      </c>
      <c r="J422" s="30">
        <f t="shared" si="332"/>
        <v>0</v>
      </c>
      <c r="K422" s="30">
        <f t="shared" si="332"/>
        <v>0</v>
      </c>
      <c r="L422" s="30">
        <f t="shared" si="332"/>
        <v>0</v>
      </c>
      <c r="M422" s="30">
        <f t="shared" si="332"/>
        <v>0</v>
      </c>
      <c r="N422" s="30">
        <f t="shared" si="332"/>
        <v>0</v>
      </c>
      <c r="O422" s="30">
        <f>SUM(O423:O423)+234282.82</f>
        <v>234282.82</v>
      </c>
      <c r="P422" s="30">
        <f>SUM(P423:P423)+234282.82</f>
        <v>234282.82</v>
      </c>
      <c r="Q422" s="30">
        <f t="shared" ref="Q422:X422" si="333">SUM(Q423:Q423)</f>
        <v>0</v>
      </c>
      <c r="R422" s="30">
        <f t="shared" si="333"/>
        <v>0</v>
      </c>
      <c r="S422" s="30">
        <f t="shared" si="333"/>
        <v>0</v>
      </c>
      <c r="T422" s="30">
        <f t="shared" si="333"/>
        <v>0</v>
      </c>
      <c r="U422" s="30">
        <f t="shared" si="333"/>
        <v>0</v>
      </c>
      <c r="V422" s="30">
        <f t="shared" si="333"/>
        <v>0</v>
      </c>
      <c r="W422" s="30">
        <f t="shared" si="333"/>
        <v>0</v>
      </c>
      <c r="X422" s="30">
        <f t="shared" si="333"/>
        <v>0</v>
      </c>
      <c r="Y422" s="29" t="s">
        <v>1165</v>
      </c>
      <c r="Z422" s="31" t="s">
        <v>1166</v>
      </c>
      <c r="AA422" s="32" t="s">
        <v>36</v>
      </c>
      <c r="AB422" s="32" t="s">
        <v>36</v>
      </c>
      <c r="AC422" s="33"/>
    </row>
    <row r="423" spans="1:29" ht="46.5" x14ac:dyDescent="0.25">
      <c r="A423" s="34" t="s">
        <v>1189</v>
      </c>
      <c r="B423" s="35" t="s">
        <v>1190</v>
      </c>
      <c r="C423" s="36"/>
      <c r="D423" s="36"/>
      <c r="E423" s="37">
        <v>0</v>
      </c>
      <c r="F423" s="37">
        <v>0</v>
      </c>
      <c r="G423" s="37">
        <v>0</v>
      </c>
      <c r="H423" s="37">
        <v>0</v>
      </c>
      <c r="I423" s="37">
        <v>0</v>
      </c>
      <c r="J423" s="37">
        <v>0</v>
      </c>
      <c r="K423" s="37">
        <v>0</v>
      </c>
      <c r="L423" s="37">
        <v>0</v>
      </c>
      <c r="M423" s="37">
        <v>0</v>
      </c>
      <c r="N423" s="37">
        <v>0</v>
      </c>
      <c r="O423" s="37">
        <v>0</v>
      </c>
      <c r="P423" s="37">
        <v>0</v>
      </c>
      <c r="Q423" s="37">
        <v>0</v>
      </c>
      <c r="R423" s="37">
        <v>0</v>
      </c>
      <c r="S423" s="37">
        <v>0</v>
      </c>
      <c r="T423" s="37">
        <v>0</v>
      </c>
      <c r="U423" s="37">
        <v>0</v>
      </c>
      <c r="V423" s="37">
        <v>0</v>
      </c>
      <c r="W423" s="37">
        <v>0</v>
      </c>
      <c r="X423" s="37">
        <v>0</v>
      </c>
      <c r="Y423" s="36"/>
      <c r="Z423" s="38"/>
      <c r="AA423" s="39"/>
      <c r="AB423" s="39"/>
      <c r="AC423" s="40"/>
    </row>
    <row r="424" spans="1:29" ht="46.5" x14ac:dyDescent="0.25">
      <c r="A424" s="27" t="s">
        <v>1191</v>
      </c>
      <c r="B424" s="28" t="s">
        <v>1192</v>
      </c>
      <c r="C424" s="29" t="s">
        <v>117</v>
      </c>
      <c r="D424" s="29" t="s">
        <v>863</v>
      </c>
      <c r="E424" s="30">
        <f>SUM(E425:E425)+141099</f>
        <v>141099</v>
      </c>
      <c r="F424" s="30">
        <f>SUM(F425:F425)+141099</f>
        <v>141099</v>
      </c>
      <c r="G424" s="30">
        <f t="shared" ref="G424:N424" si="334">SUM(G425:G425)</f>
        <v>0</v>
      </c>
      <c r="H424" s="30">
        <f t="shared" si="334"/>
        <v>0</v>
      </c>
      <c r="I424" s="30">
        <f t="shared" si="334"/>
        <v>0</v>
      </c>
      <c r="J424" s="30">
        <f t="shared" si="334"/>
        <v>0</v>
      </c>
      <c r="K424" s="30">
        <f t="shared" si="334"/>
        <v>0</v>
      </c>
      <c r="L424" s="30">
        <f t="shared" si="334"/>
        <v>0</v>
      </c>
      <c r="M424" s="30">
        <f t="shared" si="334"/>
        <v>0</v>
      </c>
      <c r="N424" s="30">
        <f t="shared" si="334"/>
        <v>0</v>
      </c>
      <c r="O424" s="30">
        <f>SUM(O425:O425)+140871.01</f>
        <v>140871.01</v>
      </c>
      <c r="P424" s="30">
        <f>SUM(P425:P425)+140871.01</f>
        <v>140871.01</v>
      </c>
      <c r="Q424" s="30">
        <f t="shared" ref="Q424:X424" si="335">SUM(Q425:Q425)</f>
        <v>0</v>
      </c>
      <c r="R424" s="30">
        <f t="shared" si="335"/>
        <v>0</v>
      </c>
      <c r="S424" s="30">
        <f t="shared" si="335"/>
        <v>0</v>
      </c>
      <c r="T424" s="30">
        <f t="shared" si="335"/>
        <v>0</v>
      </c>
      <c r="U424" s="30">
        <f t="shared" si="335"/>
        <v>0</v>
      </c>
      <c r="V424" s="30">
        <f t="shared" si="335"/>
        <v>0</v>
      </c>
      <c r="W424" s="30">
        <f t="shared" si="335"/>
        <v>0</v>
      </c>
      <c r="X424" s="30">
        <f t="shared" si="335"/>
        <v>0</v>
      </c>
      <c r="Y424" s="29" t="s">
        <v>1165</v>
      </c>
      <c r="Z424" s="31" t="s">
        <v>1166</v>
      </c>
      <c r="AA424" s="32" t="s">
        <v>1193</v>
      </c>
      <c r="AB424" s="32" t="s">
        <v>1193</v>
      </c>
      <c r="AC424" s="33"/>
    </row>
    <row r="425" spans="1:29" ht="46.5" x14ac:dyDescent="0.25">
      <c r="A425" s="34" t="s">
        <v>1194</v>
      </c>
      <c r="B425" s="35" t="s">
        <v>1195</v>
      </c>
      <c r="C425" s="36"/>
      <c r="D425" s="36"/>
      <c r="E425" s="37">
        <v>0</v>
      </c>
      <c r="F425" s="37">
        <v>0</v>
      </c>
      <c r="G425" s="37">
        <v>0</v>
      </c>
      <c r="H425" s="37">
        <v>0</v>
      </c>
      <c r="I425" s="37">
        <v>0</v>
      </c>
      <c r="J425" s="37">
        <v>0</v>
      </c>
      <c r="K425" s="37">
        <v>0</v>
      </c>
      <c r="L425" s="37">
        <v>0</v>
      </c>
      <c r="M425" s="37">
        <v>0</v>
      </c>
      <c r="N425" s="37">
        <v>0</v>
      </c>
      <c r="O425" s="37">
        <v>0</v>
      </c>
      <c r="P425" s="37">
        <v>0</v>
      </c>
      <c r="Q425" s="37">
        <v>0</v>
      </c>
      <c r="R425" s="37">
        <v>0</v>
      </c>
      <c r="S425" s="37">
        <v>0</v>
      </c>
      <c r="T425" s="37">
        <v>0</v>
      </c>
      <c r="U425" s="37">
        <v>0</v>
      </c>
      <c r="V425" s="37">
        <v>0</v>
      </c>
      <c r="W425" s="37">
        <v>0</v>
      </c>
      <c r="X425" s="37">
        <v>0</v>
      </c>
      <c r="Y425" s="36"/>
      <c r="Z425" s="38"/>
      <c r="AA425" s="39"/>
      <c r="AB425" s="39"/>
      <c r="AC425" s="40"/>
    </row>
    <row r="426" spans="1:29" ht="46.5" x14ac:dyDescent="0.25">
      <c r="A426" s="27" t="s">
        <v>1196</v>
      </c>
      <c r="B426" s="28" t="s">
        <v>1197</v>
      </c>
      <c r="C426" s="29" t="s">
        <v>868</v>
      </c>
      <c r="D426" s="29" t="s">
        <v>869</v>
      </c>
      <c r="E426" s="30">
        <f>SUM(E427:E427)+204644</f>
        <v>204644</v>
      </c>
      <c r="F426" s="30">
        <f>SUM(F427:F427)+204644</f>
        <v>204644</v>
      </c>
      <c r="G426" s="30">
        <f t="shared" ref="G426:N426" si="336">SUM(G427:G427)</f>
        <v>0</v>
      </c>
      <c r="H426" s="30">
        <f t="shared" si="336"/>
        <v>0</v>
      </c>
      <c r="I426" s="30">
        <f t="shared" si="336"/>
        <v>0</v>
      </c>
      <c r="J426" s="30">
        <f t="shared" si="336"/>
        <v>0</v>
      </c>
      <c r="K426" s="30">
        <f t="shared" si="336"/>
        <v>0</v>
      </c>
      <c r="L426" s="30">
        <f t="shared" si="336"/>
        <v>0</v>
      </c>
      <c r="M426" s="30">
        <f t="shared" si="336"/>
        <v>0</v>
      </c>
      <c r="N426" s="30">
        <f t="shared" si="336"/>
        <v>0</v>
      </c>
      <c r="O426" s="30">
        <f>SUM(O427:O427)+204584.76</f>
        <v>204584.76</v>
      </c>
      <c r="P426" s="30">
        <f>SUM(P427:P427)+204584.76</f>
        <v>204584.76</v>
      </c>
      <c r="Q426" s="30">
        <f t="shared" ref="Q426:X426" si="337">SUM(Q427:Q427)</f>
        <v>0</v>
      </c>
      <c r="R426" s="30">
        <f t="shared" si="337"/>
        <v>0</v>
      </c>
      <c r="S426" s="30">
        <f t="shared" si="337"/>
        <v>0</v>
      </c>
      <c r="T426" s="30">
        <f t="shared" si="337"/>
        <v>0</v>
      </c>
      <c r="U426" s="30">
        <f t="shared" si="337"/>
        <v>0</v>
      </c>
      <c r="V426" s="30">
        <f t="shared" si="337"/>
        <v>0</v>
      </c>
      <c r="W426" s="30">
        <f t="shared" si="337"/>
        <v>0</v>
      </c>
      <c r="X426" s="30">
        <f t="shared" si="337"/>
        <v>0</v>
      </c>
      <c r="Y426" s="29" t="s">
        <v>1165</v>
      </c>
      <c r="Z426" s="31" t="s">
        <v>1166</v>
      </c>
      <c r="AA426" s="32" t="s">
        <v>1198</v>
      </c>
      <c r="AB426" s="32" t="s">
        <v>1198</v>
      </c>
      <c r="AC426" s="33"/>
    </row>
    <row r="427" spans="1:29" ht="46.5" x14ac:dyDescent="0.25">
      <c r="A427" s="34" t="s">
        <v>1199</v>
      </c>
      <c r="B427" s="35" t="s">
        <v>1200</v>
      </c>
      <c r="C427" s="36"/>
      <c r="D427" s="36"/>
      <c r="E427" s="37">
        <v>0</v>
      </c>
      <c r="F427" s="37">
        <v>0</v>
      </c>
      <c r="G427" s="37">
        <v>0</v>
      </c>
      <c r="H427" s="37">
        <v>0</v>
      </c>
      <c r="I427" s="37">
        <v>0</v>
      </c>
      <c r="J427" s="37">
        <v>0</v>
      </c>
      <c r="K427" s="37">
        <v>0</v>
      </c>
      <c r="L427" s="37">
        <v>0</v>
      </c>
      <c r="M427" s="37">
        <v>0</v>
      </c>
      <c r="N427" s="37">
        <v>0</v>
      </c>
      <c r="O427" s="37">
        <v>0</v>
      </c>
      <c r="P427" s="37">
        <v>0</v>
      </c>
      <c r="Q427" s="37">
        <v>0</v>
      </c>
      <c r="R427" s="37">
        <v>0</v>
      </c>
      <c r="S427" s="37">
        <v>0</v>
      </c>
      <c r="T427" s="37">
        <v>0</v>
      </c>
      <c r="U427" s="37">
        <v>0</v>
      </c>
      <c r="V427" s="37">
        <v>0</v>
      </c>
      <c r="W427" s="37">
        <v>0</v>
      </c>
      <c r="X427" s="37">
        <v>0</v>
      </c>
      <c r="Y427" s="36"/>
      <c r="Z427" s="38"/>
      <c r="AA427" s="39"/>
      <c r="AB427" s="39"/>
      <c r="AC427" s="40"/>
    </row>
    <row r="428" spans="1:29" ht="46.5" x14ac:dyDescent="0.25">
      <c r="A428" s="27" t="s">
        <v>1201</v>
      </c>
      <c r="B428" s="28" t="s">
        <v>1202</v>
      </c>
      <c r="C428" s="29" t="s">
        <v>874</v>
      </c>
      <c r="D428" s="29" t="s">
        <v>875</v>
      </c>
      <c r="E428" s="30">
        <f>SUM(E429:E429)+125912</f>
        <v>125912</v>
      </c>
      <c r="F428" s="30">
        <f>SUM(F429:F429)+125912</f>
        <v>125912</v>
      </c>
      <c r="G428" s="30">
        <f t="shared" ref="G428:N428" si="338">SUM(G429:G429)</f>
        <v>0</v>
      </c>
      <c r="H428" s="30">
        <f t="shared" si="338"/>
        <v>0</v>
      </c>
      <c r="I428" s="30">
        <f t="shared" si="338"/>
        <v>0</v>
      </c>
      <c r="J428" s="30">
        <f t="shared" si="338"/>
        <v>0</v>
      </c>
      <c r="K428" s="30">
        <f t="shared" si="338"/>
        <v>0</v>
      </c>
      <c r="L428" s="30">
        <f t="shared" si="338"/>
        <v>0</v>
      </c>
      <c r="M428" s="30">
        <f t="shared" si="338"/>
        <v>0</v>
      </c>
      <c r="N428" s="30">
        <f t="shared" si="338"/>
        <v>0</v>
      </c>
      <c r="O428" s="30">
        <f>SUM(O429:O429)+125735.06</f>
        <v>125735.06</v>
      </c>
      <c r="P428" s="30">
        <f>SUM(P429:P429)+125735.06</f>
        <v>125735.06</v>
      </c>
      <c r="Q428" s="30">
        <f t="shared" ref="Q428:X428" si="339">SUM(Q429:Q429)</f>
        <v>0</v>
      </c>
      <c r="R428" s="30">
        <f t="shared" si="339"/>
        <v>0</v>
      </c>
      <c r="S428" s="30">
        <f t="shared" si="339"/>
        <v>0</v>
      </c>
      <c r="T428" s="30">
        <f t="shared" si="339"/>
        <v>0</v>
      </c>
      <c r="U428" s="30">
        <f t="shared" si="339"/>
        <v>0</v>
      </c>
      <c r="V428" s="30">
        <f t="shared" si="339"/>
        <v>0</v>
      </c>
      <c r="W428" s="30">
        <f t="shared" si="339"/>
        <v>0</v>
      </c>
      <c r="X428" s="30">
        <f t="shared" si="339"/>
        <v>0</v>
      </c>
      <c r="Y428" s="29" t="s">
        <v>1165</v>
      </c>
      <c r="Z428" s="31" t="s">
        <v>1166</v>
      </c>
      <c r="AA428" s="32" t="s">
        <v>1203</v>
      </c>
      <c r="AB428" s="32" t="s">
        <v>1203</v>
      </c>
      <c r="AC428" s="33"/>
    </row>
    <row r="429" spans="1:29" ht="46.5" x14ac:dyDescent="0.25">
      <c r="A429" s="34" t="s">
        <v>1204</v>
      </c>
      <c r="B429" s="35" t="s">
        <v>1205</v>
      </c>
      <c r="C429" s="36"/>
      <c r="D429" s="36"/>
      <c r="E429" s="37">
        <v>0</v>
      </c>
      <c r="F429" s="37">
        <v>0</v>
      </c>
      <c r="G429" s="37">
        <v>0</v>
      </c>
      <c r="H429" s="37">
        <v>0</v>
      </c>
      <c r="I429" s="37">
        <v>0</v>
      </c>
      <c r="J429" s="37">
        <v>0</v>
      </c>
      <c r="K429" s="37">
        <v>0</v>
      </c>
      <c r="L429" s="37">
        <v>0</v>
      </c>
      <c r="M429" s="37">
        <v>0</v>
      </c>
      <c r="N429" s="37">
        <v>0</v>
      </c>
      <c r="O429" s="37">
        <v>0</v>
      </c>
      <c r="P429" s="37">
        <v>0</v>
      </c>
      <c r="Q429" s="37">
        <v>0</v>
      </c>
      <c r="R429" s="37">
        <v>0</v>
      </c>
      <c r="S429" s="37">
        <v>0</v>
      </c>
      <c r="T429" s="37">
        <v>0</v>
      </c>
      <c r="U429" s="37">
        <v>0</v>
      </c>
      <c r="V429" s="37">
        <v>0</v>
      </c>
      <c r="W429" s="37">
        <v>0</v>
      </c>
      <c r="X429" s="37">
        <v>0</v>
      </c>
      <c r="Y429" s="36"/>
      <c r="Z429" s="38"/>
      <c r="AA429" s="39"/>
      <c r="AB429" s="39"/>
      <c r="AC429" s="40"/>
    </row>
    <row r="430" spans="1:29" ht="46.5" x14ac:dyDescent="0.25">
      <c r="A430" s="27" t="s">
        <v>1206</v>
      </c>
      <c r="B430" s="28" t="s">
        <v>1207</v>
      </c>
      <c r="C430" s="29" t="s">
        <v>880</v>
      </c>
      <c r="D430" s="29" t="s">
        <v>881</v>
      </c>
      <c r="E430" s="30">
        <f>SUM(E431:E431)+125556</f>
        <v>125556</v>
      </c>
      <c r="F430" s="30">
        <f>SUM(F431:F431)+125556</f>
        <v>125556</v>
      </c>
      <c r="G430" s="30">
        <f t="shared" ref="G430:N430" si="340">SUM(G431:G431)</f>
        <v>0</v>
      </c>
      <c r="H430" s="30">
        <f t="shared" si="340"/>
        <v>0</v>
      </c>
      <c r="I430" s="30">
        <f t="shared" si="340"/>
        <v>0</v>
      </c>
      <c r="J430" s="30">
        <f t="shared" si="340"/>
        <v>0</v>
      </c>
      <c r="K430" s="30">
        <f t="shared" si="340"/>
        <v>0</v>
      </c>
      <c r="L430" s="30">
        <f t="shared" si="340"/>
        <v>0</v>
      </c>
      <c r="M430" s="30">
        <f t="shared" si="340"/>
        <v>0</v>
      </c>
      <c r="N430" s="30">
        <f t="shared" si="340"/>
        <v>0</v>
      </c>
      <c r="O430" s="30">
        <f>SUM(O431:O431)+124944.7</f>
        <v>124944.7</v>
      </c>
      <c r="P430" s="30">
        <f>SUM(P431:P431)+124944.7</f>
        <v>124944.7</v>
      </c>
      <c r="Q430" s="30">
        <f t="shared" ref="Q430:X430" si="341">SUM(Q431:Q431)</f>
        <v>0</v>
      </c>
      <c r="R430" s="30">
        <f t="shared" si="341"/>
        <v>0</v>
      </c>
      <c r="S430" s="30">
        <f t="shared" si="341"/>
        <v>0</v>
      </c>
      <c r="T430" s="30">
        <f t="shared" si="341"/>
        <v>0</v>
      </c>
      <c r="U430" s="30">
        <f t="shared" si="341"/>
        <v>0</v>
      </c>
      <c r="V430" s="30">
        <f t="shared" si="341"/>
        <v>0</v>
      </c>
      <c r="W430" s="30">
        <f t="shared" si="341"/>
        <v>0</v>
      </c>
      <c r="X430" s="30">
        <f t="shared" si="341"/>
        <v>0</v>
      </c>
      <c r="Y430" s="29" t="s">
        <v>1165</v>
      </c>
      <c r="Z430" s="31" t="s">
        <v>1166</v>
      </c>
      <c r="AA430" s="32" t="s">
        <v>678</v>
      </c>
      <c r="AB430" s="32" t="s">
        <v>678</v>
      </c>
      <c r="AC430" s="33"/>
    </row>
    <row r="431" spans="1:29" ht="46.5" x14ac:dyDescent="0.25">
      <c r="A431" s="34" t="s">
        <v>1208</v>
      </c>
      <c r="B431" s="35" t="s">
        <v>1209</v>
      </c>
      <c r="C431" s="36"/>
      <c r="D431" s="36"/>
      <c r="E431" s="37">
        <v>0</v>
      </c>
      <c r="F431" s="37">
        <v>0</v>
      </c>
      <c r="G431" s="37">
        <v>0</v>
      </c>
      <c r="H431" s="37">
        <v>0</v>
      </c>
      <c r="I431" s="37">
        <v>0</v>
      </c>
      <c r="J431" s="37">
        <v>0</v>
      </c>
      <c r="K431" s="37">
        <v>0</v>
      </c>
      <c r="L431" s="37">
        <v>0</v>
      </c>
      <c r="M431" s="37">
        <v>0</v>
      </c>
      <c r="N431" s="37">
        <v>0</v>
      </c>
      <c r="O431" s="37">
        <v>0</v>
      </c>
      <c r="P431" s="37">
        <v>0</v>
      </c>
      <c r="Q431" s="37">
        <v>0</v>
      </c>
      <c r="R431" s="37">
        <v>0</v>
      </c>
      <c r="S431" s="37">
        <v>0</v>
      </c>
      <c r="T431" s="37">
        <v>0</v>
      </c>
      <c r="U431" s="37">
        <v>0</v>
      </c>
      <c r="V431" s="37">
        <v>0</v>
      </c>
      <c r="W431" s="37">
        <v>0</v>
      </c>
      <c r="X431" s="37">
        <v>0</v>
      </c>
      <c r="Y431" s="36"/>
      <c r="Z431" s="38"/>
      <c r="AA431" s="39"/>
      <c r="AB431" s="39"/>
      <c r="AC431" s="40"/>
    </row>
    <row r="432" spans="1:29" ht="46.5" x14ac:dyDescent="0.25">
      <c r="A432" s="27" t="s">
        <v>1210</v>
      </c>
      <c r="B432" s="28" t="s">
        <v>1211</v>
      </c>
      <c r="C432" s="29" t="s">
        <v>888</v>
      </c>
      <c r="D432" s="29" t="s">
        <v>889</v>
      </c>
      <c r="E432" s="30">
        <f>SUM(E433:E433)+98445</f>
        <v>98445</v>
      </c>
      <c r="F432" s="30">
        <f>SUM(F433:F433)+98445</f>
        <v>98445</v>
      </c>
      <c r="G432" s="30">
        <f t="shared" ref="G432:N432" si="342">SUM(G433:G433)</f>
        <v>0</v>
      </c>
      <c r="H432" s="30">
        <f t="shared" si="342"/>
        <v>0</v>
      </c>
      <c r="I432" s="30">
        <f t="shared" si="342"/>
        <v>0</v>
      </c>
      <c r="J432" s="30">
        <f t="shared" si="342"/>
        <v>0</v>
      </c>
      <c r="K432" s="30">
        <f t="shared" si="342"/>
        <v>0</v>
      </c>
      <c r="L432" s="30">
        <f t="shared" si="342"/>
        <v>0</v>
      </c>
      <c r="M432" s="30">
        <f t="shared" si="342"/>
        <v>0</v>
      </c>
      <c r="N432" s="30">
        <f t="shared" si="342"/>
        <v>0</v>
      </c>
      <c r="O432" s="30">
        <f>SUM(O433:O433)+98203.12</f>
        <v>98203.12</v>
      </c>
      <c r="P432" s="30">
        <f>SUM(P433:P433)+98203.12</f>
        <v>98203.12</v>
      </c>
      <c r="Q432" s="30">
        <f t="shared" ref="Q432:X432" si="343">SUM(Q433:Q433)</f>
        <v>0</v>
      </c>
      <c r="R432" s="30">
        <f t="shared" si="343"/>
        <v>0</v>
      </c>
      <c r="S432" s="30">
        <f t="shared" si="343"/>
        <v>0</v>
      </c>
      <c r="T432" s="30">
        <f t="shared" si="343"/>
        <v>0</v>
      </c>
      <c r="U432" s="30">
        <f t="shared" si="343"/>
        <v>0</v>
      </c>
      <c r="V432" s="30">
        <f t="shared" si="343"/>
        <v>0</v>
      </c>
      <c r="W432" s="30">
        <f t="shared" si="343"/>
        <v>0</v>
      </c>
      <c r="X432" s="30">
        <f t="shared" si="343"/>
        <v>0</v>
      </c>
      <c r="Y432" s="29" t="s">
        <v>1165</v>
      </c>
      <c r="Z432" s="31" t="s">
        <v>1166</v>
      </c>
      <c r="AA432" s="32" t="s">
        <v>1212</v>
      </c>
      <c r="AB432" s="32" t="s">
        <v>1212</v>
      </c>
      <c r="AC432" s="33"/>
    </row>
    <row r="433" spans="1:29" ht="46.5" x14ac:dyDescent="0.25">
      <c r="A433" s="34" t="s">
        <v>1213</v>
      </c>
      <c r="B433" s="35" t="s">
        <v>1214</v>
      </c>
      <c r="C433" s="36"/>
      <c r="D433" s="36"/>
      <c r="E433" s="37">
        <v>0</v>
      </c>
      <c r="F433" s="37">
        <v>0</v>
      </c>
      <c r="G433" s="37">
        <v>0</v>
      </c>
      <c r="H433" s="37">
        <v>0</v>
      </c>
      <c r="I433" s="37">
        <v>0</v>
      </c>
      <c r="J433" s="37">
        <v>0</v>
      </c>
      <c r="K433" s="37">
        <v>0</v>
      </c>
      <c r="L433" s="37">
        <v>0</v>
      </c>
      <c r="M433" s="37">
        <v>0</v>
      </c>
      <c r="N433" s="37">
        <v>0</v>
      </c>
      <c r="O433" s="37">
        <v>0</v>
      </c>
      <c r="P433" s="37">
        <v>0</v>
      </c>
      <c r="Q433" s="37">
        <v>0</v>
      </c>
      <c r="R433" s="37">
        <v>0</v>
      </c>
      <c r="S433" s="37">
        <v>0</v>
      </c>
      <c r="T433" s="37">
        <v>0</v>
      </c>
      <c r="U433" s="37">
        <v>0</v>
      </c>
      <c r="V433" s="37">
        <v>0</v>
      </c>
      <c r="W433" s="37">
        <v>0</v>
      </c>
      <c r="X433" s="37">
        <v>0</v>
      </c>
      <c r="Y433" s="36"/>
      <c r="Z433" s="38"/>
      <c r="AA433" s="39"/>
      <c r="AB433" s="39"/>
      <c r="AC433" s="40"/>
    </row>
    <row r="434" spans="1:29" ht="46.5" x14ac:dyDescent="0.25">
      <c r="A434" s="27" t="s">
        <v>1215</v>
      </c>
      <c r="B434" s="28" t="s">
        <v>1216</v>
      </c>
      <c r="C434" s="29" t="s">
        <v>894</v>
      </c>
      <c r="D434" s="29" t="s">
        <v>895</v>
      </c>
      <c r="E434" s="30">
        <f>SUM(E435:E435)+170541</f>
        <v>170541</v>
      </c>
      <c r="F434" s="30">
        <f>SUM(F435:F435)+170541</f>
        <v>170541</v>
      </c>
      <c r="G434" s="30">
        <f t="shared" ref="G434:N434" si="344">SUM(G435:G435)</f>
        <v>0</v>
      </c>
      <c r="H434" s="30">
        <f t="shared" si="344"/>
        <v>0</v>
      </c>
      <c r="I434" s="30">
        <f t="shared" si="344"/>
        <v>0</v>
      </c>
      <c r="J434" s="30">
        <f t="shared" si="344"/>
        <v>0</v>
      </c>
      <c r="K434" s="30">
        <f t="shared" si="344"/>
        <v>0</v>
      </c>
      <c r="L434" s="30">
        <f t="shared" si="344"/>
        <v>0</v>
      </c>
      <c r="M434" s="30">
        <f t="shared" si="344"/>
        <v>0</v>
      </c>
      <c r="N434" s="30">
        <f t="shared" si="344"/>
        <v>0</v>
      </c>
      <c r="O434" s="30">
        <f>SUM(O435:O435)+170154.76</f>
        <v>170154.76</v>
      </c>
      <c r="P434" s="30">
        <f>SUM(P435:P435)+170154.76</f>
        <v>170154.76</v>
      </c>
      <c r="Q434" s="30">
        <f t="shared" ref="Q434:X434" si="345">SUM(Q435:Q435)</f>
        <v>0</v>
      </c>
      <c r="R434" s="30">
        <f t="shared" si="345"/>
        <v>0</v>
      </c>
      <c r="S434" s="30">
        <f t="shared" si="345"/>
        <v>0</v>
      </c>
      <c r="T434" s="30">
        <f t="shared" si="345"/>
        <v>0</v>
      </c>
      <c r="U434" s="30">
        <f t="shared" si="345"/>
        <v>0</v>
      </c>
      <c r="V434" s="30">
        <f t="shared" si="345"/>
        <v>0</v>
      </c>
      <c r="W434" s="30">
        <f t="shared" si="345"/>
        <v>0</v>
      </c>
      <c r="X434" s="30">
        <f t="shared" si="345"/>
        <v>0</v>
      </c>
      <c r="Y434" s="29" t="s">
        <v>1165</v>
      </c>
      <c r="Z434" s="31" t="s">
        <v>1166</v>
      </c>
      <c r="AA434" s="32" t="s">
        <v>981</v>
      </c>
      <c r="AB434" s="32" t="s">
        <v>981</v>
      </c>
      <c r="AC434" s="33"/>
    </row>
    <row r="435" spans="1:29" ht="46.5" x14ac:dyDescent="0.25">
      <c r="A435" s="34" t="s">
        <v>1217</v>
      </c>
      <c r="B435" s="35" t="s">
        <v>1218</v>
      </c>
      <c r="C435" s="36"/>
      <c r="D435" s="36"/>
      <c r="E435" s="37">
        <v>0</v>
      </c>
      <c r="F435" s="37">
        <v>0</v>
      </c>
      <c r="G435" s="37">
        <v>0</v>
      </c>
      <c r="H435" s="37">
        <v>0</v>
      </c>
      <c r="I435" s="37">
        <v>0</v>
      </c>
      <c r="J435" s="37">
        <v>0</v>
      </c>
      <c r="K435" s="37">
        <v>0</v>
      </c>
      <c r="L435" s="37">
        <v>0</v>
      </c>
      <c r="M435" s="37">
        <v>0</v>
      </c>
      <c r="N435" s="37">
        <v>0</v>
      </c>
      <c r="O435" s="37">
        <v>0</v>
      </c>
      <c r="P435" s="37">
        <v>0</v>
      </c>
      <c r="Q435" s="37">
        <v>0</v>
      </c>
      <c r="R435" s="37">
        <v>0</v>
      </c>
      <c r="S435" s="37">
        <v>0</v>
      </c>
      <c r="T435" s="37">
        <v>0</v>
      </c>
      <c r="U435" s="37">
        <v>0</v>
      </c>
      <c r="V435" s="37">
        <v>0</v>
      </c>
      <c r="W435" s="37">
        <v>0</v>
      </c>
      <c r="X435" s="37">
        <v>0</v>
      </c>
      <c r="Y435" s="36"/>
      <c r="Z435" s="38"/>
      <c r="AA435" s="39"/>
      <c r="AB435" s="39"/>
      <c r="AC435" s="40"/>
    </row>
    <row r="436" spans="1:29" ht="46.5" x14ac:dyDescent="0.25">
      <c r="A436" s="27" t="s">
        <v>1219</v>
      </c>
      <c r="B436" s="28" t="s">
        <v>1220</v>
      </c>
      <c r="C436" s="29" t="s">
        <v>900</v>
      </c>
      <c r="D436" s="29" t="s">
        <v>901</v>
      </c>
      <c r="E436" s="30">
        <f>SUM(E437:E437)+571466</f>
        <v>571466</v>
      </c>
      <c r="F436" s="30">
        <f>SUM(F437:F437)+571466</f>
        <v>571466</v>
      </c>
      <c r="G436" s="30">
        <f t="shared" ref="G436:N436" si="346">SUM(G437:G437)</f>
        <v>0</v>
      </c>
      <c r="H436" s="30">
        <f t="shared" si="346"/>
        <v>0</v>
      </c>
      <c r="I436" s="30">
        <f t="shared" si="346"/>
        <v>0</v>
      </c>
      <c r="J436" s="30">
        <f t="shared" si="346"/>
        <v>0</v>
      </c>
      <c r="K436" s="30">
        <f t="shared" si="346"/>
        <v>0</v>
      </c>
      <c r="L436" s="30">
        <f t="shared" si="346"/>
        <v>0</v>
      </c>
      <c r="M436" s="30">
        <f t="shared" si="346"/>
        <v>0</v>
      </c>
      <c r="N436" s="30">
        <f t="shared" si="346"/>
        <v>0</v>
      </c>
      <c r="O436" s="30">
        <f>SUM(O437:O437)+564871.14</f>
        <v>564871.14</v>
      </c>
      <c r="P436" s="30">
        <f>SUM(P437:P437)+564871.14</f>
        <v>564871.14</v>
      </c>
      <c r="Q436" s="30">
        <f t="shared" ref="Q436:X436" si="347">SUM(Q437:Q437)</f>
        <v>0</v>
      </c>
      <c r="R436" s="30">
        <f t="shared" si="347"/>
        <v>0</v>
      </c>
      <c r="S436" s="30">
        <f t="shared" si="347"/>
        <v>0</v>
      </c>
      <c r="T436" s="30">
        <f t="shared" si="347"/>
        <v>0</v>
      </c>
      <c r="U436" s="30">
        <f t="shared" si="347"/>
        <v>0</v>
      </c>
      <c r="V436" s="30">
        <f t="shared" si="347"/>
        <v>0</v>
      </c>
      <c r="W436" s="30">
        <f t="shared" si="347"/>
        <v>0</v>
      </c>
      <c r="X436" s="30">
        <f t="shared" si="347"/>
        <v>0</v>
      </c>
      <c r="Y436" s="29" t="s">
        <v>1165</v>
      </c>
      <c r="Z436" s="31" t="s">
        <v>1166</v>
      </c>
      <c r="AA436" s="32" t="s">
        <v>1221</v>
      </c>
      <c r="AB436" s="32" t="s">
        <v>1221</v>
      </c>
      <c r="AC436" s="33"/>
    </row>
    <row r="437" spans="1:29" ht="46.5" x14ac:dyDescent="0.25">
      <c r="A437" s="34" t="s">
        <v>1222</v>
      </c>
      <c r="B437" s="35" t="s">
        <v>1223</v>
      </c>
      <c r="C437" s="36"/>
      <c r="D437" s="36"/>
      <c r="E437" s="37">
        <v>0</v>
      </c>
      <c r="F437" s="37">
        <v>0</v>
      </c>
      <c r="G437" s="37">
        <v>0</v>
      </c>
      <c r="H437" s="37">
        <v>0</v>
      </c>
      <c r="I437" s="37">
        <v>0</v>
      </c>
      <c r="J437" s="37">
        <v>0</v>
      </c>
      <c r="K437" s="37">
        <v>0</v>
      </c>
      <c r="L437" s="37">
        <v>0</v>
      </c>
      <c r="M437" s="37">
        <v>0</v>
      </c>
      <c r="N437" s="37">
        <v>0</v>
      </c>
      <c r="O437" s="37">
        <v>0</v>
      </c>
      <c r="P437" s="37">
        <v>0</v>
      </c>
      <c r="Q437" s="37">
        <v>0</v>
      </c>
      <c r="R437" s="37">
        <v>0</v>
      </c>
      <c r="S437" s="37">
        <v>0</v>
      </c>
      <c r="T437" s="37">
        <v>0</v>
      </c>
      <c r="U437" s="37">
        <v>0</v>
      </c>
      <c r="V437" s="37">
        <v>0</v>
      </c>
      <c r="W437" s="37">
        <v>0</v>
      </c>
      <c r="X437" s="37">
        <v>0</v>
      </c>
      <c r="Y437" s="36"/>
      <c r="Z437" s="38"/>
      <c r="AA437" s="39"/>
      <c r="AB437" s="39"/>
      <c r="AC437" s="40"/>
    </row>
    <row r="438" spans="1:29" ht="46.5" x14ac:dyDescent="0.25">
      <c r="A438" s="27" t="s">
        <v>1224</v>
      </c>
      <c r="B438" s="28" t="s">
        <v>1225</v>
      </c>
      <c r="C438" s="29" t="s">
        <v>906</v>
      </c>
      <c r="D438" s="29" t="s">
        <v>907</v>
      </c>
      <c r="E438" s="30">
        <f>SUM(E439:E439)+76583</f>
        <v>76583</v>
      </c>
      <c r="F438" s="30">
        <f>SUM(F439:F439)+75140</f>
        <v>75140</v>
      </c>
      <c r="G438" s="30">
        <f t="shared" ref="G438:N438" si="348">SUM(G439:G439)</f>
        <v>0</v>
      </c>
      <c r="H438" s="30">
        <f t="shared" si="348"/>
        <v>0</v>
      </c>
      <c r="I438" s="30">
        <f t="shared" si="348"/>
        <v>0</v>
      </c>
      <c r="J438" s="30">
        <f t="shared" si="348"/>
        <v>0</v>
      </c>
      <c r="K438" s="30">
        <f t="shared" si="348"/>
        <v>0</v>
      </c>
      <c r="L438" s="30">
        <f t="shared" si="348"/>
        <v>0</v>
      </c>
      <c r="M438" s="30">
        <f t="shared" si="348"/>
        <v>0</v>
      </c>
      <c r="N438" s="30">
        <f t="shared" si="348"/>
        <v>0</v>
      </c>
      <c r="O438" s="30">
        <f>SUM(O439:O439)+76442.58</f>
        <v>76442.58</v>
      </c>
      <c r="P438" s="30">
        <f>SUM(P439:P439)+74999.58</f>
        <v>74999.58</v>
      </c>
      <c r="Q438" s="30">
        <f t="shared" ref="Q438:X438" si="349">SUM(Q439:Q439)</f>
        <v>0</v>
      </c>
      <c r="R438" s="30">
        <f t="shared" si="349"/>
        <v>0</v>
      </c>
      <c r="S438" s="30">
        <f t="shared" si="349"/>
        <v>0</v>
      </c>
      <c r="T438" s="30">
        <f t="shared" si="349"/>
        <v>0</v>
      </c>
      <c r="U438" s="30">
        <f t="shared" si="349"/>
        <v>0</v>
      </c>
      <c r="V438" s="30">
        <f t="shared" si="349"/>
        <v>0</v>
      </c>
      <c r="W438" s="30">
        <f t="shared" si="349"/>
        <v>0</v>
      </c>
      <c r="X438" s="30">
        <f t="shared" si="349"/>
        <v>0</v>
      </c>
      <c r="Y438" s="29" t="s">
        <v>1165</v>
      </c>
      <c r="Z438" s="31" t="s">
        <v>1166</v>
      </c>
      <c r="AA438" s="32" t="s">
        <v>649</v>
      </c>
      <c r="AB438" s="32" t="s">
        <v>649</v>
      </c>
      <c r="AC438" s="33"/>
    </row>
    <row r="439" spans="1:29" ht="46.5" x14ac:dyDescent="0.25">
      <c r="A439" s="34" t="s">
        <v>1226</v>
      </c>
      <c r="B439" s="35" t="s">
        <v>1227</v>
      </c>
      <c r="C439" s="36"/>
      <c r="D439" s="36"/>
      <c r="E439" s="37">
        <v>0</v>
      </c>
      <c r="F439" s="37">
        <v>0</v>
      </c>
      <c r="G439" s="37">
        <v>0</v>
      </c>
      <c r="H439" s="37">
        <v>0</v>
      </c>
      <c r="I439" s="37">
        <v>0</v>
      </c>
      <c r="J439" s="37">
        <v>0</v>
      </c>
      <c r="K439" s="37">
        <v>0</v>
      </c>
      <c r="L439" s="37">
        <v>0</v>
      </c>
      <c r="M439" s="37">
        <v>0</v>
      </c>
      <c r="N439" s="37">
        <v>0</v>
      </c>
      <c r="O439" s="37">
        <v>0</v>
      </c>
      <c r="P439" s="37">
        <v>0</v>
      </c>
      <c r="Q439" s="37">
        <v>0</v>
      </c>
      <c r="R439" s="37">
        <v>0</v>
      </c>
      <c r="S439" s="37">
        <v>0</v>
      </c>
      <c r="T439" s="37">
        <v>0</v>
      </c>
      <c r="U439" s="37">
        <v>0</v>
      </c>
      <c r="V439" s="37">
        <v>0</v>
      </c>
      <c r="W439" s="37">
        <v>0</v>
      </c>
      <c r="X439" s="37">
        <v>0</v>
      </c>
      <c r="Y439" s="36"/>
      <c r="Z439" s="38"/>
      <c r="AA439" s="39"/>
      <c r="AB439" s="39"/>
      <c r="AC439" s="40"/>
    </row>
    <row r="440" spans="1:29" ht="69.75" x14ac:dyDescent="0.25">
      <c r="A440" s="27" t="s">
        <v>1228</v>
      </c>
      <c r="B440" s="28" t="s">
        <v>1229</v>
      </c>
      <c r="C440" s="29" t="s">
        <v>279</v>
      </c>
      <c r="D440" s="29" t="s">
        <v>1230</v>
      </c>
      <c r="E440" s="30">
        <f>SUM(E441:E441)+9369.88</f>
        <v>9369.8799999999992</v>
      </c>
      <c r="F440" s="30">
        <f>SUM(F441:F441)+9369.88</f>
        <v>9369.8799999999992</v>
      </c>
      <c r="G440" s="30">
        <f t="shared" ref="G440:N440" si="350">SUM(G441:G441)</f>
        <v>0</v>
      </c>
      <c r="H440" s="30">
        <f t="shared" si="350"/>
        <v>0</v>
      </c>
      <c r="I440" s="30">
        <f t="shared" si="350"/>
        <v>0</v>
      </c>
      <c r="J440" s="30">
        <f t="shared" si="350"/>
        <v>0</v>
      </c>
      <c r="K440" s="30">
        <f t="shared" si="350"/>
        <v>0</v>
      </c>
      <c r="L440" s="30">
        <f t="shared" si="350"/>
        <v>0</v>
      </c>
      <c r="M440" s="30">
        <f t="shared" si="350"/>
        <v>0</v>
      </c>
      <c r="N440" s="30">
        <f t="shared" si="350"/>
        <v>0</v>
      </c>
      <c r="O440" s="30">
        <f>SUM(O441:O441)+9369.88</f>
        <v>9369.8799999999992</v>
      </c>
      <c r="P440" s="30">
        <f>SUM(P441:P441)+7969.66</f>
        <v>7969.66</v>
      </c>
      <c r="Q440" s="30">
        <f t="shared" ref="Q440:X440" si="351">SUM(Q441:Q441)</f>
        <v>0</v>
      </c>
      <c r="R440" s="30">
        <f t="shared" si="351"/>
        <v>0</v>
      </c>
      <c r="S440" s="30">
        <f t="shared" si="351"/>
        <v>0</v>
      </c>
      <c r="T440" s="30">
        <f t="shared" si="351"/>
        <v>0</v>
      </c>
      <c r="U440" s="30">
        <f t="shared" si="351"/>
        <v>0</v>
      </c>
      <c r="V440" s="30">
        <f t="shared" si="351"/>
        <v>0</v>
      </c>
      <c r="W440" s="30">
        <f t="shared" si="351"/>
        <v>0</v>
      </c>
      <c r="X440" s="30">
        <f t="shared" si="351"/>
        <v>0</v>
      </c>
      <c r="Y440" s="29" t="s">
        <v>1231</v>
      </c>
      <c r="Z440" s="31" t="s">
        <v>40</v>
      </c>
      <c r="AA440" s="32" t="s">
        <v>54</v>
      </c>
      <c r="AB440" s="32" t="s">
        <v>54</v>
      </c>
      <c r="AC440" s="33"/>
    </row>
    <row r="441" spans="1:29" ht="69.75" x14ac:dyDescent="0.25">
      <c r="A441" s="34" t="s">
        <v>1232</v>
      </c>
      <c r="B441" s="35" t="s">
        <v>1233</v>
      </c>
      <c r="C441" s="36"/>
      <c r="D441" s="36"/>
      <c r="E441" s="37">
        <v>0</v>
      </c>
      <c r="F441" s="37">
        <v>0</v>
      </c>
      <c r="G441" s="37">
        <v>0</v>
      </c>
      <c r="H441" s="37">
        <v>0</v>
      </c>
      <c r="I441" s="37">
        <v>0</v>
      </c>
      <c r="J441" s="37">
        <v>0</v>
      </c>
      <c r="K441" s="37">
        <v>0</v>
      </c>
      <c r="L441" s="37">
        <v>0</v>
      </c>
      <c r="M441" s="37">
        <v>0</v>
      </c>
      <c r="N441" s="37">
        <v>0</v>
      </c>
      <c r="O441" s="37">
        <v>0</v>
      </c>
      <c r="P441" s="37">
        <v>0</v>
      </c>
      <c r="Q441" s="37">
        <v>0</v>
      </c>
      <c r="R441" s="37">
        <v>0</v>
      </c>
      <c r="S441" s="37">
        <v>0</v>
      </c>
      <c r="T441" s="37">
        <v>0</v>
      </c>
      <c r="U441" s="37">
        <v>0</v>
      </c>
      <c r="V441" s="37">
        <v>0</v>
      </c>
      <c r="W441" s="37">
        <v>0</v>
      </c>
      <c r="X441" s="37">
        <v>0</v>
      </c>
      <c r="Y441" s="36"/>
      <c r="Z441" s="38"/>
      <c r="AA441" s="39"/>
      <c r="AB441" s="39"/>
      <c r="AC441" s="40"/>
    </row>
    <row r="442" spans="1:29" ht="90" x14ac:dyDescent="0.25">
      <c r="A442" s="20" t="s">
        <v>1234</v>
      </c>
      <c r="B442" s="21" t="s">
        <v>1235</v>
      </c>
      <c r="C442" s="22" t="s">
        <v>279</v>
      </c>
      <c r="D442" s="22" t="s">
        <v>282</v>
      </c>
      <c r="E442" s="23">
        <f t="shared" ref="E442:X442" si="352">E443+E445+E447</f>
        <v>67393.399999999994</v>
      </c>
      <c r="F442" s="23">
        <f t="shared" si="352"/>
        <v>67393.399999999994</v>
      </c>
      <c r="G442" s="23">
        <f t="shared" si="352"/>
        <v>0</v>
      </c>
      <c r="H442" s="23">
        <f t="shared" si="352"/>
        <v>0</v>
      </c>
      <c r="I442" s="23">
        <f t="shared" si="352"/>
        <v>0</v>
      </c>
      <c r="J442" s="23">
        <f t="shared" si="352"/>
        <v>0</v>
      </c>
      <c r="K442" s="23">
        <f t="shared" si="352"/>
        <v>0</v>
      </c>
      <c r="L442" s="23">
        <f t="shared" si="352"/>
        <v>0</v>
      </c>
      <c r="M442" s="23">
        <f t="shared" si="352"/>
        <v>0</v>
      </c>
      <c r="N442" s="23">
        <f t="shared" si="352"/>
        <v>0</v>
      </c>
      <c r="O442" s="23">
        <f t="shared" si="352"/>
        <v>67393.399999999994</v>
      </c>
      <c r="P442" s="23">
        <f t="shared" si="352"/>
        <v>67393.399999999994</v>
      </c>
      <c r="Q442" s="23">
        <f t="shared" si="352"/>
        <v>0</v>
      </c>
      <c r="R442" s="23">
        <f t="shared" si="352"/>
        <v>0</v>
      </c>
      <c r="S442" s="23">
        <f t="shared" si="352"/>
        <v>0</v>
      </c>
      <c r="T442" s="23">
        <f t="shared" si="352"/>
        <v>0</v>
      </c>
      <c r="U442" s="23">
        <f t="shared" si="352"/>
        <v>0</v>
      </c>
      <c r="V442" s="23">
        <f t="shared" si="352"/>
        <v>0</v>
      </c>
      <c r="W442" s="23">
        <f t="shared" si="352"/>
        <v>0</v>
      </c>
      <c r="X442" s="23">
        <f t="shared" si="352"/>
        <v>0</v>
      </c>
      <c r="Y442" s="22" t="s">
        <v>1236</v>
      </c>
      <c r="Z442" s="24" t="s">
        <v>1237</v>
      </c>
      <c r="AA442" s="25" t="s">
        <v>128</v>
      </c>
      <c r="AB442" s="25" t="s">
        <v>128</v>
      </c>
      <c r="AC442" s="26"/>
    </row>
    <row r="443" spans="1:29" ht="46.5" x14ac:dyDescent="0.25">
      <c r="A443" s="27" t="s">
        <v>1238</v>
      </c>
      <c r="B443" s="28" t="s">
        <v>1239</v>
      </c>
      <c r="C443" s="29" t="s">
        <v>900</v>
      </c>
      <c r="D443" s="29" t="s">
        <v>901</v>
      </c>
      <c r="E443" s="30">
        <f t="shared" ref="E443:X443" si="353">SUM(E444:E444)</f>
        <v>0</v>
      </c>
      <c r="F443" s="30">
        <f t="shared" si="353"/>
        <v>0</v>
      </c>
      <c r="G443" s="30">
        <f t="shared" si="353"/>
        <v>0</v>
      </c>
      <c r="H443" s="30">
        <f t="shared" si="353"/>
        <v>0</v>
      </c>
      <c r="I443" s="30">
        <f t="shared" si="353"/>
        <v>0</v>
      </c>
      <c r="J443" s="30">
        <f t="shared" si="353"/>
        <v>0</v>
      </c>
      <c r="K443" s="30">
        <f t="shared" si="353"/>
        <v>0</v>
      </c>
      <c r="L443" s="30">
        <f t="shared" si="353"/>
        <v>0</v>
      </c>
      <c r="M443" s="30">
        <f t="shared" si="353"/>
        <v>0</v>
      </c>
      <c r="N443" s="30">
        <f t="shared" si="353"/>
        <v>0</v>
      </c>
      <c r="O443" s="30">
        <f t="shared" si="353"/>
        <v>0</v>
      </c>
      <c r="P443" s="30">
        <f t="shared" si="353"/>
        <v>0</v>
      </c>
      <c r="Q443" s="30">
        <f t="shared" si="353"/>
        <v>0</v>
      </c>
      <c r="R443" s="30">
        <f t="shared" si="353"/>
        <v>0</v>
      </c>
      <c r="S443" s="30">
        <f t="shared" si="353"/>
        <v>0</v>
      </c>
      <c r="T443" s="30">
        <f t="shared" si="353"/>
        <v>0</v>
      </c>
      <c r="U443" s="30">
        <f t="shared" si="353"/>
        <v>0</v>
      </c>
      <c r="V443" s="30">
        <f t="shared" si="353"/>
        <v>0</v>
      </c>
      <c r="W443" s="30">
        <f t="shared" si="353"/>
        <v>0</v>
      </c>
      <c r="X443" s="30">
        <f t="shared" si="353"/>
        <v>0</v>
      </c>
      <c r="Y443" s="29" t="s">
        <v>1240</v>
      </c>
      <c r="Z443" s="31" t="s">
        <v>40</v>
      </c>
      <c r="AA443" s="32" t="s">
        <v>54</v>
      </c>
      <c r="AB443" s="32" t="s">
        <v>54</v>
      </c>
      <c r="AC443" s="33"/>
    </row>
    <row r="444" spans="1:29" ht="46.5" x14ac:dyDescent="0.25">
      <c r="A444" s="34" t="s">
        <v>1241</v>
      </c>
      <c r="B444" s="35" t="s">
        <v>1242</v>
      </c>
      <c r="C444" s="36"/>
      <c r="D444" s="36"/>
      <c r="E444" s="37">
        <v>0</v>
      </c>
      <c r="F444" s="37">
        <v>0</v>
      </c>
      <c r="G444" s="37">
        <v>0</v>
      </c>
      <c r="H444" s="37">
        <v>0</v>
      </c>
      <c r="I444" s="37">
        <v>0</v>
      </c>
      <c r="J444" s="37">
        <v>0</v>
      </c>
      <c r="K444" s="37">
        <v>0</v>
      </c>
      <c r="L444" s="37">
        <v>0</v>
      </c>
      <c r="M444" s="37">
        <v>0</v>
      </c>
      <c r="N444" s="37">
        <v>0</v>
      </c>
      <c r="O444" s="37">
        <v>0</v>
      </c>
      <c r="P444" s="37">
        <v>0</v>
      </c>
      <c r="Q444" s="37">
        <v>0</v>
      </c>
      <c r="R444" s="37">
        <v>0</v>
      </c>
      <c r="S444" s="37">
        <v>0</v>
      </c>
      <c r="T444" s="37">
        <v>0</v>
      </c>
      <c r="U444" s="37">
        <v>0</v>
      </c>
      <c r="V444" s="37">
        <v>0</v>
      </c>
      <c r="W444" s="37">
        <v>0</v>
      </c>
      <c r="X444" s="37">
        <v>0</v>
      </c>
      <c r="Y444" s="36"/>
      <c r="Z444" s="38"/>
      <c r="AA444" s="39"/>
      <c r="AB444" s="39"/>
      <c r="AC444" s="40"/>
    </row>
    <row r="445" spans="1:29" ht="93" x14ac:dyDescent="0.25">
      <c r="A445" s="27" t="s">
        <v>1243</v>
      </c>
      <c r="B445" s="28" t="s">
        <v>1244</v>
      </c>
      <c r="C445" s="29" t="s">
        <v>279</v>
      </c>
      <c r="D445" s="29" t="s">
        <v>1051</v>
      </c>
      <c r="E445" s="30">
        <f>SUM(E446:E446)+67393.4</f>
        <v>67393.399999999994</v>
      </c>
      <c r="F445" s="30">
        <f>SUM(F446:F446)+67393.4</f>
        <v>67393.399999999994</v>
      </c>
      <c r="G445" s="30">
        <f t="shared" ref="G445:N445" si="354">SUM(G446:G446)</f>
        <v>0</v>
      </c>
      <c r="H445" s="30">
        <f t="shared" si="354"/>
        <v>0</v>
      </c>
      <c r="I445" s="30">
        <f t="shared" si="354"/>
        <v>0</v>
      </c>
      <c r="J445" s="30">
        <f t="shared" si="354"/>
        <v>0</v>
      </c>
      <c r="K445" s="30">
        <f t="shared" si="354"/>
        <v>0</v>
      </c>
      <c r="L445" s="30">
        <f t="shared" si="354"/>
        <v>0</v>
      </c>
      <c r="M445" s="30">
        <f t="shared" si="354"/>
        <v>0</v>
      </c>
      <c r="N445" s="30">
        <f t="shared" si="354"/>
        <v>0</v>
      </c>
      <c r="O445" s="30">
        <f>SUM(O446:O446)+67393.4</f>
        <v>67393.399999999994</v>
      </c>
      <c r="P445" s="30">
        <f>SUM(P446:P446)+67393.4</f>
        <v>67393.399999999994</v>
      </c>
      <c r="Q445" s="30">
        <f t="shared" ref="Q445:X445" si="355">SUM(Q446:Q446)</f>
        <v>0</v>
      </c>
      <c r="R445" s="30">
        <f t="shared" si="355"/>
        <v>0</v>
      </c>
      <c r="S445" s="30">
        <f t="shared" si="355"/>
        <v>0</v>
      </c>
      <c r="T445" s="30">
        <f t="shared" si="355"/>
        <v>0</v>
      </c>
      <c r="U445" s="30">
        <f t="shared" si="355"/>
        <v>0</v>
      </c>
      <c r="V445" s="30">
        <f t="shared" si="355"/>
        <v>0</v>
      </c>
      <c r="W445" s="30">
        <f t="shared" si="355"/>
        <v>0</v>
      </c>
      <c r="X445" s="30">
        <f t="shared" si="355"/>
        <v>0</v>
      </c>
      <c r="Y445" s="29" t="s">
        <v>1245</v>
      </c>
      <c r="Z445" s="31" t="s">
        <v>1080</v>
      </c>
      <c r="AA445" s="32" t="s">
        <v>267</v>
      </c>
      <c r="AB445" s="32" t="s">
        <v>1081</v>
      </c>
      <c r="AC445" s="33" t="s">
        <v>1082</v>
      </c>
    </row>
    <row r="446" spans="1:29" ht="69.75" x14ac:dyDescent="0.25">
      <c r="A446" s="34" t="s">
        <v>1246</v>
      </c>
      <c r="B446" s="35" t="s">
        <v>1247</v>
      </c>
      <c r="C446" s="36"/>
      <c r="D446" s="36"/>
      <c r="E446" s="37">
        <v>0</v>
      </c>
      <c r="F446" s="37">
        <v>0</v>
      </c>
      <c r="G446" s="37">
        <v>0</v>
      </c>
      <c r="H446" s="37">
        <v>0</v>
      </c>
      <c r="I446" s="37">
        <v>0</v>
      </c>
      <c r="J446" s="37">
        <v>0</v>
      </c>
      <c r="K446" s="37">
        <v>0</v>
      </c>
      <c r="L446" s="37">
        <v>0</v>
      </c>
      <c r="M446" s="37">
        <v>0</v>
      </c>
      <c r="N446" s="37">
        <v>0</v>
      </c>
      <c r="O446" s="37">
        <v>0</v>
      </c>
      <c r="P446" s="37">
        <v>0</v>
      </c>
      <c r="Q446" s="37">
        <v>0</v>
      </c>
      <c r="R446" s="37">
        <v>0</v>
      </c>
      <c r="S446" s="37">
        <v>0</v>
      </c>
      <c r="T446" s="37">
        <v>0</v>
      </c>
      <c r="U446" s="37">
        <v>0</v>
      </c>
      <c r="V446" s="37">
        <v>0</v>
      </c>
      <c r="W446" s="37">
        <v>0</v>
      </c>
      <c r="X446" s="37">
        <v>0</v>
      </c>
      <c r="Y446" s="36"/>
      <c r="Z446" s="38"/>
      <c r="AA446" s="39"/>
      <c r="AB446" s="39"/>
      <c r="AC446" s="40"/>
    </row>
    <row r="447" spans="1:29" ht="93" x14ac:dyDescent="0.25">
      <c r="A447" s="27" t="s">
        <v>1248</v>
      </c>
      <c r="B447" s="28" t="s">
        <v>1249</v>
      </c>
      <c r="C447" s="29" t="s">
        <v>279</v>
      </c>
      <c r="D447" s="29" t="s">
        <v>1051</v>
      </c>
      <c r="E447" s="30">
        <f t="shared" ref="E447:X447" si="356">SUM(E448:E448)</f>
        <v>0</v>
      </c>
      <c r="F447" s="30">
        <f t="shared" si="356"/>
        <v>0</v>
      </c>
      <c r="G447" s="30">
        <f t="shared" si="356"/>
        <v>0</v>
      </c>
      <c r="H447" s="30">
        <f t="shared" si="356"/>
        <v>0</v>
      </c>
      <c r="I447" s="30">
        <f t="shared" si="356"/>
        <v>0</v>
      </c>
      <c r="J447" s="30">
        <f t="shared" si="356"/>
        <v>0</v>
      </c>
      <c r="K447" s="30">
        <f t="shared" si="356"/>
        <v>0</v>
      </c>
      <c r="L447" s="30">
        <f t="shared" si="356"/>
        <v>0</v>
      </c>
      <c r="M447" s="30">
        <f t="shared" si="356"/>
        <v>0</v>
      </c>
      <c r="N447" s="30">
        <f t="shared" si="356"/>
        <v>0</v>
      </c>
      <c r="O447" s="30">
        <f t="shared" si="356"/>
        <v>0</v>
      </c>
      <c r="P447" s="30">
        <f t="shared" si="356"/>
        <v>0</v>
      </c>
      <c r="Q447" s="30">
        <f t="shared" si="356"/>
        <v>0</v>
      </c>
      <c r="R447" s="30">
        <f t="shared" si="356"/>
        <v>0</v>
      </c>
      <c r="S447" s="30">
        <f t="shared" si="356"/>
        <v>0</v>
      </c>
      <c r="T447" s="30">
        <f t="shared" si="356"/>
        <v>0</v>
      </c>
      <c r="U447" s="30">
        <f t="shared" si="356"/>
        <v>0</v>
      </c>
      <c r="V447" s="30">
        <f t="shared" si="356"/>
        <v>0</v>
      </c>
      <c r="W447" s="30">
        <f t="shared" si="356"/>
        <v>0</v>
      </c>
      <c r="X447" s="30">
        <f t="shared" si="356"/>
        <v>0</v>
      </c>
      <c r="Y447" s="29" t="s">
        <v>1250</v>
      </c>
      <c r="Z447" s="31" t="s">
        <v>40</v>
      </c>
      <c r="AA447" s="32" t="s">
        <v>47</v>
      </c>
      <c r="AB447" s="32" t="s">
        <v>47</v>
      </c>
      <c r="AC447" s="33"/>
    </row>
    <row r="448" spans="1:29" ht="69.75" x14ac:dyDescent="0.25">
      <c r="A448" s="34" t="s">
        <v>1251</v>
      </c>
      <c r="B448" s="35" t="s">
        <v>1252</v>
      </c>
      <c r="C448" s="36"/>
      <c r="D448" s="36"/>
      <c r="E448" s="37">
        <v>0</v>
      </c>
      <c r="F448" s="37">
        <v>0</v>
      </c>
      <c r="G448" s="37">
        <v>0</v>
      </c>
      <c r="H448" s="37">
        <v>0</v>
      </c>
      <c r="I448" s="37">
        <v>0</v>
      </c>
      <c r="J448" s="37">
        <v>0</v>
      </c>
      <c r="K448" s="37">
        <v>0</v>
      </c>
      <c r="L448" s="37">
        <v>0</v>
      </c>
      <c r="M448" s="37">
        <v>0</v>
      </c>
      <c r="N448" s="37">
        <v>0</v>
      </c>
      <c r="O448" s="37">
        <v>0</v>
      </c>
      <c r="P448" s="37">
        <v>0</v>
      </c>
      <c r="Q448" s="37">
        <v>0</v>
      </c>
      <c r="R448" s="37">
        <v>0</v>
      </c>
      <c r="S448" s="37">
        <v>0</v>
      </c>
      <c r="T448" s="37">
        <v>0</v>
      </c>
      <c r="U448" s="37">
        <v>0</v>
      </c>
      <c r="V448" s="37">
        <v>0</v>
      </c>
      <c r="W448" s="37">
        <v>0</v>
      </c>
      <c r="X448" s="37">
        <v>0</v>
      </c>
      <c r="Y448" s="36"/>
      <c r="Z448" s="38"/>
      <c r="AA448" s="39"/>
      <c r="AB448" s="39"/>
      <c r="AC448" s="40"/>
    </row>
    <row r="449" spans="1:29" ht="45" x14ac:dyDescent="0.25">
      <c r="A449" s="20" t="s">
        <v>1253</v>
      </c>
      <c r="B449" s="21" t="s">
        <v>1254</v>
      </c>
      <c r="C449" s="22" t="s">
        <v>279</v>
      </c>
      <c r="D449" s="22" t="s">
        <v>304</v>
      </c>
      <c r="E449" s="23">
        <f t="shared" ref="E449:N450" si="357">SUM(E450:E450)</f>
        <v>0</v>
      </c>
      <c r="F449" s="23">
        <f t="shared" si="357"/>
        <v>0</v>
      </c>
      <c r="G449" s="23">
        <f t="shared" si="357"/>
        <v>0</v>
      </c>
      <c r="H449" s="23">
        <f t="shared" si="357"/>
        <v>0</v>
      </c>
      <c r="I449" s="23">
        <f t="shared" si="357"/>
        <v>0</v>
      </c>
      <c r="J449" s="23">
        <f t="shared" si="357"/>
        <v>0</v>
      </c>
      <c r="K449" s="23">
        <f t="shared" si="357"/>
        <v>0</v>
      </c>
      <c r="L449" s="23">
        <f t="shared" si="357"/>
        <v>0</v>
      </c>
      <c r="M449" s="23">
        <f t="shared" si="357"/>
        <v>0</v>
      </c>
      <c r="N449" s="23">
        <f t="shared" si="357"/>
        <v>0</v>
      </c>
      <c r="O449" s="23">
        <f t="shared" ref="O449:X450" si="358">SUM(O450:O450)</f>
        <v>0</v>
      </c>
      <c r="P449" s="23">
        <f t="shared" si="358"/>
        <v>0</v>
      </c>
      <c r="Q449" s="23">
        <f t="shared" si="358"/>
        <v>0</v>
      </c>
      <c r="R449" s="23">
        <f t="shared" si="358"/>
        <v>0</v>
      </c>
      <c r="S449" s="23">
        <f t="shared" si="358"/>
        <v>0</v>
      </c>
      <c r="T449" s="23">
        <f t="shared" si="358"/>
        <v>0</v>
      </c>
      <c r="U449" s="23">
        <f t="shared" si="358"/>
        <v>0</v>
      </c>
      <c r="V449" s="23">
        <f t="shared" si="358"/>
        <v>0</v>
      </c>
      <c r="W449" s="23">
        <f t="shared" si="358"/>
        <v>0</v>
      </c>
      <c r="X449" s="23">
        <f t="shared" si="358"/>
        <v>0</v>
      </c>
      <c r="Y449" s="22" t="s">
        <v>1255</v>
      </c>
      <c r="Z449" s="24" t="s">
        <v>40</v>
      </c>
      <c r="AA449" s="25" t="s">
        <v>54</v>
      </c>
      <c r="AB449" s="25" t="s">
        <v>54</v>
      </c>
      <c r="AC449" s="26"/>
    </row>
    <row r="450" spans="1:29" ht="46.5" x14ac:dyDescent="0.25">
      <c r="A450" s="27" t="s">
        <v>1256</v>
      </c>
      <c r="B450" s="28" t="s">
        <v>1257</v>
      </c>
      <c r="C450" s="29" t="s">
        <v>279</v>
      </c>
      <c r="D450" s="29" t="s">
        <v>304</v>
      </c>
      <c r="E450" s="30">
        <f t="shared" si="357"/>
        <v>0</v>
      </c>
      <c r="F450" s="30">
        <f t="shared" si="357"/>
        <v>0</v>
      </c>
      <c r="G450" s="30">
        <f t="shared" si="357"/>
        <v>0</v>
      </c>
      <c r="H450" s="30">
        <f t="shared" si="357"/>
        <v>0</v>
      </c>
      <c r="I450" s="30">
        <f t="shared" si="357"/>
        <v>0</v>
      </c>
      <c r="J450" s="30">
        <f t="shared" si="357"/>
        <v>0</v>
      </c>
      <c r="K450" s="30">
        <f t="shared" si="357"/>
        <v>0</v>
      </c>
      <c r="L450" s="30">
        <f t="shared" si="357"/>
        <v>0</v>
      </c>
      <c r="M450" s="30">
        <f t="shared" si="357"/>
        <v>0</v>
      </c>
      <c r="N450" s="30">
        <f t="shared" si="357"/>
        <v>0</v>
      </c>
      <c r="O450" s="30">
        <f t="shared" si="358"/>
        <v>0</v>
      </c>
      <c r="P450" s="30">
        <f t="shared" si="358"/>
        <v>0</v>
      </c>
      <c r="Q450" s="30">
        <f t="shared" si="358"/>
        <v>0</v>
      </c>
      <c r="R450" s="30">
        <f t="shared" si="358"/>
        <v>0</v>
      </c>
      <c r="S450" s="30">
        <f t="shared" si="358"/>
        <v>0</v>
      </c>
      <c r="T450" s="30">
        <f t="shared" si="358"/>
        <v>0</v>
      </c>
      <c r="U450" s="30">
        <f t="shared" si="358"/>
        <v>0</v>
      </c>
      <c r="V450" s="30">
        <f t="shared" si="358"/>
        <v>0</v>
      </c>
      <c r="W450" s="30">
        <f t="shared" si="358"/>
        <v>0</v>
      </c>
      <c r="X450" s="30">
        <f t="shared" si="358"/>
        <v>0</v>
      </c>
      <c r="Y450" s="29" t="s">
        <v>1258</v>
      </c>
      <c r="Z450" s="31" t="s">
        <v>40</v>
      </c>
      <c r="AA450" s="32" t="s">
        <v>54</v>
      </c>
      <c r="AB450" s="32" t="s">
        <v>54</v>
      </c>
      <c r="AC450" s="33"/>
    </row>
    <row r="451" spans="1:29" ht="46.5" x14ac:dyDescent="0.25">
      <c r="A451" s="34" t="s">
        <v>1259</v>
      </c>
      <c r="B451" s="35" t="s">
        <v>1260</v>
      </c>
      <c r="C451" s="36"/>
      <c r="D451" s="36"/>
      <c r="E451" s="37">
        <v>0</v>
      </c>
      <c r="F451" s="37">
        <v>0</v>
      </c>
      <c r="G451" s="37">
        <v>0</v>
      </c>
      <c r="H451" s="37">
        <v>0</v>
      </c>
      <c r="I451" s="37">
        <v>0</v>
      </c>
      <c r="J451" s="37">
        <v>0</v>
      </c>
      <c r="K451" s="37">
        <v>0</v>
      </c>
      <c r="L451" s="37">
        <v>0</v>
      </c>
      <c r="M451" s="37">
        <v>0</v>
      </c>
      <c r="N451" s="37">
        <v>0</v>
      </c>
      <c r="O451" s="37">
        <v>0</v>
      </c>
      <c r="P451" s="37">
        <v>0</v>
      </c>
      <c r="Q451" s="37">
        <v>0</v>
      </c>
      <c r="R451" s="37">
        <v>0</v>
      </c>
      <c r="S451" s="37">
        <v>0</v>
      </c>
      <c r="T451" s="37">
        <v>0</v>
      </c>
      <c r="U451" s="37">
        <v>0</v>
      </c>
      <c r="V451" s="37">
        <v>0</v>
      </c>
      <c r="W451" s="37">
        <v>0</v>
      </c>
      <c r="X451" s="37">
        <v>0</v>
      </c>
      <c r="Y451" s="36"/>
      <c r="Z451" s="38"/>
      <c r="AA451" s="39"/>
      <c r="AB451" s="39"/>
      <c r="AC451" s="40"/>
    </row>
    <row r="452" spans="1:29" ht="45" x14ac:dyDescent="0.25">
      <c r="A452" s="20" t="s">
        <v>1261</v>
      </c>
      <c r="B452" s="21" t="s">
        <v>1262</v>
      </c>
      <c r="C452" s="22" t="s">
        <v>279</v>
      </c>
      <c r="D452" s="22" t="s">
        <v>304</v>
      </c>
      <c r="E452" s="23">
        <f t="shared" ref="E452:X452" si="359">SUM(E453:E453)</f>
        <v>24181.89</v>
      </c>
      <c r="F452" s="23">
        <f t="shared" si="359"/>
        <v>24181.89</v>
      </c>
      <c r="G452" s="23">
        <f t="shared" si="359"/>
        <v>0</v>
      </c>
      <c r="H452" s="23">
        <f t="shared" si="359"/>
        <v>0</v>
      </c>
      <c r="I452" s="23">
        <f t="shared" si="359"/>
        <v>0</v>
      </c>
      <c r="J452" s="23">
        <f t="shared" si="359"/>
        <v>0</v>
      </c>
      <c r="K452" s="23">
        <f t="shared" si="359"/>
        <v>0</v>
      </c>
      <c r="L452" s="23">
        <f t="shared" si="359"/>
        <v>0</v>
      </c>
      <c r="M452" s="23">
        <f t="shared" si="359"/>
        <v>0</v>
      </c>
      <c r="N452" s="23">
        <f t="shared" si="359"/>
        <v>0</v>
      </c>
      <c r="O452" s="23">
        <f t="shared" si="359"/>
        <v>0</v>
      </c>
      <c r="P452" s="23">
        <f t="shared" si="359"/>
        <v>0</v>
      </c>
      <c r="Q452" s="23">
        <f t="shared" si="359"/>
        <v>0</v>
      </c>
      <c r="R452" s="23">
        <f t="shared" si="359"/>
        <v>0</v>
      </c>
      <c r="S452" s="23">
        <f t="shared" si="359"/>
        <v>0</v>
      </c>
      <c r="T452" s="23">
        <f t="shared" si="359"/>
        <v>0</v>
      </c>
      <c r="U452" s="23">
        <f t="shared" si="359"/>
        <v>0</v>
      </c>
      <c r="V452" s="23">
        <f t="shared" si="359"/>
        <v>0</v>
      </c>
      <c r="W452" s="23">
        <f t="shared" si="359"/>
        <v>0</v>
      </c>
      <c r="X452" s="23">
        <f t="shared" si="359"/>
        <v>0</v>
      </c>
      <c r="Y452" s="22" t="s">
        <v>1263</v>
      </c>
      <c r="Z452" s="24" t="s">
        <v>40</v>
      </c>
      <c r="AA452" s="25" t="s">
        <v>41</v>
      </c>
      <c r="AB452" s="25" t="s">
        <v>47</v>
      </c>
      <c r="AC452" s="26" t="s">
        <v>1264</v>
      </c>
    </row>
    <row r="453" spans="1:29" ht="46.5" x14ac:dyDescent="0.25">
      <c r="A453" s="27" t="s">
        <v>1265</v>
      </c>
      <c r="B453" s="28" t="s">
        <v>1266</v>
      </c>
      <c r="C453" s="29" t="s">
        <v>279</v>
      </c>
      <c r="D453" s="29" t="s">
        <v>304</v>
      </c>
      <c r="E453" s="30">
        <f>SUM(E454:E454)+24181.89</f>
        <v>24181.89</v>
      </c>
      <c r="F453" s="30">
        <f>SUM(F454:F454)+24181.89</f>
        <v>24181.89</v>
      </c>
      <c r="G453" s="30">
        <f t="shared" ref="G453:X453" si="360">SUM(G454:G454)</f>
        <v>0</v>
      </c>
      <c r="H453" s="30">
        <f t="shared" si="360"/>
        <v>0</v>
      </c>
      <c r="I453" s="30">
        <f t="shared" si="360"/>
        <v>0</v>
      </c>
      <c r="J453" s="30">
        <f t="shared" si="360"/>
        <v>0</v>
      </c>
      <c r="K453" s="30">
        <f t="shared" si="360"/>
        <v>0</v>
      </c>
      <c r="L453" s="30">
        <f t="shared" si="360"/>
        <v>0</v>
      </c>
      <c r="M453" s="30">
        <f t="shared" si="360"/>
        <v>0</v>
      </c>
      <c r="N453" s="30">
        <f t="shared" si="360"/>
        <v>0</v>
      </c>
      <c r="O453" s="30">
        <f t="shared" si="360"/>
        <v>0</v>
      </c>
      <c r="P453" s="30">
        <f t="shared" si="360"/>
        <v>0</v>
      </c>
      <c r="Q453" s="30">
        <f t="shared" si="360"/>
        <v>0</v>
      </c>
      <c r="R453" s="30">
        <f t="shared" si="360"/>
        <v>0</v>
      </c>
      <c r="S453" s="30">
        <f t="shared" si="360"/>
        <v>0</v>
      </c>
      <c r="T453" s="30">
        <f t="shared" si="360"/>
        <v>0</v>
      </c>
      <c r="U453" s="30">
        <f t="shared" si="360"/>
        <v>0</v>
      </c>
      <c r="V453" s="30">
        <f t="shared" si="360"/>
        <v>0</v>
      </c>
      <c r="W453" s="30">
        <f t="shared" si="360"/>
        <v>0</v>
      </c>
      <c r="X453" s="30">
        <f t="shared" si="360"/>
        <v>0</v>
      </c>
      <c r="Y453" s="29" t="s">
        <v>1267</v>
      </c>
      <c r="Z453" s="31" t="s">
        <v>40</v>
      </c>
      <c r="AA453" s="32" t="s">
        <v>267</v>
      </c>
      <c r="AB453" s="32" t="s">
        <v>47</v>
      </c>
      <c r="AC453" s="33" t="s">
        <v>1264</v>
      </c>
    </row>
    <row r="454" spans="1:29" ht="46.5" x14ac:dyDescent="0.25">
      <c r="A454" s="34" t="s">
        <v>1268</v>
      </c>
      <c r="B454" s="35" t="s">
        <v>1269</v>
      </c>
      <c r="C454" s="36"/>
      <c r="D454" s="36"/>
      <c r="E454" s="37">
        <v>0</v>
      </c>
      <c r="F454" s="37">
        <v>0</v>
      </c>
      <c r="G454" s="37">
        <v>0</v>
      </c>
      <c r="H454" s="37">
        <v>0</v>
      </c>
      <c r="I454" s="37">
        <v>0</v>
      </c>
      <c r="J454" s="37">
        <v>0</v>
      </c>
      <c r="K454" s="37">
        <v>0</v>
      </c>
      <c r="L454" s="37">
        <v>0</v>
      </c>
      <c r="M454" s="37">
        <v>0</v>
      </c>
      <c r="N454" s="37">
        <v>0</v>
      </c>
      <c r="O454" s="37">
        <v>0</v>
      </c>
      <c r="P454" s="37">
        <v>0</v>
      </c>
      <c r="Q454" s="37">
        <v>0</v>
      </c>
      <c r="R454" s="37">
        <v>0</v>
      </c>
      <c r="S454" s="37">
        <v>0</v>
      </c>
      <c r="T454" s="37">
        <v>0</v>
      </c>
      <c r="U454" s="37">
        <v>0</v>
      </c>
      <c r="V454" s="37">
        <v>0</v>
      </c>
      <c r="W454" s="37">
        <v>0</v>
      </c>
      <c r="X454" s="37">
        <v>0</v>
      </c>
      <c r="Y454" s="36"/>
      <c r="Z454" s="38"/>
      <c r="AA454" s="39"/>
      <c r="AB454" s="39"/>
      <c r="AC454" s="40"/>
    </row>
    <row r="455" spans="1:29" ht="90" x14ac:dyDescent="0.25">
      <c r="A455" s="20" t="s">
        <v>1270</v>
      </c>
      <c r="B455" s="21" t="s">
        <v>1271</v>
      </c>
      <c r="C455" s="22" t="s">
        <v>279</v>
      </c>
      <c r="D455" s="22" t="s">
        <v>304</v>
      </c>
      <c r="E455" s="23">
        <f t="shared" ref="E455:X455" si="361">SUM(E456:E457)</f>
        <v>4900.5</v>
      </c>
      <c r="F455" s="23">
        <f t="shared" si="361"/>
        <v>4900.5</v>
      </c>
      <c r="G455" s="23">
        <f t="shared" si="361"/>
        <v>0</v>
      </c>
      <c r="H455" s="23">
        <f t="shared" si="361"/>
        <v>0</v>
      </c>
      <c r="I455" s="23">
        <f t="shared" si="361"/>
        <v>0</v>
      </c>
      <c r="J455" s="23">
        <f t="shared" si="361"/>
        <v>0</v>
      </c>
      <c r="K455" s="23">
        <f t="shared" si="361"/>
        <v>0</v>
      </c>
      <c r="L455" s="23">
        <f t="shared" si="361"/>
        <v>0</v>
      </c>
      <c r="M455" s="23">
        <f t="shared" si="361"/>
        <v>0</v>
      </c>
      <c r="N455" s="23">
        <f t="shared" si="361"/>
        <v>0</v>
      </c>
      <c r="O455" s="23">
        <f t="shared" si="361"/>
        <v>4900.5</v>
      </c>
      <c r="P455" s="23">
        <f t="shared" si="361"/>
        <v>4900.5</v>
      </c>
      <c r="Q455" s="23">
        <f t="shared" si="361"/>
        <v>0</v>
      </c>
      <c r="R455" s="23">
        <f t="shared" si="361"/>
        <v>0</v>
      </c>
      <c r="S455" s="23">
        <f t="shared" si="361"/>
        <v>0</v>
      </c>
      <c r="T455" s="23">
        <f t="shared" si="361"/>
        <v>0</v>
      </c>
      <c r="U455" s="23">
        <f t="shared" si="361"/>
        <v>0</v>
      </c>
      <c r="V455" s="23">
        <f t="shared" si="361"/>
        <v>0</v>
      </c>
      <c r="W455" s="23">
        <f t="shared" si="361"/>
        <v>0</v>
      </c>
      <c r="X455" s="23">
        <f t="shared" si="361"/>
        <v>0</v>
      </c>
      <c r="Y455" s="22" t="s">
        <v>1272</v>
      </c>
      <c r="Z455" s="24" t="s">
        <v>40</v>
      </c>
      <c r="AA455" s="25" t="s">
        <v>1273</v>
      </c>
      <c r="AB455" s="25" t="s">
        <v>1274</v>
      </c>
      <c r="AC455" s="26"/>
    </row>
    <row r="456" spans="1:29" x14ac:dyDescent="0.25">
      <c r="A456" s="41"/>
      <c r="B456" s="42"/>
      <c r="C456" s="43"/>
      <c r="D456" s="43"/>
      <c r="E456" s="44">
        <v>0</v>
      </c>
      <c r="F456" s="44">
        <v>0</v>
      </c>
      <c r="G456" s="44">
        <v>0</v>
      </c>
      <c r="H456" s="44">
        <v>0</v>
      </c>
      <c r="I456" s="44">
        <v>0</v>
      </c>
      <c r="J456" s="44">
        <v>0</v>
      </c>
      <c r="K456" s="44">
        <v>0</v>
      </c>
      <c r="L456" s="44">
        <v>0</v>
      </c>
      <c r="M456" s="44">
        <v>0</v>
      </c>
      <c r="N456" s="44">
        <v>0</v>
      </c>
      <c r="O456" s="44">
        <v>0</v>
      </c>
      <c r="P456" s="44">
        <v>0</v>
      </c>
      <c r="Q456" s="44">
        <v>0</v>
      </c>
      <c r="R456" s="44">
        <v>0</v>
      </c>
      <c r="S456" s="44">
        <v>0</v>
      </c>
      <c r="T456" s="44">
        <v>0</v>
      </c>
      <c r="U456" s="44">
        <v>0</v>
      </c>
      <c r="V456" s="44">
        <v>0</v>
      </c>
      <c r="W456" s="44">
        <v>0</v>
      </c>
      <c r="X456" s="44">
        <v>0</v>
      </c>
      <c r="Y456" s="43" t="s">
        <v>1275</v>
      </c>
      <c r="Z456" s="45" t="s">
        <v>40</v>
      </c>
      <c r="AA456" s="46" t="s">
        <v>1276</v>
      </c>
      <c r="AB456" s="46" t="s">
        <v>1276</v>
      </c>
      <c r="AC456" s="47"/>
    </row>
    <row r="457" spans="1:29" ht="116.25" x14ac:dyDescent="0.25">
      <c r="A457" s="27" t="s">
        <v>1277</v>
      </c>
      <c r="B457" s="28" t="s">
        <v>1278</v>
      </c>
      <c r="C457" s="29" t="s">
        <v>279</v>
      </c>
      <c r="D457" s="29" t="s">
        <v>304</v>
      </c>
      <c r="E457" s="30">
        <f>SUM(E458:E458)+4900.5</f>
        <v>4900.5</v>
      </c>
      <c r="F457" s="30">
        <f>SUM(F458:F458)+4900.5</f>
        <v>4900.5</v>
      </c>
      <c r="G457" s="30">
        <f t="shared" ref="G457:N457" si="362">SUM(G458:G458)</f>
        <v>0</v>
      </c>
      <c r="H457" s="30">
        <f t="shared" si="362"/>
        <v>0</v>
      </c>
      <c r="I457" s="30">
        <f t="shared" si="362"/>
        <v>0</v>
      </c>
      <c r="J457" s="30">
        <f t="shared" si="362"/>
        <v>0</v>
      </c>
      <c r="K457" s="30">
        <f t="shared" si="362"/>
        <v>0</v>
      </c>
      <c r="L457" s="30">
        <f t="shared" si="362"/>
        <v>0</v>
      </c>
      <c r="M457" s="30">
        <f t="shared" si="362"/>
        <v>0</v>
      </c>
      <c r="N457" s="30">
        <f t="shared" si="362"/>
        <v>0</v>
      </c>
      <c r="O457" s="30">
        <f>SUM(O458:O458)+4900.5</f>
        <v>4900.5</v>
      </c>
      <c r="P457" s="30">
        <f>SUM(P458:P458)+4900.5</f>
        <v>4900.5</v>
      </c>
      <c r="Q457" s="30">
        <f t="shared" ref="Q457:X457" si="363">SUM(Q458:Q458)</f>
        <v>0</v>
      </c>
      <c r="R457" s="30">
        <f t="shared" si="363"/>
        <v>0</v>
      </c>
      <c r="S457" s="30">
        <f t="shared" si="363"/>
        <v>0</v>
      </c>
      <c r="T457" s="30">
        <f t="shared" si="363"/>
        <v>0</v>
      </c>
      <c r="U457" s="30">
        <f t="shared" si="363"/>
        <v>0</v>
      </c>
      <c r="V457" s="30">
        <f t="shared" si="363"/>
        <v>0</v>
      </c>
      <c r="W457" s="30">
        <f t="shared" si="363"/>
        <v>0</v>
      </c>
      <c r="X457" s="30">
        <f t="shared" si="363"/>
        <v>0</v>
      </c>
      <c r="Y457" s="29" t="s">
        <v>1279</v>
      </c>
      <c r="Z457" s="31" t="s">
        <v>40</v>
      </c>
      <c r="AA457" s="32" t="s">
        <v>267</v>
      </c>
      <c r="AB457" s="32" t="s">
        <v>267</v>
      </c>
      <c r="AC457" s="33"/>
    </row>
    <row r="458" spans="1:29" ht="93" x14ac:dyDescent="0.25">
      <c r="A458" s="34" t="s">
        <v>1280</v>
      </c>
      <c r="B458" s="35" t="s">
        <v>1281</v>
      </c>
      <c r="C458" s="36"/>
      <c r="D458" s="36"/>
      <c r="E458" s="37">
        <v>0</v>
      </c>
      <c r="F458" s="37">
        <v>0</v>
      </c>
      <c r="G458" s="37">
        <v>0</v>
      </c>
      <c r="H458" s="37">
        <v>0</v>
      </c>
      <c r="I458" s="37">
        <v>0</v>
      </c>
      <c r="J458" s="37">
        <v>0</v>
      </c>
      <c r="K458" s="37">
        <v>0</v>
      </c>
      <c r="L458" s="37">
        <v>0</v>
      </c>
      <c r="M458" s="37">
        <v>0</v>
      </c>
      <c r="N458" s="37">
        <v>0</v>
      </c>
      <c r="O458" s="37">
        <v>0</v>
      </c>
      <c r="P458" s="37">
        <v>0</v>
      </c>
      <c r="Q458" s="37">
        <v>0</v>
      </c>
      <c r="R458" s="37">
        <v>0</v>
      </c>
      <c r="S458" s="37">
        <v>0</v>
      </c>
      <c r="T458" s="37">
        <v>0</v>
      </c>
      <c r="U458" s="37">
        <v>0</v>
      </c>
      <c r="V458" s="37">
        <v>0</v>
      </c>
      <c r="W458" s="37">
        <v>0</v>
      </c>
      <c r="X458" s="37">
        <v>0</v>
      </c>
      <c r="Y458" s="36"/>
      <c r="Z458" s="38"/>
      <c r="AA458" s="39"/>
      <c r="AB458" s="39"/>
      <c r="AC458" s="40"/>
    </row>
    <row r="459" spans="1:29" ht="90" x14ac:dyDescent="0.25">
      <c r="A459" s="13" t="s">
        <v>1282</v>
      </c>
      <c r="B459" s="14" t="s">
        <v>1283</v>
      </c>
      <c r="C459" s="15" t="s">
        <v>279</v>
      </c>
      <c r="D459" s="15" t="s">
        <v>304</v>
      </c>
      <c r="E459" s="16">
        <f t="shared" ref="E459:X459" si="364">E460+E461+E468+E471</f>
        <v>393357.84</v>
      </c>
      <c r="F459" s="16">
        <f t="shared" si="364"/>
        <v>393357.84</v>
      </c>
      <c r="G459" s="16">
        <f t="shared" si="364"/>
        <v>0</v>
      </c>
      <c r="H459" s="16">
        <f t="shared" si="364"/>
        <v>0</v>
      </c>
      <c r="I459" s="16">
        <f t="shared" si="364"/>
        <v>0</v>
      </c>
      <c r="J459" s="16">
        <f t="shared" si="364"/>
        <v>0</v>
      </c>
      <c r="K459" s="16">
        <f t="shared" si="364"/>
        <v>0</v>
      </c>
      <c r="L459" s="16">
        <f t="shared" si="364"/>
        <v>0</v>
      </c>
      <c r="M459" s="16">
        <f t="shared" si="364"/>
        <v>0</v>
      </c>
      <c r="N459" s="16">
        <f t="shared" si="364"/>
        <v>0</v>
      </c>
      <c r="O459" s="16">
        <f t="shared" si="364"/>
        <v>390103.57</v>
      </c>
      <c r="P459" s="16">
        <f t="shared" si="364"/>
        <v>390103.57</v>
      </c>
      <c r="Q459" s="16">
        <f t="shared" si="364"/>
        <v>0</v>
      </c>
      <c r="R459" s="16">
        <f t="shared" si="364"/>
        <v>0</v>
      </c>
      <c r="S459" s="16">
        <f t="shared" si="364"/>
        <v>0</v>
      </c>
      <c r="T459" s="16">
        <f t="shared" si="364"/>
        <v>0</v>
      </c>
      <c r="U459" s="16">
        <f t="shared" si="364"/>
        <v>0</v>
      </c>
      <c r="V459" s="16">
        <f t="shared" si="364"/>
        <v>0</v>
      </c>
      <c r="W459" s="16">
        <f t="shared" si="364"/>
        <v>0</v>
      </c>
      <c r="X459" s="16">
        <f t="shared" si="364"/>
        <v>0</v>
      </c>
      <c r="Y459" s="15" t="s">
        <v>1284</v>
      </c>
      <c r="Z459" s="17" t="s">
        <v>34</v>
      </c>
      <c r="AA459" s="18" t="s">
        <v>177</v>
      </c>
      <c r="AB459" s="18" t="s">
        <v>128</v>
      </c>
      <c r="AC459" s="19"/>
    </row>
    <row r="460" spans="1:29" ht="46.5" x14ac:dyDescent="0.25">
      <c r="A460" s="41"/>
      <c r="B460" s="42"/>
      <c r="C460" s="43"/>
      <c r="D460" s="43"/>
      <c r="E460" s="44">
        <v>0</v>
      </c>
      <c r="F460" s="44">
        <v>0</v>
      </c>
      <c r="G460" s="44">
        <v>0</v>
      </c>
      <c r="H460" s="44">
        <v>0</v>
      </c>
      <c r="I460" s="44">
        <v>0</v>
      </c>
      <c r="J460" s="44">
        <v>0</v>
      </c>
      <c r="K460" s="44">
        <v>0</v>
      </c>
      <c r="L460" s="44">
        <v>0</v>
      </c>
      <c r="M460" s="44">
        <v>0</v>
      </c>
      <c r="N460" s="44">
        <v>0</v>
      </c>
      <c r="O460" s="44">
        <v>0</v>
      </c>
      <c r="P460" s="44">
        <v>0</v>
      </c>
      <c r="Q460" s="44">
        <v>0</v>
      </c>
      <c r="R460" s="44">
        <v>0</v>
      </c>
      <c r="S460" s="44">
        <v>0</v>
      </c>
      <c r="T460" s="44">
        <v>0</v>
      </c>
      <c r="U460" s="44">
        <v>0</v>
      </c>
      <c r="V460" s="44">
        <v>0</v>
      </c>
      <c r="W460" s="44">
        <v>0</v>
      </c>
      <c r="X460" s="44">
        <v>0</v>
      </c>
      <c r="Y460" s="43" t="s">
        <v>1285</v>
      </c>
      <c r="Z460" s="45" t="s">
        <v>34</v>
      </c>
      <c r="AA460" s="46" t="s">
        <v>1286</v>
      </c>
      <c r="AB460" s="46" t="s">
        <v>1287</v>
      </c>
      <c r="AC460" s="47"/>
    </row>
    <row r="461" spans="1:29" ht="67.5" x14ac:dyDescent="0.25">
      <c r="A461" s="20" t="s">
        <v>1288</v>
      </c>
      <c r="B461" s="21" t="s">
        <v>1289</v>
      </c>
      <c r="C461" s="22" t="s">
        <v>279</v>
      </c>
      <c r="D461" s="22" t="s">
        <v>304</v>
      </c>
      <c r="E461" s="23">
        <f t="shared" ref="E461:X461" si="365">E462+E464+E466</f>
        <v>370001.88</v>
      </c>
      <c r="F461" s="23">
        <f t="shared" si="365"/>
        <v>370001.88</v>
      </c>
      <c r="G461" s="23">
        <f t="shared" si="365"/>
        <v>0</v>
      </c>
      <c r="H461" s="23">
        <f t="shared" si="365"/>
        <v>0</v>
      </c>
      <c r="I461" s="23">
        <f t="shared" si="365"/>
        <v>0</v>
      </c>
      <c r="J461" s="23">
        <f t="shared" si="365"/>
        <v>0</v>
      </c>
      <c r="K461" s="23">
        <f t="shared" si="365"/>
        <v>0</v>
      </c>
      <c r="L461" s="23">
        <f t="shared" si="365"/>
        <v>0</v>
      </c>
      <c r="M461" s="23">
        <f t="shared" si="365"/>
        <v>0</v>
      </c>
      <c r="N461" s="23">
        <f t="shared" si="365"/>
        <v>0</v>
      </c>
      <c r="O461" s="23">
        <f t="shared" si="365"/>
        <v>366753.01</v>
      </c>
      <c r="P461" s="23">
        <f t="shared" si="365"/>
        <v>366753.01</v>
      </c>
      <c r="Q461" s="23">
        <f t="shared" si="365"/>
        <v>0</v>
      </c>
      <c r="R461" s="23">
        <f t="shared" si="365"/>
        <v>0</v>
      </c>
      <c r="S461" s="23">
        <f t="shared" si="365"/>
        <v>0</v>
      </c>
      <c r="T461" s="23">
        <f t="shared" si="365"/>
        <v>0</v>
      </c>
      <c r="U461" s="23">
        <f t="shared" si="365"/>
        <v>0</v>
      </c>
      <c r="V461" s="23">
        <f t="shared" si="365"/>
        <v>0</v>
      </c>
      <c r="W461" s="23">
        <f t="shared" si="365"/>
        <v>0</v>
      </c>
      <c r="X461" s="23">
        <f t="shared" si="365"/>
        <v>0</v>
      </c>
      <c r="Y461" s="22" t="s">
        <v>1290</v>
      </c>
      <c r="Z461" s="24" t="s">
        <v>40</v>
      </c>
      <c r="AA461" s="25" t="s">
        <v>54</v>
      </c>
      <c r="AB461" s="25" t="s">
        <v>54</v>
      </c>
      <c r="AC461" s="26"/>
    </row>
    <row r="462" spans="1:29" ht="46.5" x14ac:dyDescent="0.25">
      <c r="A462" s="27" t="s">
        <v>1291</v>
      </c>
      <c r="B462" s="28" t="s">
        <v>1292</v>
      </c>
      <c r="C462" s="29" t="s">
        <v>279</v>
      </c>
      <c r="D462" s="29" t="s">
        <v>1051</v>
      </c>
      <c r="E462" s="30">
        <f>SUM(E463:E463)+3000</f>
        <v>3000</v>
      </c>
      <c r="F462" s="30">
        <f>SUM(F463:F463)+3000</f>
        <v>3000</v>
      </c>
      <c r="G462" s="30">
        <f t="shared" ref="G462:X462" si="366">SUM(G463:G463)</f>
        <v>0</v>
      </c>
      <c r="H462" s="30">
        <f t="shared" si="366"/>
        <v>0</v>
      </c>
      <c r="I462" s="30">
        <f t="shared" si="366"/>
        <v>0</v>
      </c>
      <c r="J462" s="30">
        <f t="shared" si="366"/>
        <v>0</v>
      </c>
      <c r="K462" s="30">
        <f t="shared" si="366"/>
        <v>0</v>
      </c>
      <c r="L462" s="30">
        <f t="shared" si="366"/>
        <v>0</v>
      </c>
      <c r="M462" s="30">
        <f t="shared" si="366"/>
        <v>0</v>
      </c>
      <c r="N462" s="30">
        <f t="shared" si="366"/>
        <v>0</v>
      </c>
      <c r="O462" s="30">
        <f t="shared" si="366"/>
        <v>0</v>
      </c>
      <c r="P462" s="30">
        <f t="shared" si="366"/>
        <v>0</v>
      </c>
      <c r="Q462" s="30">
        <f t="shared" si="366"/>
        <v>0</v>
      </c>
      <c r="R462" s="30">
        <f t="shared" si="366"/>
        <v>0</v>
      </c>
      <c r="S462" s="30">
        <f t="shared" si="366"/>
        <v>0</v>
      </c>
      <c r="T462" s="30">
        <f t="shared" si="366"/>
        <v>0</v>
      </c>
      <c r="U462" s="30">
        <f t="shared" si="366"/>
        <v>0</v>
      </c>
      <c r="V462" s="30">
        <f t="shared" si="366"/>
        <v>0</v>
      </c>
      <c r="W462" s="30">
        <f t="shared" si="366"/>
        <v>0</v>
      </c>
      <c r="X462" s="30">
        <f t="shared" si="366"/>
        <v>0</v>
      </c>
      <c r="Y462" s="29" t="s">
        <v>1293</v>
      </c>
      <c r="Z462" s="31" t="s">
        <v>40</v>
      </c>
      <c r="AA462" s="32" t="s">
        <v>41</v>
      </c>
      <c r="AB462" s="32" t="s">
        <v>47</v>
      </c>
      <c r="AC462" s="33" t="s">
        <v>1294</v>
      </c>
    </row>
    <row r="463" spans="1:29" ht="46.5" x14ac:dyDescent="0.25">
      <c r="A463" s="34" t="s">
        <v>1295</v>
      </c>
      <c r="B463" s="35" t="s">
        <v>1296</v>
      </c>
      <c r="C463" s="36"/>
      <c r="D463" s="36"/>
      <c r="E463" s="37">
        <v>0</v>
      </c>
      <c r="F463" s="37">
        <v>0</v>
      </c>
      <c r="G463" s="37">
        <v>0</v>
      </c>
      <c r="H463" s="37">
        <v>0</v>
      </c>
      <c r="I463" s="37">
        <v>0</v>
      </c>
      <c r="J463" s="37">
        <v>0</v>
      </c>
      <c r="K463" s="37">
        <v>0</v>
      </c>
      <c r="L463" s="37">
        <v>0</v>
      </c>
      <c r="M463" s="37">
        <v>0</v>
      </c>
      <c r="N463" s="37">
        <v>0</v>
      </c>
      <c r="O463" s="37">
        <v>0</v>
      </c>
      <c r="P463" s="37">
        <v>0</v>
      </c>
      <c r="Q463" s="37">
        <v>0</v>
      </c>
      <c r="R463" s="37">
        <v>0</v>
      </c>
      <c r="S463" s="37">
        <v>0</v>
      </c>
      <c r="T463" s="37">
        <v>0</v>
      </c>
      <c r="U463" s="37">
        <v>0</v>
      </c>
      <c r="V463" s="37">
        <v>0</v>
      </c>
      <c r="W463" s="37">
        <v>0</v>
      </c>
      <c r="X463" s="37">
        <v>0</v>
      </c>
      <c r="Y463" s="36"/>
      <c r="Z463" s="38"/>
      <c r="AA463" s="39"/>
      <c r="AB463" s="39"/>
      <c r="AC463" s="40"/>
    </row>
    <row r="464" spans="1:29" ht="46.5" x14ac:dyDescent="0.25">
      <c r="A464" s="27" t="s">
        <v>1297</v>
      </c>
      <c r="B464" s="28" t="s">
        <v>1298</v>
      </c>
      <c r="C464" s="29" t="s">
        <v>279</v>
      </c>
      <c r="D464" s="29" t="s">
        <v>1051</v>
      </c>
      <c r="E464" s="30">
        <f>SUM(E465:E465)+121602.58</f>
        <v>121602.58</v>
      </c>
      <c r="F464" s="30">
        <f>SUM(F465:F465)+121602.58</f>
        <v>121602.58</v>
      </c>
      <c r="G464" s="30">
        <f t="shared" ref="G464:N464" si="367">SUM(G465:G465)</f>
        <v>0</v>
      </c>
      <c r="H464" s="30">
        <f t="shared" si="367"/>
        <v>0</v>
      </c>
      <c r="I464" s="30">
        <f t="shared" si="367"/>
        <v>0</v>
      </c>
      <c r="J464" s="30">
        <f t="shared" si="367"/>
        <v>0</v>
      </c>
      <c r="K464" s="30">
        <f t="shared" si="367"/>
        <v>0</v>
      </c>
      <c r="L464" s="30">
        <f t="shared" si="367"/>
        <v>0</v>
      </c>
      <c r="M464" s="30">
        <f t="shared" si="367"/>
        <v>0</v>
      </c>
      <c r="N464" s="30">
        <f t="shared" si="367"/>
        <v>0</v>
      </c>
      <c r="O464" s="30">
        <f>SUM(O465:O465)+121602.58</f>
        <v>121602.58</v>
      </c>
      <c r="P464" s="30">
        <f>SUM(P465:P465)+121602.58</f>
        <v>121602.58</v>
      </c>
      <c r="Q464" s="30">
        <f t="shared" ref="Q464:X464" si="368">SUM(Q465:Q465)</f>
        <v>0</v>
      </c>
      <c r="R464" s="30">
        <f t="shared" si="368"/>
        <v>0</v>
      </c>
      <c r="S464" s="30">
        <f t="shared" si="368"/>
        <v>0</v>
      </c>
      <c r="T464" s="30">
        <f t="shared" si="368"/>
        <v>0</v>
      </c>
      <c r="U464" s="30">
        <f t="shared" si="368"/>
        <v>0</v>
      </c>
      <c r="V464" s="30">
        <f t="shared" si="368"/>
        <v>0</v>
      </c>
      <c r="W464" s="30">
        <f t="shared" si="368"/>
        <v>0</v>
      </c>
      <c r="X464" s="30">
        <f t="shared" si="368"/>
        <v>0</v>
      </c>
      <c r="Y464" s="29" t="s">
        <v>1299</v>
      </c>
      <c r="Z464" s="31" t="s">
        <v>40</v>
      </c>
      <c r="AA464" s="32" t="s">
        <v>69</v>
      </c>
      <c r="AB464" s="32" t="s">
        <v>69</v>
      </c>
      <c r="AC464" s="33"/>
    </row>
    <row r="465" spans="1:29" ht="93" x14ac:dyDescent="0.25">
      <c r="A465" s="34" t="s">
        <v>1300</v>
      </c>
      <c r="B465" s="35" t="s">
        <v>1301</v>
      </c>
      <c r="C465" s="36"/>
      <c r="D465" s="36"/>
      <c r="E465" s="37">
        <v>0</v>
      </c>
      <c r="F465" s="37">
        <v>0</v>
      </c>
      <c r="G465" s="37">
        <v>0</v>
      </c>
      <c r="H465" s="37">
        <v>0</v>
      </c>
      <c r="I465" s="37">
        <v>0</v>
      </c>
      <c r="J465" s="37">
        <v>0</v>
      </c>
      <c r="K465" s="37">
        <v>0</v>
      </c>
      <c r="L465" s="37">
        <v>0</v>
      </c>
      <c r="M465" s="37">
        <v>0</v>
      </c>
      <c r="N465" s="37">
        <v>0</v>
      </c>
      <c r="O465" s="37">
        <v>0</v>
      </c>
      <c r="P465" s="37">
        <v>0</v>
      </c>
      <c r="Q465" s="37">
        <v>0</v>
      </c>
      <c r="R465" s="37">
        <v>0</v>
      </c>
      <c r="S465" s="37">
        <v>0</v>
      </c>
      <c r="T465" s="37">
        <v>0</v>
      </c>
      <c r="U465" s="37">
        <v>0</v>
      </c>
      <c r="V465" s="37">
        <v>0</v>
      </c>
      <c r="W465" s="37">
        <v>0</v>
      </c>
      <c r="X465" s="37">
        <v>0</v>
      </c>
      <c r="Y465" s="36"/>
      <c r="Z465" s="38"/>
      <c r="AA465" s="39"/>
      <c r="AB465" s="39"/>
      <c r="AC465" s="40"/>
    </row>
    <row r="466" spans="1:29" ht="46.5" x14ac:dyDescent="0.25">
      <c r="A466" s="27" t="s">
        <v>1302</v>
      </c>
      <c r="B466" s="28" t="s">
        <v>1303</v>
      </c>
      <c r="C466" s="29" t="s">
        <v>279</v>
      </c>
      <c r="D466" s="29" t="s">
        <v>304</v>
      </c>
      <c r="E466" s="30">
        <f>SUM(E467:E467)+245399.3</f>
        <v>245399.3</v>
      </c>
      <c r="F466" s="30">
        <f>SUM(F467:F467)+245399.3</f>
        <v>245399.3</v>
      </c>
      <c r="G466" s="30">
        <f t="shared" ref="G466:N466" si="369">SUM(G467:G467)</f>
        <v>0</v>
      </c>
      <c r="H466" s="30">
        <f t="shared" si="369"/>
        <v>0</v>
      </c>
      <c r="I466" s="30">
        <f t="shared" si="369"/>
        <v>0</v>
      </c>
      <c r="J466" s="30">
        <f t="shared" si="369"/>
        <v>0</v>
      </c>
      <c r="K466" s="30">
        <f t="shared" si="369"/>
        <v>0</v>
      </c>
      <c r="L466" s="30">
        <f t="shared" si="369"/>
        <v>0</v>
      </c>
      <c r="M466" s="30">
        <f t="shared" si="369"/>
        <v>0</v>
      </c>
      <c r="N466" s="30">
        <f t="shared" si="369"/>
        <v>0</v>
      </c>
      <c r="O466" s="30">
        <f>SUM(O467:O467)+245150.43</f>
        <v>245150.43</v>
      </c>
      <c r="P466" s="30">
        <f>SUM(P467:P467)+245150.43</f>
        <v>245150.43</v>
      </c>
      <c r="Q466" s="30">
        <f t="shared" ref="Q466:X466" si="370">SUM(Q467:Q467)</f>
        <v>0</v>
      </c>
      <c r="R466" s="30">
        <f t="shared" si="370"/>
        <v>0</v>
      </c>
      <c r="S466" s="30">
        <f t="shared" si="370"/>
        <v>0</v>
      </c>
      <c r="T466" s="30">
        <f t="shared" si="370"/>
        <v>0</v>
      </c>
      <c r="U466" s="30">
        <f t="shared" si="370"/>
        <v>0</v>
      </c>
      <c r="V466" s="30">
        <f t="shared" si="370"/>
        <v>0</v>
      </c>
      <c r="W466" s="30">
        <f t="shared" si="370"/>
        <v>0</v>
      </c>
      <c r="X466" s="30">
        <f t="shared" si="370"/>
        <v>0</v>
      </c>
      <c r="Y466" s="29" t="s">
        <v>1304</v>
      </c>
      <c r="Z466" s="31" t="s">
        <v>40</v>
      </c>
      <c r="AA466" s="32" t="s">
        <v>69</v>
      </c>
      <c r="AB466" s="32" t="s">
        <v>69</v>
      </c>
      <c r="AC466" s="33"/>
    </row>
    <row r="467" spans="1:29" ht="46.5" x14ac:dyDescent="0.25">
      <c r="A467" s="34" t="s">
        <v>1305</v>
      </c>
      <c r="B467" s="35" t="s">
        <v>1306</v>
      </c>
      <c r="C467" s="36"/>
      <c r="D467" s="36"/>
      <c r="E467" s="37">
        <v>0</v>
      </c>
      <c r="F467" s="37">
        <v>0</v>
      </c>
      <c r="G467" s="37">
        <v>0</v>
      </c>
      <c r="H467" s="37">
        <v>0</v>
      </c>
      <c r="I467" s="37">
        <v>0</v>
      </c>
      <c r="J467" s="37">
        <v>0</v>
      </c>
      <c r="K467" s="37">
        <v>0</v>
      </c>
      <c r="L467" s="37">
        <v>0</v>
      </c>
      <c r="M467" s="37">
        <v>0</v>
      </c>
      <c r="N467" s="37">
        <v>0</v>
      </c>
      <c r="O467" s="37">
        <v>0</v>
      </c>
      <c r="P467" s="37">
        <v>0</v>
      </c>
      <c r="Q467" s="37">
        <v>0</v>
      </c>
      <c r="R467" s="37">
        <v>0</v>
      </c>
      <c r="S467" s="37">
        <v>0</v>
      </c>
      <c r="T467" s="37">
        <v>0</v>
      </c>
      <c r="U467" s="37">
        <v>0</v>
      </c>
      <c r="V467" s="37">
        <v>0</v>
      </c>
      <c r="W467" s="37">
        <v>0</v>
      </c>
      <c r="X467" s="37">
        <v>0</v>
      </c>
      <c r="Y467" s="36"/>
      <c r="Z467" s="38"/>
      <c r="AA467" s="39"/>
      <c r="AB467" s="39"/>
      <c r="AC467" s="40"/>
    </row>
    <row r="468" spans="1:29" ht="67.5" x14ac:dyDescent="0.25">
      <c r="A468" s="20" t="s">
        <v>1307</v>
      </c>
      <c r="B468" s="21" t="s">
        <v>1308</v>
      </c>
      <c r="C468" s="22" t="s">
        <v>279</v>
      </c>
      <c r="D468" s="22" t="s">
        <v>304</v>
      </c>
      <c r="E468" s="23">
        <f t="shared" ref="E468:X468" si="371">SUM(E469:E469)</f>
        <v>17655.96</v>
      </c>
      <c r="F468" s="23">
        <f t="shared" si="371"/>
        <v>17655.96</v>
      </c>
      <c r="G468" s="23">
        <f t="shared" si="371"/>
        <v>0</v>
      </c>
      <c r="H468" s="23">
        <f t="shared" si="371"/>
        <v>0</v>
      </c>
      <c r="I468" s="23">
        <f t="shared" si="371"/>
        <v>0</v>
      </c>
      <c r="J468" s="23">
        <f t="shared" si="371"/>
        <v>0</v>
      </c>
      <c r="K468" s="23">
        <f t="shared" si="371"/>
        <v>0</v>
      </c>
      <c r="L468" s="23">
        <f t="shared" si="371"/>
        <v>0</v>
      </c>
      <c r="M468" s="23">
        <f t="shared" si="371"/>
        <v>0</v>
      </c>
      <c r="N468" s="23">
        <f t="shared" si="371"/>
        <v>0</v>
      </c>
      <c r="O468" s="23">
        <f t="shared" si="371"/>
        <v>17655.96</v>
      </c>
      <c r="P468" s="23">
        <f t="shared" si="371"/>
        <v>17655.96</v>
      </c>
      <c r="Q468" s="23">
        <f t="shared" si="371"/>
        <v>0</v>
      </c>
      <c r="R468" s="23">
        <f t="shared" si="371"/>
        <v>0</v>
      </c>
      <c r="S468" s="23">
        <f t="shared" si="371"/>
        <v>0</v>
      </c>
      <c r="T468" s="23">
        <f t="shared" si="371"/>
        <v>0</v>
      </c>
      <c r="U468" s="23">
        <f t="shared" si="371"/>
        <v>0</v>
      </c>
      <c r="V468" s="23">
        <f t="shared" si="371"/>
        <v>0</v>
      </c>
      <c r="W468" s="23">
        <f t="shared" si="371"/>
        <v>0</v>
      </c>
      <c r="X468" s="23">
        <f t="shared" si="371"/>
        <v>0</v>
      </c>
      <c r="Y468" s="22" t="s">
        <v>1309</v>
      </c>
      <c r="Z468" s="24" t="s">
        <v>374</v>
      </c>
      <c r="AA468" s="25" t="s">
        <v>54</v>
      </c>
      <c r="AB468" s="25" t="s">
        <v>47</v>
      </c>
      <c r="AC468" s="26" t="s">
        <v>1310</v>
      </c>
    </row>
    <row r="469" spans="1:29" ht="69.75" x14ac:dyDescent="0.25">
      <c r="A469" s="27" t="s">
        <v>1311</v>
      </c>
      <c r="B469" s="28" t="s">
        <v>1312</v>
      </c>
      <c r="C469" s="29" t="s">
        <v>279</v>
      </c>
      <c r="D469" s="29" t="s">
        <v>304</v>
      </c>
      <c r="E469" s="30">
        <f>SUM(E470:E470)+17655.96</f>
        <v>17655.96</v>
      </c>
      <c r="F469" s="30">
        <f>SUM(F470:F470)+17655.96</f>
        <v>17655.96</v>
      </c>
      <c r="G469" s="30">
        <f t="shared" ref="G469:N469" si="372">SUM(G470:G470)</f>
        <v>0</v>
      </c>
      <c r="H469" s="30">
        <f t="shared" si="372"/>
        <v>0</v>
      </c>
      <c r="I469" s="30">
        <f t="shared" si="372"/>
        <v>0</v>
      </c>
      <c r="J469" s="30">
        <f t="shared" si="372"/>
        <v>0</v>
      </c>
      <c r="K469" s="30">
        <f t="shared" si="372"/>
        <v>0</v>
      </c>
      <c r="L469" s="30">
        <f t="shared" si="372"/>
        <v>0</v>
      </c>
      <c r="M469" s="30">
        <f t="shared" si="372"/>
        <v>0</v>
      </c>
      <c r="N469" s="30">
        <f t="shared" si="372"/>
        <v>0</v>
      </c>
      <c r="O469" s="30">
        <f>SUM(O470:O470)+17655.96</f>
        <v>17655.96</v>
      </c>
      <c r="P469" s="30">
        <f>SUM(P470:P470)+17655.96</f>
        <v>17655.96</v>
      </c>
      <c r="Q469" s="30">
        <f t="shared" ref="Q469:X469" si="373">SUM(Q470:Q470)</f>
        <v>0</v>
      </c>
      <c r="R469" s="30">
        <f t="shared" si="373"/>
        <v>0</v>
      </c>
      <c r="S469" s="30">
        <f t="shared" si="373"/>
        <v>0</v>
      </c>
      <c r="T469" s="30">
        <f t="shared" si="373"/>
        <v>0</v>
      </c>
      <c r="U469" s="30">
        <f t="shared" si="373"/>
        <v>0</v>
      </c>
      <c r="V469" s="30">
        <f t="shared" si="373"/>
        <v>0</v>
      </c>
      <c r="W469" s="30">
        <f t="shared" si="373"/>
        <v>0</v>
      </c>
      <c r="X469" s="30">
        <f t="shared" si="373"/>
        <v>0</v>
      </c>
      <c r="Y469" s="29" t="s">
        <v>1313</v>
      </c>
      <c r="Z469" s="31" t="s">
        <v>40</v>
      </c>
      <c r="AA469" s="32" t="s">
        <v>54</v>
      </c>
      <c r="AB469" s="32" t="s">
        <v>54</v>
      </c>
      <c r="AC469" s="33"/>
    </row>
    <row r="470" spans="1:29" ht="46.5" x14ac:dyDescent="0.25">
      <c r="A470" s="34" t="s">
        <v>1314</v>
      </c>
      <c r="B470" s="35" t="s">
        <v>1315</v>
      </c>
      <c r="C470" s="36"/>
      <c r="D470" s="36"/>
      <c r="E470" s="37">
        <v>0</v>
      </c>
      <c r="F470" s="37">
        <v>0</v>
      </c>
      <c r="G470" s="37">
        <v>0</v>
      </c>
      <c r="H470" s="37">
        <v>0</v>
      </c>
      <c r="I470" s="37">
        <v>0</v>
      </c>
      <c r="J470" s="37">
        <v>0</v>
      </c>
      <c r="K470" s="37">
        <v>0</v>
      </c>
      <c r="L470" s="37">
        <v>0</v>
      </c>
      <c r="M470" s="37">
        <v>0</v>
      </c>
      <c r="N470" s="37">
        <v>0</v>
      </c>
      <c r="O470" s="37">
        <v>0</v>
      </c>
      <c r="P470" s="37">
        <v>0</v>
      </c>
      <c r="Q470" s="37">
        <v>0</v>
      </c>
      <c r="R470" s="37">
        <v>0</v>
      </c>
      <c r="S470" s="37">
        <v>0</v>
      </c>
      <c r="T470" s="37">
        <v>0</v>
      </c>
      <c r="U470" s="37">
        <v>0</v>
      </c>
      <c r="V470" s="37">
        <v>0</v>
      </c>
      <c r="W470" s="37">
        <v>0</v>
      </c>
      <c r="X470" s="37">
        <v>0</v>
      </c>
      <c r="Y470" s="36"/>
      <c r="Z470" s="38"/>
      <c r="AA470" s="39"/>
      <c r="AB470" s="39"/>
      <c r="AC470" s="40"/>
    </row>
    <row r="471" spans="1:29" ht="67.5" x14ac:dyDescent="0.25">
      <c r="A471" s="20" t="s">
        <v>1316</v>
      </c>
      <c r="B471" s="21" t="s">
        <v>1317</v>
      </c>
      <c r="C471" s="22" t="s">
        <v>279</v>
      </c>
      <c r="D471" s="22" t="s">
        <v>1051</v>
      </c>
      <c r="E471" s="23">
        <f t="shared" ref="E471:X471" si="374">SUM(E472:E472)</f>
        <v>5700</v>
      </c>
      <c r="F471" s="23">
        <f t="shared" si="374"/>
        <v>5700</v>
      </c>
      <c r="G471" s="23">
        <f t="shared" si="374"/>
        <v>0</v>
      </c>
      <c r="H471" s="23">
        <f t="shared" si="374"/>
        <v>0</v>
      </c>
      <c r="I471" s="23">
        <f t="shared" si="374"/>
        <v>0</v>
      </c>
      <c r="J471" s="23">
        <f t="shared" si="374"/>
        <v>0</v>
      </c>
      <c r="K471" s="23">
        <f t="shared" si="374"/>
        <v>0</v>
      </c>
      <c r="L471" s="23">
        <f t="shared" si="374"/>
        <v>0</v>
      </c>
      <c r="M471" s="23">
        <f t="shared" si="374"/>
        <v>0</v>
      </c>
      <c r="N471" s="23">
        <f t="shared" si="374"/>
        <v>0</v>
      </c>
      <c r="O471" s="23">
        <f t="shared" si="374"/>
        <v>5694.6</v>
      </c>
      <c r="P471" s="23">
        <f t="shared" si="374"/>
        <v>5694.6</v>
      </c>
      <c r="Q471" s="23">
        <f t="shared" si="374"/>
        <v>0</v>
      </c>
      <c r="R471" s="23">
        <f t="shared" si="374"/>
        <v>0</v>
      </c>
      <c r="S471" s="23">
        <f t="shared" si="374"/>
        <v>0</v>
      </c>
      <c r="T471" s="23">
        <f t="shared" si="374"/>
        <v>0</v>
      </c>
      <c r="U471" s="23">
        <f t="shared" si="374"/>
        <v>0</v>
      </c>
      <c r="V471" s="23">
        <f t="shared" si="374"/>
        <v>0</v>
      </c>
      <c r="W471" s="23">
        <f t="shared" si="374"/>
        <v>0</v>
      </c>
      <c r="X471" s="23">
        <f t="shared" si="374"/>
        <v>0</v>
      </c>
      <c r="Y471" s="22" t="s">
        <v>1318</v>
      </c>
      <c r="Z471" s="24" t="s">
        <v>40</v>
      </c>
      <c r="AA471" s="25" t="s">
        <v>41</v>
      </c>
      <c r="AB471" s="25" t="s">
        <v>41</v>
      </c>
      <c r="AC471" s="26"/>
    </row>
    <row r="472" spans="1:29" ht="46.5" x14ac:dyDescent="0.25">
      <c r="A472" s="27" t="s">
        <v>1319</v>
      </c>
      <c r="B472" s="28" t="s">
        <v>1320</v>
      </c>
      <c r="C472" s="29" t="s">
        <v>279</v>
      </c>
      <c r="D472" s="29" t="s">
        <v>1051</v>
      </c>
      <c r="E472" s="30">
        <f>SUM(E473:E473)+5700</f>
        <v>5700</v>
      </c>
      <c r="F472" s="30">
        <f>SUM(F473:F473)+5700</f>
        <v>5700</v>
      </c>
      <c r="G472" s="30">
        <f t="shared" ref="G472:N472" si="375">SUM(G473:G473)</f>
        <v>0</v>
      </c>
      <c r="H472" s="30">
        <f t="shared" si="375"/>
        <v>0</v>
      </c>
      <c r="I472" s="30">
        <f t="shared" si="375"/>
        <v>0</v>
      </c>
      <c r="J472" s="30">
        <f t="shared" si="375"/>
        <v>0</v>
      </c>
      <c r="K472" s="30">
        <f t="shared" si="375"/>
        <v>0</v>
      </c>
      <c r="L472" s="30">
        <f t="shared" si="375"/>
        <v>0</v>
      </c>
      <c r="M472" s="30">
        <f t="shared" si="375"/>
        <v>0</v>
      </c>
      <c r="N472" s="30">
        <f t="shared" si="375"/>
        <v>0</v>
      </c>
      <c r="O472" s="30">
        <f>SUM(O473:O473)+5694.6</f>
        <v>5694.6</v>
      </c>
      <c r="P472" s="30">
        <f>SUM(P473:P473)+5694.6</f>
        <v>5694.6</v>
      </c>
      <c r="Q472" s="30">
        <f t="shared" ref="Q472:X472" si="376">SUM(Q473:Q473)</f>
        <v>0</v>
      </c>
      <c r="R472" s="30">
        <f t="shared" si="376"/>
        <v>0</v>
      </c>
      <c r="S472" s="30">
        <f t="shared" si="376"/>
        <v>0</v>
      </c>
      <c r="T472" s="30">
        <f t="shared" si="376"/>
        <v>0</v>
      </c>
      <c r="U472" s="30">
        <f t="shared" si="376"/>
        <v>0</v>
      </c>
      <c r="V472" s="30">
        <f t="shared" si="376"/>
        <v>0</v>
      </c>
      <c r="W472" s="30">
        <f t="shared" si="376"/>
        <v>0</v>
      </c>
      <c r="X472" s="30">
        <f t="shared" si="376"/>
        <v>0</v>
      </c>
      <c r="Y472" s="29" t="s">
        <v>1321</v>
      </c>
      <c r="Z472" s="31" t="s">
        <v>374</v>
      </c>
      <c r="AA472" s="32" t="s">
        <v>41</v>
      </c>
      <c r="AB472" s="32" t="s">
        <v>1322</v>
      </c>
      <c r="AC472" s="33"/>
    </row>
    <row r="473" spans="1:29" ht="46.5" x14ac:dyDescent="0.25">
      <c r="A473" s="34" t="s">
        <v>1323</v>
      </c>
      <c r="B473" s="35" t="s">
        <v>1324</v>
      </c>
      <c r="C473" s="36"/>
      <c r="D473" s="36"/>
      <c r="E473" s="37">
        <v>0</v>
      </c>
      <c r="F473" s="37">
        <v>0</v>
      </c>
      <c r="G473" s="37">
        <v>0</v>
      </c>
      <c r="H473" s="37">
        <v>0</v>
      </c>
      <c r="I473" s="37">
        <v>0</v>
      </c>
      <c r="J473" s="37">
        <v>0</v>
      </c>
      <c r="K473" s="37">
        <v>0</v>
      </c>
      <c r="L473" s="37">
        <v>0</v>
      </c>
      <c r="M473" s="37">
        <v>0</v>
      </c>
      <c r="N473" s="37">
        <v>0</v>
      </c>
      <c r="O473" s="37">
        <v>0</v>
      </c>
      <c r="P473" s="37">
        <v>0</v>
      </c>
      <c r="Q473" s="37">
        <v>0</v>
      </c>
      <c r="R473" s="37">
        <v>0</v>
      </c>
      <c r="S473" s="37">
        <v>0</v>
      </c>
      <c r="T473" s="37">
        <v>0</v>
      </c>
      <c r="U473" s="37">
        <v>0</v>
      </c>
      <c r="V473" s="37">
        <v>0</v>
      </c>
      <c r="W473" s="37">
        <v>0</v>
      </c>
      <c r="X473" s="37">
        <v>0</v>
      </c>
      <c r="Y473" s="36"/>
      <c r="Z473" s="38"/>
      <c r="AA473" s="39"/>
      <c r="AB473" s="39"/>
      <c r="AC473" s="40"/>
    </row>
    <row r="474" spans="1:29" ht="45" x14ac:dyDescent="0.25">
      <c r="A474" s="13" t="s">
        <v>1325</v>
      </c>
      <c r="B474" s="14" t="s">
        <v>1326</v>
      </c>
      <c r="C474" s="15" t="s">
        <v>279</v>
      </c>
      <c r="D474" s="15" t="s">
        <v>282</v>
      </c>
      <c r="E474" s="16">
        <f t="shared" ref="E474:X474" si="377">E475+E509+E512+E515+E520+E525</f>
        <v>5789284.6199999982</v>
      </c>
      <c r="F474" s="16">
        <f t="shared" si="377"/>
        <v>3931328.39</v>
      </c>
      <c r="G474" s="16">
        <f t="shared" si="377"/>
        <v>21856.23</v>
      </c>
      <c r="H474" s="16">
        <f t="shared" si="377"/>
        <v>0</v>
      </c>
      <c r="I474" s="16">
        <f t="shared" si="377"/>
        <v>0</v>
      </c>
      <c r="J474" s="16">
        <f t="shared" si="377"/>
        <v>0</v>
      </c>
      <c r="K474" s="16">
        <f t="shared" si="377"/>
        <v>0</v>
      </c>
      <c r="L474" s="16">
        <f t="shared" si="377"/>
        <v>1836100</v>
      </c>
      <c r="M474" s="16">
        <f t="shared" si="377"/>
        <v>0</v>
      </c>
      <c r="N474" s="16">
        <f t="shared" si="377"/>
        <v>0</v>
      </c>
      <c r="O474" s="16">
        <f t="shared" si="377"/>
        <v>5769917.9199999999</v>
      </c>
      <c r="P474" s="16">
        <f t="shared" si="377"/>
        <v>3915887.02</v>
      </c>
      <c r="Q474" s="16">
        <f t="shared" si="377"/>
        <v>0</v>
      </c>
      <c r="R474" s="16">
        <f t="shared" si="377"/>
        <v>0</v>
      </c>
      <c r="S474" s="16">
        <f t="shared" si="377"/>
        <v>0</v>
      </c>
      <c r="T474" s="16">
        <f t="shared" si="377"/>
        <v>0</v>
      </c>
      <c r="U474" s="16">
        <f t="shared" si="377"/>
        <v>0</v>
      </c>
      <c r="V474" s="16">
        <f t="shared" si="377"/>
        <v>1836032.15</v>
      </c>
      <c r="W474" s="16">
        <f t="shared" si="377"/>
        <v>0</v>
      </c>
      <c r="X474" s="16">
        <f t="shared" si="377"/>
        <v>0</v>
      </c>
      <c r="Y474" s="15" t="s">
        <v>1327</v>
      </c>
      <c r="Z474" s="17" t="s">
        <v>34</v>
      </c>
      <c r="AA474" s="18" t="s">
        <v>370</v>
      </c>
      <c r="AB474" s="18" t="s">
        <v>370</v>
      </c>
      <c r="AC474" s="19"/>
    </row>
    <row r="475" spans="1:29" ht="90" x14ac:dyDescent="0.25">
      <c r="A475" s="20" t="s">
        <v>1328</v>
      </c>
      <c r="B475" s="21" t="s">
        <v>1329</v>
      </c>
      <c r="C475" s="22" t="s">
        <v>279</v>
      </c>
      <c r="D475" s="22" t="s">
        <v>282</v>
      </c>
      <c r="E475" s="23">
        <f t="shared" ref="E475:X475" si="378">E476+E479+E481+E483+E485+E487+E489+E491+E493+E495+E497+E499+E501+E503+E505+E507</f>
        <v>5422148.0999999996</v>
      </c>
      <c r="F475" s="23">
        <f t="shared" si="378"/>
        <v>3582398.1</v>
      </c>
      <c r="G475" s="23">
        <f t="shared" si="378"/>
        <v>3650</v>
      </c>
      <c r="H475" s="23">
        <f t="shared" si="378"/>
        <v>0</v>
      </c>
      <c r="I475" s="23">
        <f t="shared" si="378"/>
        <v>0</v>
      </c>
      <c r="J475" s="23">
        <f t="shared" si="378"/>
        <v>0</v>
      </c>
      <c r="K475" s="23">
        <f t="shared" si="378"/>
        <v>0</v>
      </c>
      <c r="L475" s="23">
        <f t="shared" si="378"/>
        <v>1836100</v>
      </c>
      <c r="M475" s="23">
        <f t="shared" si="378"/>
        <v>0</v>
      </c>
      <c r="N475" s="23">
        <f t="shared" si="378"/>
        <v>0</v>
      </c>
      <c r="O475" s="23">
        <f t="shared" si="378"/>
        <v>5418384.5900000008</v>
      </c>
      <c r="P475" s="23">
        <f t="shared" si="378"/>
        <v>3582352.44</v>
      </c>
      <c r="Q475" s="23">
        <f t="shared" si="378"/>
        <v>0</v>
      </c>
      <c r="R475" s="23">
        <f t="shared" si="378"/>
        <v>0</v>
      </c>
      <c r="S475" s="23">
        <f t="shared" si="378"/>
        <v>0</v>
      </c>
      <c r="T475" s="23">
        <f t="shared" si="378"/>
        <v>0</v>
      </c>
      <c r="U475" s="23">
        <f t="shared" si="378"/>
        <v>0</v>
      </c>
      <c r="V475" s="23">
        <f t="shared" si="378"/>
        <v>1836032.15</v>
      </c>
      <c r="W475" s="23">
        <f t="shared" si="378"/>
        <v>0</v>
      </c>
      <c r="X475" s="23">
        <f t="shared" si="378"/>
        <v>0</v>
      </c>
      <c r="Y475" s="22" t="s">
        <v>1330</v>
      </c>
      <c r="Z475" s="24" t="s">
        <v>374</v>
      </c>
      <c r="AA475" s="25" t="s">
        <v>70</v>
      </c>
      <c r="AB475" s="25" t="s">
        <v>370</v>
      </c>
      <c r="AC475" s="26"/>
    </row>
    <row r="476" spans="1:29" ht="93" x14ac:dyDescent="0.25">
      <c r="A476" s="27" t="s">
        <v>1331</v>
      </c>
      <c r="B476" s="28" t="s">
        <v>1332</v>
      </c>
      <c r="C476" s="29" t="s">
        <v>279</v>
      </c>
      <c r="D476" s="29" t="s">
        <v>304</v>
      </c>
      <c r="E476" s="30">
        <f>SUM(E477:E478)+4450098.02</f>
        <v>4450098.0199999996</v>
      </c>
      <c r="F476" s="30">
        <f>SUM(F477:F478)+2610348.02</f>
        <v>2610348.02</v>
      </c>
      <c r="G476" s="30">
        <f>SUM(G477:G478)+3650</f>
        <v>3650</v>
      </c>
      <c r="H476" s="30">
        <f>SUM(H477:H478)</f>
        <v>0</v>
      </c>
      <c r="I476" s="30">
        <f>SUM(I477:I478)</f>
        <v>0</v>
      </c>
      <c r="J476" s="30">
        <f>SUM(J477:J478)</f>
        <v>0</v>
      </c>
      <c r="K476" s="30">
        <f>SUM(K477:K478)</f>
        <v>0</v>
      </c>
      <c r="L476" s="30">
        <f>SUM(L477:L478)+1836100</f>
        <v>1836100</v>
      </c>
      <c r="M476" s="30">
        <f>SUM(M477:M478)</f>
        <v>0</v>
      </c>
      <c r="N476" s="30">
        <f>SUM(N477:N478)</f>
        <v>0</v>
      </c>
      <c r="O476" s="30">
        <f>SUM(O477:O478)+4446379.79</f>
        <v>4446379.79</v>
      </c>
      <c r="P476" s="30">
        <f>SUM(P477:P478)+2610347.64</f>
        <v>2610347.64</v>
      </c>
      <c r="Q476" s="30">
        <f>SUM(Q477:Q478)</f>
        <v>0</v>
      </c>
      <c r="R476" s="30">
        <f>SUM(R477:R478)</f>
        <v>0</v>
      </c>
      <c r="S476" s="30">
        <f>SUM(S477:S478)</f>
        <v>0</v>
      </c>
      <c r="T476" s="30">
        <f>SUM(T477:T478)</f>
        <v>0</v>
      </c>
      <c r="U476" s="30">
        <f>SUM(U477:U478)</f>
        <v>0</v>
      </c>
      <c r="V476" s="30">
        <f>SUM(V477:V478)+1836032.15</f>
        <v>1836032.15</v>
      </c>
      <c r="W476" s="30">
        <f>SUM(W477:W478)</f>
        <v>0</v>
      </c>
      <c r="X476" s="30">
        <f>SUM(X477:X478)</f>
        <v>0</v>
      </c>
      <c r="Y476" s="29" t="s">
        <v>1333</v>
      </c>
      <c r="Z476" s="31" t="s">
        <v>374</v>
      </c>
      <c r="AA476" s="32" t="s">
        <v>1334</v>
      </c>
      <c r="AB476" s="32" t="s">
        <v>370</v>
      </c>
      <c r="AC476" s="33"/>
    </row>
    <row r="477" spans="1:29" ht="46.5" x14ac:dyDescent="0.25">
      <c r="A477" s="41"/>
      <c r="B477" s="42"/>
      <c r="C477" s="43"/>
      <c r="D477" s="43"/>
      <c r="E477" s="44">
        <v>0</v>
      </c>
      <c r="F477" s="44">
        <v>0</v>
      </c>
      <c r="G477" s="44">
        <v>0</v>
      </c>
      <c r="H477" s="44">
        <v>0</v>
      </c>
      <c r="I477" s="44">
        <v>0</v>
      </c>
      <c r="J477" s="44">
        <v>0</v>
      </c>
      <c r="K477" s="44">
        <v>0</v>
      </c>
      <c r="L477" s="44">
        <v>0</v>
      </c>
      <c r="M477" s="44">
        <v>0</v>
      </c>
      <c r="N477" s="44">
        <v>0</v>
      </c>
      <c r="O477" s="44">
        <v>0</v>
      </c>
      <c r="P477" s="44">
        <v>0</v>
      </c>
      <c r="Q477" s="44">
        <v>0</v>
      </c>
      <c r="R477" s="44">
        <v>0</v>
      </c>
      <c r="S477" s="44">
        <v>0</v>
      </c>
      <c r="T477" s="44">
        <v>0</v>
      </c>
      <c r="U477" s="44">
        <v>0</v>
      </c>
      <c r="V477" s="44">
        <v>0</v>
      </c>
      <c r="W477" s="44">
        <v>0</v>
      </c>
      <c r="X477" s="44">
        <v>0</v>
      </c>
      <c r="Y477" s="43" t="s">
        <v>1335</v>
      </c>
      <c r="Z477" s="45" t="s">
        <v>40</v>
      </c>
      <c r="AA477" s="46" t="s">
        <v>70</v>
      </c>
      <c r="AB477" s="46" t="s">
        <v>54</v>
      </c>
      <c r="AC477" s="47" t="s">
        <v>1336</v>
      </c>
    </row>
    <row r="478" spans="1:29" ht="186" x14ac:dyDescent="0.25">
      <c r="A478" s="34" t="s">
        <v>1337</v>
      </c>
      <c r="B478" s="35" t="s">
        <v>1338</v>
      </c>
      <c r="C478" s="36"/>
      <c r="D478" s="36"/>
      <c r="E478" s="37">
        <v>0</v>
      </c>
      <c r="F478" s="37">
        <v>0</v>
      </c>
      <c r="G478" s="37">
        <v>0</v>
      </c>
      <c r="H478" s="37">
        <v>0</v>
      </c>
      <c r="I478" s="37">
        <v>0</v>
      </c>
      <c r="J478" s="37">
        <v>0</v>
      </c>
      <c r="K478" s="37">
        <v>0</v>
      </c>
      <c r="L478" s="37">
        <v>0</v>
      </c>
      <c r="M478" s="37">
        <v>0</v>
      </c>
      <c r="N478" s="37">
        <v>0</v>
      </c>
      <c r="O478" s="37">
        <v>0</v>
      </c>
      <c r="P478" s="37">
        <v>0</v>
      </c>
      <c r="Q478" s="37">
        <v>0</v>
      </c>
      <c r="R478" s="37">
        <v>0</v>
      </c>
      <c r="S478" s="37">
        <v>0</v>
      </c>
      <c r="T478" s="37">
        <v>0</v>
      </c>
      <c r="U478" s="37">
        <v>0</v>
      </c>
      <c r="V478" s="37">
        <v>0</v>
      </c>
      <c r="W478" s="37">
        <v>0</v>
      </c>
      <c r="X478" s="37">
        <v>0</v>
      </c>
      <c r="Y478" s="36"/>
      <c r="Z478" s="38"/>
      <c r="AA478" s="39"/>
      <c r="AB478" s="39"/>
      <c r="AC478" s="40"/>
    </row>
    <row r="479" spans="1:29" ht="69.75" x14ac:dyDescent="0.25">
      <c r="A479" s="27" t="s">
        <v>1339</v>
      </c>
      <c r="B479" s="28" t="s">
        <v>1340</v>
      </c>
      <c r="C479" s="29" t="s">
        <v>827</v>
      </c>
      <c r="D479" s="29" t="s">
        <v>828</v>
      </c>
      <c r="E479" s="30">
        <f>SUM(E480:E480)+28370</f>
        <v>28370</v>
      </c>
      <c r="F479" s="30">
        <f>SUM(F480:F480)+28370</f>
        <v>28370</v>
      </c>
      <c r="G479" s="30">
        <f t="shared" ref="G479:N479" si="379">SUM(G480:G480)</f>
        <v>0</v>
      </c>
      <c r="H479" s="30">
        <f t="shared" si="379"/>
        <v>0</v>
      </c>
      <c r="I479" s="30">
        <f t="shared" si="379"/>
        <v>0</v>
      </c>
      <c r="J479" s="30">
        <f t="shared" si="379"/>
        <v>0</v>
      </c>
      <c r="K479" s="30">
        <f t="shared" si="379"/>
        <v>0</v>
      </c>
      <c r="L479" s="30">
        <f t="shared" si="379"/>
        <v>0</v>
      </c>
      <c r="M479" s="30">
        <f t="shared" si="379"/>
        <v>0</v>
      </c>
      <c r="N479" s="30">
        <f t="shared" si="379"/>
        <v>0</v>
      </c>
      <c r="O479" s="30">
        <f>SUM(O480:O480)+28353.07</f>
        <v>28353.07</v>
      </c>
      <c r="P479" s="30">
        <f>SUM(P480:P480)+28353.07</f>
        <v>28353.07</v>
      </c>
      <c r="Q479" s="30">
        <f t="shared" ref="Q479:X479" si="380">SUM(Q480:Q480)</f>
        <v>0</v>
      </c>
      <c r="R479" s="30">
        <f t="shared" si="380"/>
        <v>0</v>
      </c>
      <c r="S479" s="30">
        <f t="shared" si="380"/>
        <v>0</v>
      </c>
      <c r="T479" s="30">
        <f t="shared" si="380"/>
        <v>0</v>
      </c>
      <c r="U479" s="30">
        <f t="shared" si="380"/>
        <v>0</v>
      </c>
      <c r="V479" s="30">
        <f t="shared" si="380"/>
        <v>0</v>
      </c>
      <c r="W479" s="30">
        <f t="shared" si="380"/>
        <v>0</v>
      </c>
      <c r="X479" s="30">
        <f t="shared" si="380"/>
        <v>0</v>
      </c>
      <c r="Y479" s="29" t="s">
        <v>1341</v>
      </c>
      <c r="Z479" s="31" t="s">
        <v>374</v>
      </c>
      <c r="AA479" s="32" t="s">
        <v>1342</v>
      </c>
      <c r="AB479" s="32" t="s">
        <v>1342</v>
      </c>
      <c r="AC479" s="33"/>
    </row>
    <row r="480" spans="1:29" ht="46.5" x14ac:dyDescent="0.25">
      <c r="A480" s="34" t="s">
        <v>1343</v>
      </c>
      <c r="B480" s="35" t="s">
        <v>1344</v>
      </c>
      <c r="C480" s="36"/>
      <c r="D480" s="36"/>
      <c r="E480" s="37">
        <v>0</v>
      </c>
      <c r="F480" s="37">
        <v>0</v>
      </c>
      <c r="G480" s="37">
        <v>0</v>
      </c>
      <c r="H480" s="37">
        <v>0</v>
      </c>
      <c r="I480" s="37">
        <v>0</v>
      </c>
      <c r="J480" s="37">
        <v>0</v>
      </c>
      <c r="K480" s="37">
        <v>0</v>
      </c>
      <c r="L480" s="37">
        <v>0</v>
      </c>
      <c r="M480" s="37">
        <v>0</v>
      </c>
      <c r="N480" s="37">
        <v>0</v>
      </c>
      <c r="O480" s="37">
        <v>0</v>
      </c>
      <c r="P480" s="37">
        <v>0</v>
      </c>
      <c r="Q480" s="37">
        <v>0</v>
      </c>
      <c r="R480" s="37">
        <v>0</v>
      </c>
      <c r="S480" s="37">
        <v>0</v>
      </c>
      <c r="T480" s="37">
        <v>0</v>
      </c>
      <c r="U480" s="37">
        <v>0</v>
      </c>
      <c r="V480" s="37">
        <v>0</v>
      </c>
      <c r="W480" s="37">
        <v>0</v>
      </c>
      <c r="X480" s="37">
        <v>0</v>
      </c>
      <c r="Y480" s="36"/>
      <c r="Z480" s="38"/>
      <c r="AA480" s="39"/>
      <c r="AB480" s="39"/>
      <c r="AC480" s="40"/>
    </row>
    <row r="481" spans="1:29" ht="69.75" x14ac:dyDescent="0.25">
      <c r="A481" s="27" t="s">
        <v>1345</v>
      </c>
      <c r="B481" s="28" t="s">
        <v>1346</v>
      </c>
      <c r="C481" s="29" t="s">
        <v>836</v>
      </c>
      <c r="D481" s="29" t="s">
        <v>837</v>
      </c>
      <c r="E481" s="30">
        <f>SUM(E482:E482)+25310</f>
        <v>25310</v>
      </c>
      <c r="F481" s="30">
        <f>SUM(F482:F482)+25310</f>
        <v>25310</v>
      </c>
      <c r="G481" s="30">
        <f t="shared" ref="G481:N481" si="381">SUM(G482:G482)</f>
        <v>0</v>
      </c>
      <c r="H481" s="30">
        <f t="shared" si="381"/>
        <v>0</v>
      </c>
      <c r="I481" s="30">
        <f t="shared" si="381"/>
        <v>0</v>
      </c>
      <c r="J481" s="30">
        <f t="shared" si="381"/>
        <v>0</v>
      </c>
      <c r="K481" s="30">
        <f t="shared" si="381"/>
        <v>0</v>
      </c>
      <c r="L481" s="30">
        <f t="shared" si="381"/>
        <v>0</v>
      </c>
      <c r="M481" s="30">
        <f t="shared" si="381"/>
        <v>0</v>
      </c>
      <c r="N481" s="30">
        <f t="shared" si="381"/>
        <v>0</v>
      </c>
      <c r="O481" s="30">
        <f>SUM(O482:O482)+25299.9</f>
        <v>25299.9</v>
      </c>
      <c r="P481" s="30">
        <f>SUM(P482:P482)+25299.9</f>
        <v>25299.9</v>
      </c>
      <c r="Q481" s="30">
        <f t="shared" ref="Q481:X481" si="382">SUM(Q482:Q482)</f>
        <v>0</v>
      </c>
      <c r="R481" s="30">
        <f t="shared" si="382"/>
        <v>0</v>
      </c>
      <c r="S481" s="30">
        <f t="shared" si="382"/>
        <v>0</v>
      </c>
      <c r="T481" s="30">
        <f t="shared" si="382"/>
        <v>0</v>
      </c>
      <c r="U481" s="30">
        <f t="shared" si="382"/>
        <v>0</v>
      </c>
      <c r="V481" s="30">
        <f t="shared" si="382"/>
        <v>0</v>
      </c>
      <c r="W481" s="30">
        <f t="shared" si="382"/>
        <v>0</v>
      </c>
      <c r="X481" s="30">
        <f t="shared" si="382"/>
        <v>0</v>
      </c>
      <c r="Y481" s="29" t="s">
        <v>1341</v>
      </c>
      <c r="Z481" s="31" t="s">
        <v>374</v>
      </c>
      <c r="AA481" s="32" t="s">
        <v>1347</v>
      </c>
      <c r="AB481" s="32" t="s">
        <v>1347</v>
      </c>
      <c r="AC481" s="33"/>
    </row>
    <row r="482" spans="1:29" ht="46.5" x14ac:dyDescent="0.25">
      <c r="A482" s="34" t="s">
        <v>1348</v>
      </c>
      <c r="B482" s="35" t="s">
        <v>1344</v>
      </c>
      <c r="C482" s="36"/>
      <c r="D482" s="36"/>
      <c r="E482" s="37">
        <v>0</v>
      </c>
      <c r="F482" s="37">
        <v>0</v>
      </c>
      <c r="G482" s="37">
        <v>0</v>
      </c>
      <c r="H482" s="37">
        <v>0</v>
      </c>
      <c r="I482" s="37">
        <v>0</v>
      </c>
      <c r="J482" s="37">
        <v>0</v>
      </c>
      <c r="K482" s="37">
        <v>0</v>
      </c>
      <c r="L482" s="37">
        <v>0</v>
      </c>
      <c r="M482" s="37">
        <v>0</v>
      </c>
      <c r="N482" s="37">
        <v>0</v>
      </c>
      <c r="O482" s="37">
        <v>0</v>
      </c>
      <c r="P482" s="37">
        <v>0</v>
      </c>
      <c r="Q482" s="37">
        <v>0</v>
      </c>
      <c r="R482" s="37">
        <v>0</v>
      </c>
      <c r="S482" s="37">
        <v>0</v>
      </c>
      <c r="T482" s="37">
        <v>0</v>
      </c>
      <c r="U482" s="37">
        <v>0</v>
      </c>
      <c r="V482" s="37">
        <v>0</v>
      </c>
      <c r="W482" s="37">
        <v>0</v>
      </c>
      <c r="X482" s="37">
        <v>0</v>
      </c>
      <c r="Y482" s="36"/>
      <c r="Z482" s="38"/>
      <c r="AA482" s="39"/>
      <c r="AB482" s="39"/>
      <c r="AC482" s="40"/>
    </row>
    <row r="483" spans="1:29" ht="69.75" x14ac:dyDescent="0.25">
      <c r="A483" s="27" t="s">
        <v>1349</v>
      </c>
      <c r="B483" s="28" t="s">
        <v>1350</v>
      </c>
      <c r="C483" s="29" t="s">
        <v>98</v>
      </c>
      <c r="D483" s="29" t="s">
        <v>842</v>
      </c>
      <c r="E483" s="30">
        <f>SUM(E484:E484)+54790</f>
        <v>54790</v>
      </c>
      <c r="F483" s="30">
        <f>SUM(F484:F484)+54790</f>
        <v>54790</v>
      </c>
      <c r="G483" s="30">
        <f t="shared" ref="G483:N483" si="383">SUM(G484:G484)</f>
        <v>0</v>
      </c>
      <c r="H483" s="30">
        <f t="shared" si="383"/>
        <v>0</v>
      </c>
      <c r="I483" s="30">
        <f t="shared" si="383"/>
        <v>0</v>
      </c>
      <c r="J483" s="30">
        <f t="shared" si="383"/>
        <v>0</v>
      </c>
      <c r="K483" s="30">
        <f t="shared" si="383"/>
        <v>0</v>
      </c>
      <c r="L483" s="30">
        <f t="shared" si="383"/>
        <v>0</v>
      </c>
      <c r="M483" s="30">
        <f t="shared" si="383"/>
        <v>0</v>
      </c>
      <c r="N483" s="30">
        <f t="shared" si="383"/>
        <v>0</v>
      </c>
      <c r="O483" s="30">
        <f>SUM(O484:O484)+54790</f>
        <v>54790</v>
      </c>
      <c r="P483" s="30">
        <f>SUM(P484:P484)+54790</f>
        <v>54790</v>
      </c>
      <c r="Q483" s="30">
        <f t="shared" ref="Q483:X483" si="384">SUM(Q484:Q484)</f>
        <v>0</v>
      </c>
      <c r="R483" s="30">
        <f t="shared" si="384"/>
        <v>0</v>
      </c>
      <c r="S483" s="30">
        <f t="shared" si="384"/>
        <v>0</v>
      </c>
      <c r="T483" s="30">
        <f t="shared" si="384"/>
        <v>0</v>
      </c>
      <c r="U483" s="30">
        <f t="shared" si="384"/>
        <v>0</v>
      </c>
      <c r="V483" s="30">
        <f t="shared" si="384"/>
        <v>0</v>
      </c>
      <c r="W483" s="30">
        <f t="shared" si="384"/>
        <v>0</v>
      </c>
      <c r="X483" s="30">
        <f t="shared" si="384"/>
        <v>0</v>
      </c>
      <c r="Y483" s="29" t="s">
        <v>1341</v>
      </c>
      <c r="Z483" s="31" t="s">
        <v>374</v>
      </c>
      <c r="AA483" s="32" t="s">
        <v>1351</v>
      </c>
      <c r="AB483" s="32" t="s">
        <v>1351</v>
      </c>
      <c r="AC483" s="33"/>
    </row>
    <row r="484" spans="1:29" ht="46.5" x14ac:dyDescent="0.25">
      <c r="A484" s="34" t="s">
        <v>1352</v>
      </c>
      <c r="B484" s="35" t="s">
        <v>1344</v>
      </c>
      <c r="C484" s="36"/>
      <c r="D484" s="36"/>
      <c r="E484" s="37">
        <v>0</v>
      </c>
      <c r="F484" s="37">
        <v>0</v>
      </c>
      <c r="G484" s="37">
        <v>0</v>
      </c>
      <c r="H484" s="37">
        <v>0</v>
      </c>
      <c r="I484" s="37">
        <v>0</v>
      </c>
      <c r="J484" s="37">
        <v>0</v>
      </c>
      <c r="K484" s="37">
        <v>0</v>
      </c>
      <c r="L484" s="37">
        <v>0</v>
      </c>
      <c r="M484" s="37">
        <v>0</v>
      </c>
      <c r="N484" s="37">
        <v>0</v>
      </c>
      <c r="O484" s="37">
        <v>0</v>
      </c>
      <c r="P484" s="37">
        <v>0</v>
      </c>
      <c r="Q484" s="37">
        <v>0</v>
      </c>
      <c r="R484" s="37">
        <v>0</v>
      </c>
      <c r="S484" s="37">
        <v>0</v>
      </c>
      <c r="T484" s="37">
        <v>0</v>
      </c>
      <c r="U484" s="37">
        <v>0</v>
      </c>
      <c r="V484" s="37">
        <v>0</v>
      </c>
      <c r="W484" s="37">
        <v>0</v>
      </c>
      <c r="X484" s="37">
        <v>0</v>
      </c>
      <c r="Y484" s="36"/>
      <c r="Z484" s="38"/>
      <c r="AA484" s="39"/>
      <c r="AB484" s="39"/>
      <c r="AC484" s="40"/>
    </row>
    <row r="485" spans="1:29" ht="69.75" x14ac:dyDescent="0.25">
      <c r="A485" s="27" t="s">
        <v>1353</v>
      </c>
      <c r="B485" s="28" t="s">
        <v>1354</v>
      </c>
      <c r="C485" s="29" t="s">
        <v>847</v>
      </c>
      <c r="D485" s="29" t="s">
        <v>848</v>
      </c>
      <c r="E485" s="30">
        <f>SUM(E486:E486)+42190</f>
        <v>42190</v>
      </c>
      <c r="F485" s="30">
        <f>SUM(F486:F486)+42190</f>
        <v>42190</v>
      </c>
      <c r="G485" s="30">
        <f t="shared" ref="G485:N485" si="385">SUM(G486:G486)</f>
        <v>0</v>
      </c>
      <c r="H485" s="30">
        <f t="shared" si="385"/>
        <v>0</v>
      </c>
      <c r="I485" s="30">
        <f t="shared" si="385"/>
        <v>0</v>
      </c>
      <c r="J485" s="30">
        <f t="shared" si="385"/>
        <v>0</v>
      </c>
      <c r="K485" s="30">
        <f t="shared" si="385"/>
        <v>0</v>
      </c>
      <c r="L485" s="30">
        <f t="shared" si="385"/>
        <v>0</v>
      </c>
      <c r="M485" s="30">
        <f t="shared" si="385"/>
        <v>0</v>
      </c>
      <c r="N485" s="30">
        <f t="shared" si="385"/>
        <v>0</v>
      </c>
      <c r="O485" s="30">
        <f>SUM(O486:O486)+42189.74</f>
        <v>42189.74</v>
      </c>
      <c r="P485" s="30">
        <f>SUM(P486:P486)+42189.74</f>
        <v>42189.74</v>
      </c>
      <c r="Q485" s="30">
        <f t="shared" ref="Q485:X485" si="386">SUM(Q486:Q486)</f>
        <v>0</v>
      </c>
      <c r="R485" s="30">
        <f t="shared" si="386"/>
        <v>0</v>
      </c>
      <c r="S485" s="30">
        <f t="shared" si="386"/>
        <v>0</v>
      </c>
      <c r="T485" s="30">
        <f t="shared" si="386"/>
        <v>0</v>
      </c>
      <c r="U485" s="30">
        <f t="shared" si="386"/>
        <v>0</v>
      </c>
      <c r="V485" s="30">
        <f t="shared" si="386"/>
        <v>0</v>
      </c>
      <c r="W485" s="30">
        <f t="shared" si="386"/>
        <v>0</v>
      </c>
      <c r="X485" s="30">
        <f t="shared" si="386"/>
        <v>0</v>
      </c>
      <c r="Y485" s="29" t="s">
        <v>1341</v>
      </c>
      <c r="Z485" s="31" t="s">
        <v>374</v>
      </c>
      <c r="AA485" s="32" t="s">
        <v>1355</v>
      </c>
      <c r="AB485" s="32" t="s">
        <v>1355</v>
      </c>
      <c r="AC485" s="33"/>
    </row>
    <row r="486" spans="1:29" ht="46.5" x14ac:dyDescent="0.25">
      <c r="A486" s="34" t="s">
        <v>1356</v>
      </c>
      <c r="B486" s="35" t="s">
        <v>1344</v>
      </c>
      <c r="C486" s="36"/>
      <c r="D486" s="36"/>
      <c r="E486" s="37">
        <v>0</v>
      </c>
      <c r="F486" s="37">
        <v>0</v>
      </c>
      <c r="G486" s="37">
        <v>0</v>
      </c>
      <c r="H486" s="37">
        <v>0</v>
      </c>
      <c r="I486" s="37">
        <v>0</v>
      </c>
      <c r="J486" s="37">
        <v>0</v>
      </c>
      <c r="K486" s="37">
        <v>0</v>
      </c>
      <c r="L486" s="37">
        <v>0</v>
      </c>
      <c r="M486" s="37">
        <v>0</v>
      </c>
      <c r="N486" s="37">
        <v>0</v>
      </c>
      <c r="O486" s="37">
        <v>0</v>
      </c>
      <c r="P486" s="37">
        <v>0</v>
      </c>
      <c r="Q486" s="37">
        <v>0</v>
      </c>
      <c r="R486" s="37">
        <v>0</v>
      </c>
      <c r="S486" s="37">
        <v>0</v>
      </c>
      <c r="T486" s="37">
        <v>0</v>
      </c>
      <c r="U486" s="37">
        <v>0</v>
      </c>
      <c r="V486" s="37">
        <v>0</v>
      </c>
      <c r="W486" s="37">
        <v>0</v>
      </c>
      <c r="X486" s="37">
        <v>0</v>
      </c>
      <c r="Y486" s="36"/>
      <c r="Z486" s="38"/>
      <c r="AA486" s="39"/>
      <c r="AB486" s="39"/>
      <c r="AC486" s="40"/>
    </row>
    <row r="487" spans="1:29" ht="69.75" x14ac:dyDescent="0.25">
      <c r="A487" s="27" t="s">
        <v>1357</v>
      </c>
      <c r="B487" s="28" t="s">
        <v>1358</v>
      </c>
      <c r="C487" s="29" t="s">
        <v>105</v>
      </c>
      <c r="D487" s="29" t="s">
        <v>853</v>
      </c>
      <c r="E487" s="30">
        <f>SUM(E488:E488)+39680</f>
        <v>39680</v>
      </c>
      <c r="F487" s="30">
        <f>SUM(F488:F488)+39680</f>
        <v>39680</v>
      </c>
      <c r="G487" s="30">
        <f t="shared" ref="G487:N487" si="387">SUM(G488:G488)</f>
        <v>0</v>
      </c>
      <c r="H487" s="30">
        <f t="shared" si="387"/>
        <v>0</v>
      </c>
      <c r="I487" s="30">
        <f t="shared" si="387"/>
        <v>0</v>
      </c>
      <c r="J487" s="30">
        <f t="shared" si="387"/>
        <v>0</v>
      </c>
      <c r="K487" s="30">
        <f t="shared" si="387"/>
        <v>0</v>
      </c>
      <c r="L487" s="30">
        <f t="shared" si="387"/>
        <v>0</v>
      </c>
      <c r="M487" s="30">
        <f t="shared" si="387"/>
        <v>0</v>
      </c>
      <c r="N487" s="30">
        <f t="shared" si="387"/>
        <v>0</v>
      </c>
      <c r="O487" s="30">
        <f>SUM(O488:O488)+39672.55</f>
        <v>39672.550000000003</v>
      </c>
      <c r="P487" s="30">
        <f>SUM(P488:P488)+39672.55</f>
        <v>39672.550000000003</v>
      </c>
      <c r="Q487" s="30">
        <f t="shared" ref="Q487:X487" si="388">SUM(Q488:Q488)</f>
        <v>0</v>
      </c>
      <c r="R487" s="30">
        <f t="shared" si="388"/>
        <v>0</v>
      </c>
      <c r="S487" s="30">
        <f t="shared" si="388"/>
        <v>0</v>
      </c>
      <c r="T487" s="30">
        <f t="shared" si="388"/>
        <v>0</v>
      </c>
      <c r="U487" s="30">
        <f t="shared" si="388"/>
        <v>0</v>
      </c>
      <c r="V487" s="30">
        <f t="shared" si="388"/>
        <v>0</v>
      </c>
      <c r="W487" s="30">
        <f t="shared" si="388"/>
        <v>0</v>
      </c>
      <c r="X487" s="30">
        <f t="shared" si="388"/>
        <v>0</v>
      </c>
      <c r="Y487" s="29" t="s">
        <v>1341</v>
      </c>
      <c r="Z487" s="31" t="s">
        <v>374</v>
      </c>
      <c r="AA487" s="32" t="s">
        <v>1359</v>
      </c>
      <c r="AB487" s="32" t="s">
        <v>1359</v>
      </c>
      <c r="AC487" s="33"/>
    </row>
    <row r="488" spans="1:29" ht="46.5" x14ac:dyDescent="0.25">
      <c r="A488" s="34" t="s">
        <v>1360</v>
      </c>
      <c r="B488" s="35" t="s">
        <v>1344</v>
      </c>
      <c r="C488" s="36"/>
      <c r="D488" s="36"/>
      <c r="E488" s="37">
        <v>0</v>
      </c>
      <c r="F488" s="37">
        <v>0</v>
      </c>
      <c r="G488" s="37">
        <v>0</v>
      </c>
      <c r="H488" s="37">
        <v>0</v>
      </c>
      <c r="I488" s="37">
        <v>0</v>
      </c>
      <c r="J488" s="37">
        <v>0</v>
      </c>
      <c r="K488" s="37">
        <v>0</v>
      </c>
      <c r="L488" s="37">
        <v>0</v>
      </c>
      <c r="M488" s="37">
        <v>0</v>
      </c>
      <c r="N488" s="37">
        <v>0</v>
      </c>
      <c r="O488" s="37">
        <v>0</v>
      </c>
      <c r="P488" s="37">
        <v>0</v>
      </c>
      <c r="Q488" s="37">
        <v>0</v>
      </c>
      <c r="R488" s="37">
        <v>0</v>
      </c>
      <c r="S488" s="37">
        <v>0</v>
      </c>
      <c r="T488" s="37">
        <v>0</v>
      </c>
      <c r="U488" s="37">
        <v>0</v>
      </c>
      <c r="V488" s="37">
        <v>0</v>
      </c>
      <c r="W488" s="37">
        <v>0</v>
      </c>
      <c r="X488" s="37">
        <v>0</v>
      </c>
      <c r="Y488" s="36"/>
      <c r="Z488" s="38"/>
      <c r="AA488" s="39"/>
      <c r="AB488" s="39"/>
      <c r="AC488" s="40"/>
    </row>
    <row r="489" spans="1:29" ht="69.75" x14ac:dyDescent="0.25">
      <c r="A489" s="27" t="s">
        <v>1361</v>
      </c>
      <c r="B489" s="28" t="s">
        <v>1362</v>
      </c>
      <c r="C489" s="29" t="s">
        <v>110</v>
      </c>
      <c r="D489" s="29" t="s">
        <v>858</v>
      </c>
      <c r="E489" s="30">
        <f>SUM(E490:E490)+28480</f>
        <v>28480</v>
      </c>
      <c r="F489" s="30">
        <f>SUM(F490:F490)+28480</f>
        <v>28480</v>
      </c>
      <c r="G489" s="30">
        <f t="shared" ref="G489:N489" si="389">SUM(G490:G490)</f>
        <v>0</v>
      </c>
      <c r="H489" s="30">
        <f t="shared" si="389"/>
        <v>0</v>
      </c>
      <c r="I489" s="30">
        <f t="shared" si="389"/>
        <v>0</v>
      </c>
      <c r="J489" s="30">
        <f t="shared" si="389"/>
        <v>0</v>
      </c>
      <c r="K489" s="30">
        <f t="shared" si="389"/>
        <v>0</v>
      </c>
      <c r="L489" s="30">
        <f t="shared" si="389"/>
        <v>0</v>
      </c>
      <c r="M489" s="30">
        <f t="shared" si="389"/>
        <v>0</v>
      </c>
      <c r="N489" s="30">
        <f t="shared" si="389"/>
        <v>0</v>
      </c>
      <c r="O489" s="30">
        <f>SUM(O490:O490)+28478.94</f>
        <v>28478.94</v>
      </c>
      <c r="P489" s="30">
        <f>SUM(P490:P490)+28478.94</f>
        <v>28478.94</v>
      </c>
      <c r="Q489" s="30">
        <f t="shared" ref="Q489:X489" si="390">SUM(Q490:Q490)</f>
        <v>0</v>
      </c>
      <c r="R489" s="30">
        <f t="shared" si="390"/>
        <v>0</v>
      </c>
      <c r="S489" s="30">
        <f t="shared" si="390"/>
        <v>0</v>
      </c>
      <c r="T489" s="30">
        <f t="shared" si="390"/>
        <v>0</v>
      </c>
      <c r="U489" s="30">
        <f t="shared" si="390"/>
        <v>0</v>
      </c>
      <c r="V489" s="30">
        <f t="shared" si="390"/>
        <v>0</v>
      </c>
      <c r="W489" s="30">
        <f t="shared" si="390"/>
        <v>0</v>
      </c>
      <c r="X489" s="30">
        <f t="shared" si="390"/>
        <v>0</v>
      </c>
      <c r="Y489" s="29" t="s">
        <v>1341</v>
      </c>
      <c r="Z489" s="31" t="s">
        <v>374</v>
      </c>
      <c r="AA489" s="32" t="s">
        <v>1363</v>
      </c>
      <c r="AB489" s="32" t="s">
        <v>1363</v>
      </c>
      <c r="AC489" s="33"/>
    </row>
    <row r="490" spans="1:29" ht="46.5" x14ac:dyDescent="0.25">
      <c r="A490" s="34" t="s">
        <v>1364</v>
      </c>
      <c r="B490" s="35" t="s">
        <v>1344</v>
      </c>
      <c r="C490" s="36"/>
      <c r="D490" s="36"/>
      <c r="E490" s="37">
        <v>0</v>
      </c>
      <c r="F490" s="37">
        <v>0</v>
      </c>
      <c r="G490" s="37">
        <v>0</v>
      </c>
      <c r="H490" s="37">
        <v>0</v>
      </c>
      <c r="I490" s="37">
        <v>0</v>
      </c>
      <c r="J490" s="37">
        <v>0</v>
      </c>
      <c r="K490" s="37">
        <v>0</v>
      </c>
      <c r="L490" s="37">
        <v>0</v>
      </c>
      <c r="M490" s="37">
        <v>0</v>
      </c>
      <c r="N490" s="37">
        <v>0</v>
      </c>
      <c r="O490" s="37">
        <v>0</v>
      </c>
      <c r="P490" s="37">
        <v>0</v>
      </c>
      <c r="Q490" s="37">
        <v>0</v>
      </c>
      <c r="R490" s="37">
        <v>0</v>
      </c>
      <c r="S490" s="37">
        <v>0</v>
      </c>
      <c r="T490" s="37">
        <v>0</v>
      </c>
      <c r="U490" s="37">
        <v>0</v>
      </c>
      <c r="V490" s="37">
        <v>0</v>
      </c>
      <c r="W490" s="37">
        <v>0</v>
      </c>
      <c r="X490" s="37">
        <v>0</v>
      </c>
      <c r="Y490" s="36"/>
      <c r="Z490" s="38"/>
      <c r="AA490" s="39"/>
      <c r="AB490" s="39"/>
      <c r="AC490" s="40"/>
    </row>
    <row r="491" spans="1:29" ht="69.75" x14ac:dyDescent="0.25">
      <c r="A491" s="27" t="s">
        <v>1365</v>
      </c>
      <c r="B491" s="28" t="s">
        <v>1366</v>
      </c>
      <c r="C491" s="29" t="s">
        <v>117</v>
      </c>
      <c r="D491" s="29" t="s">
        <v>863</v>
      </c>
      <c r="E491" s="30">
        <f>SUM(E492:E492)+21050</f>
        <v>21050</v>
      </c>
      <c r="F491" s="30">
        <f>SUM(F492:F492)+21050</f>
        <v>21050</v>
      </c>
      <c r="G491" s="30">
        <f t="shared" ref="G491:N491" si="391">SUM(G492:G492)</f>
        <v>0</v>
      </c>
      <c r="H491" s="30">
        <f t="shared" si="391"/>
        <v>0</v>
      </c>
      <c r="I491" s="30">
        <f t="shared" si="391"/>
        <v>0</v>
      </c>
      <c r="J491" s="30">
        <f t="shared" si="391"/>
        <v>0</v>
      </c>
      <c r="K491" s="30">
        <f t="shared" si="391"/>
        <v>0</v>
      </c>
      <c r="L491" s="30">
        <f t="shared" si="391"/>
        <v>0</v>
      </c>
      <c r="M491" s="30">
        <f t="shared" si="391"/>
        <v>0</v>
      </c>
      <c r="N491" s="30">
        <f t="shared" si="391"/>
        <v>0</v>
      </c>
      <c r="O491" s="30">
        <f>SUM(O492:O492)+21050</f>
        <v>21050</v>
      </c>
      <c r="P491" s="30">
        <f>SUM(P492:P492)+21050</f>
        <v>21050</v>
      </c>
      <c r="Q491" s="30">
        <f t="shared" ref="Q491:X491" si="392">SUM(Q492:Q492)</f>
        <v>0</v>
      </c>
      <c r="R491" s="30">
        <f t="shared" si="392"/>
        <v>0</v>
      </c>
      <c r="S491" s="30">
        <f t="shared" si="392"/>
        <v>0</v>
      </c>
      <c r="T491" s="30">
        <f t="shared" si="392"/>
        <v>0</v>
      </c>
      <c r="U491" s="30">
        <f t="shared" si="392"/>
        <v>0</v>
      </c>
      <c r="V491" s="30">
        <f t="shared" si="392"/>
        <v>0</v>
      </c>
      <c r="W491" s="30">
        <f t="shared" si="392"/>
        <v>0</v>
      </c>
      <c r="X491" s="30">
        <f t="shared" si="392"/>
        <v>0</v>
      </c>
      <c r="Y491" s="29" t="s">
        <v>1341</v>
      </c>
      <c r="Z491" s="31" t="s">
        <v>374</v>
      </c>
      <c r="AA491" s="32" t="s">
        <v>1367</v>
      </c>
      <c r="AB491" s="32" t="s">
        <v>1367</v>
      </c>
      <c r="AC491" s="33"/>
    </row>
    <row r="492" spans="1:29" ht="46.5" x14ac:dyDescent="0.25">
      <c r="A492" s="34" t="s">
        <v>1368</v>
      </c>
      <c r="B492" s="35" t="s">
        <v>1344</v>
      </c>
      <c r="C492" s="36"/>
      <c r="D492" s="36"/>
      <c r="E492" s="37">
        <v>0</v>
      </c>
      <c r="F492" s="37">
        <v>0</v>
      </c>
      <c r="G492" s="37">
        <v>0</v>
      </c>
      <c r="H492" s="37">
        <v>0</v>
      </c>
      <c r="I492" s="37">
        <v>0</v>
      </c>
      <c r="J492" s="37">
        <v>0</v>
      </c>
      <c r="K492" s="37">
        <v>0</v>
      </c>
      <c r="L492" s="37">
        <v>0</v>
      </c>
      <c r="M492" s="37">
        <v>0</v>
      </c>
      <c r="N492" s="37">
        <v>0</v>
      </c>
      <c r="O492" s="37">
        <v>0</v>
      </c>
      <c r="P492" s="37">
        <v>0</v>
      </c>
      <c r="Q492" s="37">
        <v>0</v>
      </c>
      <c r="R492" s="37">
        <v>0</v>
      </c>
      <c r="S492" s="37">
        <v>0</v>
      </c>
      <c r="T492" s="37">
        <v>0</v>
      </c>
      <c r="U492" s="37">
        <v>0</v>
      </c>
      <c r="V492" s="37">
        <v>0</v>
      </c>
      <c r="W492" s="37">
        <v>0</v>
      </c>
      <c r="X492" s="37">
        <v>0</v>
      </c>
      <c r="Y492" s="36"/>
      <c r="Z492" s="38"/>
      <c r="AA492" s="39"/>
      <c r="AB492" s="39"/>
      <c r="AC492" s="40"/>
    </row>
    <row r="493" spans="1:29" ht="69.75" x14ac:dyDescent="0.25">
      <c r="A493" s="27" t="s">
        <v>1369</v>
      </c>
      <c r="B493" s="28" t="s">
        <v>1370</v>
      </c>
      <c r="C493" s="29" t="s">
        <v>868</v>
      </c>
      <c r="D493" s="29" t="s">
        <v>869</v>
      </c>
      <c r="E493" s="30">
        <f>SUM(E494:E494)+48340</f>
        <v>48340</v>
      </c>
      <c r="F493" s="30">
        <f>SUM(F494:F494)+48340</f>
        <v>48340</v>
      </c>
      <c r="G493" s="30">
        <f t="shared" ref="G493:N493" si="393">SUM(G494:G494)</f>
        <v>0</v>
      </c>
      <c r="H493" s="30">
        <f t="shared" si="393"/>
        <v>0</v>
      </c>
      <c r="I493" s="30">
        <f t="shared" si="393"/>
        <v>0</v>
      </c>
      <c r="J493" s="30">
        <f t="shared" si="393"/>
        <v>0</v>
      </c>
      <c r="K493" s="30">
        <f t="shared" si="393"/>
        <v>0</v>
      </c>
      <c r="L493" s="30">
        <f t="shared" si="393"/>
        <v>0</v>
      </c>
      <c r="M493" s="30">
        <f t="shared" si="393"/>
        <v>0</v>
      </c>
      <c r="N493" s="30">
        <f t="shared" si="393"/>
        <v>0</v>
      </c>
      <c r="O493" s="30">
        <f>SUM(O494:O494)+48339.95</f>
        <v>48339.95</v>
      </c>
      <c r="P493" s="30">
        <f>SUM(P494:P494)+48339.95</f>
        <v>48339.95</v>
      </c>
      <c r="Q493" s="30">
        <f t="shared" ref="Q493:X493" si="394">SUM(Q494:Q494)</f>
        <v>0</v>
      </c>
      <c r="R493" s="30">
        <f t="shared" si="394"/>
        <v>0</v>
      </c>
      <c r="S493" s="30">
        <f t="shared" si="394"/>
        <v>0</v>
      </c>
      <c r="T493" s="30">
        <f t="shared" si="394"/>
        <v>0</v>
      </c>
      <c r="U493" s="30">
        <f t="shared" si="394"/>
        <v>0</v>
      </c>
      <c r="V493" s="30">
        <f t="shared" si="394"/>
        <v>0</v>
      </c>
      <c r="W493" s="30">
        <f t="shared" si="394"/>
        <v>0</v>
      </c>
      <c r="X493" s="30">
        <f t="shared" si="394"/>
        <v>0</v>
      </c>
      <c r="Y493" s="29" t="s">
        <v>1341</v>
      </c>
      <c r="Z493" s="31" t="s">
        <v>374</v>
      </c>
      <c r="AA493" s="32" t="s">
        <v>1371</v>
      </c>
      <c r="AB493" s="32" t="s">
        <v>1371</v>
      </c>
      <c r="AC493" s="33"/>
    </row>
    <row r="494" spans="1:29" ht="46.5" x14ac:dyDescent="0.25">
      <c r="A494" s="34" t="s">
        <v>1372</v>
      </c>
      <c r="B494" s="35" t="s">
        <v>1344</v>
      </c>
      <c r="C494" s="36"/>
      <c r="D494" s="36"/>
      <c r="E494" s="37">
        <v>0</v>
      </c>
      <c r="F494" s="37">
        <v>0</v>
      </c>
      <c r="G494" s="37">
        <v>0</v>
      </c>
      <c r="H494" s="37">
        <v>0</v>
      </c>
      <c r="I494" s="37">
        <v>0</v>
      </c>
      <c r="J494" s="37">
        <v>0</v>
      </c>
      <c r="K494" s="37">
        <v>0</v>
      </c>
      <c r="L494" s="37">
        <v>0</v>
      </c>
      <c r="M494" s="37">
        <v>0</v>
      </c>
      <c r="N494" s="37">
        <v>0</v>
      </c>
      <c r="O494" s="37">
        <v>0</v>
      </c>
      <c r="P494" s="37">
        <v>0</v>
      </c>
      <c r="Q494" s="37">
        <v>0</v>
      </c>
      <c r="R494" s="37">
        <v>0</v>
      </c>
      <c r="S494" s="37">
        <v>0</v>
      </c>
      <c r="T494" s="37">
        <v>0</v>
      </c>
      <c r="U494" s="37">
        <v>0</v>
      </c>
      <c r="V494" s="37">
        <v>0</v>
      </c>
      <c r="W494" s="37">
        <v>0</v>
      </c>
      <c r="X494" s="37">
        <v>0</v>
      </c>
      <c r="Y494" s="36"/>
      <c r="Z494" s="38"/>
      <c r="AA494" s="39"/>
      <c r="AB494" s="39"/>
      <c r="AC494" s="40"/>
    </row>
    <row r="495" spans="1:29" ht="69.75" x14ac:dyDescent="0.25">
      <c r="A495" s="27" t="s">
        <v>1373</v>
      </c>
      <c r="B495" s="28" t="s">
        <v>1374</v>
      </c>
      <c r="C495" s="29" t="s">
        <v>874</v>
      </c>
      <c r="D495" s="29" t="s">
        <v>875</v>
      </c>
      <c r="E495" s="30">
        <f>SUM(E496:E496)+35130</f>
        <v>35130</v>
      </c>
      <c r="F495" s="30">
        <f>SUM(F496:F496)+35130</f>
        <v>35130</v>
      </c>
      <c r="G495" s="30">
        <f t="shared" ref="G495:N495" si="395">SUM(G496:G496)</f>
        <v>0</v>
      </c>
      <c r="H495" s="30">
        <f t="shared" si="395"/>
        <v>0</v>
      </c>
      <c r="I495" s="30">
        <f t="shared" si="395"/>
        <v>0</v>
      </c>
      <c r="J495" s="30">
        <f t="shared" si="395"/>
        <v>0</v>
      </c>
      <c r="K495" s="30">
        <f t="shared" si="395"/>
        <v>0</v>
      </c>
      <c r="L495" s="30">
        <f t="shared" si="395"/>
        <v>0</v>
      </c>
      <c r="M495" s="30">
        <f t="shared" si="395"/>
        <v>0</v>
      </c>
      <c r="N495" s="30">
        <f t="shared" si="395"/>
        <v>0</v>
      </c>
      <c r="O495" s="30">
        <f>SUM(O496:O496)+35130</f>
        <v>35130</v>
      </c>
      <c r="P495" s="30">
        <f>SUM(P496:P496)+35130</f>
        <v>35130</v>
      </c>
      <c r="Q495" s="30">
        <f t="shared" ref="Q495:X495" si="396">SUM(Q496:Q496)</f>
        <v>0</v>
      </c>
      <c r="R495" s="30">
        <f t="shared" si="396"/>
        <v>0</v>
      </c>
      <c r="S495" s="30">
        <f t="shared" si="396"/>
        <v>0</v>
      </c>
      <c r="T495" s="30">
        <f t="shared" si="396"/>
        <v>0</v>
      </c>
      <c r="U495" s="30">
        <f t="shared" si="396"/>
        <v>0</v>
      </c>
      <c r="V495" s="30">
        <f t="shared" si="396"/>
        <v>0</v>
      </c>
      <c r="W495" s="30">
        <f t="shared" si="396"/>
        <v>0</v>
      </c>
      <c r="X495" s="30">
        <f t="shared" si="396"/>
        <v>0</v>
      </c>
      <c r="Y495" s="29" t="s">
        <v>1341</v>
      </c>
      <c r="Z495" s="31" t="s">
        <v>374</v>
      </c>
      <c r="AA495" s="32" t="s">
        <v>1375</v>
      </c>
      <c r="AB495" s="32" t="s">
        <v>1375</v>
      </c>
      <c r="AC495" s="33"/>
    </row>
    <row r="496" spans="1:29" ht="46.5" x14ac:dyDescent="0.25">
      <c r="A496" s="34" t="s">
        <v>1376</v>
      </c>
      <c r="B496" s="35" t="s">
        <v>1344</v>
      </c>
      <c r="C496" s="36"/>
      <c r="D496" s="36"/>
      <c r="E496" s="37">
        <v>0</v>
      </c>
      <c r="F496" s="37">
        <v>0</v>
      </c>
      <c r="G496" s="37">
        <v>0</v>
      </c>
      <c r="H496" s="37">
        <v>0</v>
      </c>
      <c r="I496" s="37">
        <v>0</v>
      </c>
      <c r="J496" s="37">
        <v>0</v>
      </c>
      <c r="K496" s="37">
        <v>0</v>
      </c>
      <c r="L496" s="37">
        <v>0</v>
      </c>
      <c r="M496" s="37">
        <v>0</v>
      </c>
      <c r="N496" s="37">
        <v>0</v>
      </c>
      <c r="O496" s="37">
        <v>0</v>
      </c>
      <c r="P496" s="37">
        <v>0</v>
      </c>
      <c r="Q496" s="37">
        <v>0</v>
      </c>
      <c r="R496" s="37">
        <v>0</v>
      </c>
      <c r="S496" s="37">
        <v>0</v>
      </c>
      <c r="T496" s="37">
        <v>0</v>
      </c>
      <c r="U496" s="37">
        <v>0</v>
      </c>
      <c r="V496" s="37">
        <v>0</v>
      </c>
      <c r="W496" s="37">
        <v>0</v>
      </c>
      <c r="X496" s="37">
        <v>0</v>
      </c>
      <c r="Y496" s="36"/>
      <c r="Z496" s="38"/>
      <c r="AA496" s="39"/>
      <c r="AB496" s="39"/>
      <c r="AC496" s="40"/>
    </row>
    <row r="497" spans="1:29" ht="69.75" x14ac:dyDescent="0.25">
      <c r="A497" s="27" t="s">
        <v>1377</v>
      </c>
      <c r="B497" s="28" t="s">
        <v>1378</v>
      </c>
      <c r="C497" s="29" t="s">
        <v>880</v>
      </c>
      <c r="D497" s="29" t="s">
        <v>881</v>
      </c>
      <c r="E497" s="30">
        <f>SUM(E498:E498)+30350</f>
        <v>30350</v>
      </c>
      <c r="F497" s="30">
        <f>SUM(F498:F498)+30350</f>
        <v>30350</v>
      </c>
      <c r="G497" s="30">
        <f t="shared" ref="G497:N497" si="397">SUM(G498:G498)</f>
        <v>0</v>
      </c>
      <c r="H497" s="30">
        <f t="shared" si="397"/>
        <v>0</v>
      </c>
      <c r="I497" s="30">
        <f t="shared" si="397"/>
        <v>0</v>
      </c>
      <c r="J497" s="30">
        <f t="shared" si="397"/>
        <v>0</v>
      </c>
      <c r="K497" s="30">
        <f t="shared" si="397"/>
        <v>0</v>
      </c>
      <c r="L497" s="30">
        <f t="shared" si="397"/>
        <v>0</v>
      </c>
      <c r="M497" s="30">
        <f t="shared" si="397"/>
        <v>0</v>
      </c>
      <c r="N497" s="30">
        <f t="shared" si="397"/>
        <v>0</v>
      </c>
      <c r="O497" s="30">
        <f>SUM(O498:O498)+30349.67</f>
        <v>30349.67</v>
      </c>
      <c r="P497" s="30">
        <f>SUM(P498:P498)+30349.67</f>
        <v>30349.67</v>
      </c>
      <c r="Q497" s="30">
        <f t="shared" ref="Q497:X497" si="398">SUM(Q498:Q498)</f>
        <v>0</v>
      </c>
      <c r="R497" s="30">
        <f t="shared" si="398"/>
        <v>0</v>
      </c>
      <c r="S497" s="30">
        <f t="shared" si="398"/>
        <v>0</v>
      </c>
      <c r="T497" s="30">
        <f t="shared" si="398"/>
        <v>0</v>
      </c>
      <c r="U497" s="30">
        <f t="shared" si="398"/>
        <v>0</v>
      </c>
      <c r="V497" s="30">
        <f t="shared" si="398"/>
        <v>0</v>
      </c>
      <c r="W497" s="30">
        <f t="shared" si="398"/>
        <v>0</v>
      </c>
      <c r="X497" s="30">
        <f t="shared" si="398"/>
        <v>0</v>
      </c>
      <c r="Y497" s="29" t="s">
        <v>1341</v>
      </c>
      <c r="Z497" s="31" t="s">
        <v>374</v>
      </c>
      <c r="AA497" s="32" t="s">
        <v>1379</v>
      </c>
      <c r="AB497" s="32" t="s">
        <v>1379</v>
      </c>
      <c r="AC497" s="33"/>
    </row>
    <row r="498" spans="1:29" ht="46.5" x14ac:dyDescent="0.25">
      <c r="A498" s="34" t="s">
        <v>1380</v>
      </c>
      <c r="B498" s="35" t="s">
        <v>1344</v>
      </c>
      <c r="C498" s="36"/>
      <c r="D498" s="36"/>
      <c r="E498" s="37">
        <v>0</v>
      </c>
      <c r="F498" s="37">
        <v>0</v>
      </c>
      <c r="G498" s="37">
        <v>0</v>
      </c>
      <c r="H498" s="37">
        <v>0</v>
      </c>
      <c r="I498" s="37">
        <v>0</v>
      </c>
      <c r="J498" s="37">
        <v>0</v>
      </c>
      <c r="K498" s="37">
        <v>0</v>
      </c>
      <c r="L498" s="37">
        <v>0</v>
      </c>
      <c r="M498" s="37">
        <v>0</v>
      </c>
      <c r="N498" s="37">
        <v>0</v>
      </c>
      <c r="O498" s="37">
        <v>0</v>
      </c>
      <c r="P498" s="37">
        <v>0</v>
      </c>
      <c r="Q498" s="37">
        <v>0</v>
      </c>
      <c r="R498" s="37">
        <v>0</v>
      </c>
      <c r="S498" s="37">
        <v>0</v>
      </c>
      <c r="T498" s="37">
        <v>0</v>
      </c>
      <c r="U498" s="37">
        <v>0</v>
      </c>
      <c r="V498" s="37">
        <v>0</v>
      </c>
      <c r="W498" s="37">
        <v>0</v>
      </c>
      <c r="X498" s="37">
        <v>0</v>
      </c>
      <c r="Y498" s="36"/>
      <c r="Z498" s="38"/>
      <c r="AA498" s="39"/>
      <c r="AB498" s="39"/>
      <c r="AC498" s="40"/>
    </row>
    <row r="499" spans="1:29" ht="69.75" x14ac:dyDescent="0.25">
      <c r="A499" s="27" t="s">
        <v>1381</v>
      </c>
      <c r="B499" s="28" t="s">
        <v>1382</v>
      </c>
      <c r="C499" s="29" t="s">
        <v>888</v>
      </c>
      <c r="D499" s="29" t="s">
        <v>889</v>
      </c>
      <c r="E499" s="30">
        <f>SUM(E500:E500)+14100</f>
        <v>14100</v>
      </c>
      <c r="F499" s="30">
        <f>SUM(F500:F500)+14100</f>
        <v>14100</v>
      </c>
      <c r="G499" s="30">
        <f t="shared" ref="G499:N499" si="399">SUM(G500:G500)</f>
        <v>0</v>
      </c>
      <c r="H499" s="30">
        <f t="shared" si="399"/>
        <v>0</v>
      </c>
      <c r="I499" s="30">
        <f t="shared" si="399"/>
        <v>0</v>
      </c>
      <c r="J499" s="30">
        <f t="shared" si="399"/>
        <v>0</v>
      </c>
      <c r="K499" s="30">
        <f t="shared" si="399"/>
        <v>0</v>
      </c>
      <c r="L499" s="30">
        <f t="shared" si="399"/>
        <v>0</v>
      </c>
      <c r="M499" s="30">
        <f t="shared" si="399"/>
        <v>0</v>
      </c>
      <c r="N499" s="30">
        <f t="shared" si="399"/>
        <v>0</v>
      </c>
      <c r="O499" s="30">
        <f>SUM(O500:O500)+14091.77</f>
        <v>14091.77</v>
      </c>
      <c r="P499" s="30">
        <f>SUM(P500:P500)+14091.77</f>
        <v>14091.77</v>
      </c>
      <c r="Q499" s="30">
        <f t="shared" ref="Q499:X499" si="400">SUM(Q500:Q500)</f>
        <v>0</v>
      </c>
      <c r="R499" s="30">
        <f t="shared" si="400"/>
        <v>0</v>
      </c>
      <c r="S499" s="30">
        <f t="shared" si="400"/>
        <v>0</v>
      </c>
      <c r="T499" s="30">
        <f t="shared" si="400"/>
        <v>0</v>
      </c>
      <c r="U499" s="30">
        <f t="shared" si="400"/>
        <v>0</v>
      </c>
      <c r="V499" s="30">
        <f t="shared" si="400"/>
        <v>0</v>
      </c>
      <c r="W499" s="30">
        <f t="shared" si="400"/>
        <v>0</v>
      </c>
      <c r="X499" s="30">
        <f t="shared" si="400"/>
        <v>0</v>
      </c>
      <c r="Y499" s="29" t="s">
        <v>1341</v>
      </c>
      <c r="Z499" s="31" t="s">
        <v>374</v>
      </c>
      <c r="AA499" s="32" t="s">
        <v>1383</v>
      </c>
      <c r="AB499" s="32" t="s">
        <v>1383</v>
      </c>
      <c r="AC499" s="33"/>
    </row>
    <row r="500" spans="1:29" ht="46.5" x14ac:dyDescent="0.25">
      <c r="A500" s="34" t="s">
        <v>1384</v>
      </c>
      <c r="B500" s="35" t="s">
        <v>1344</v>
      </c>
      <c r="C500" s="36"/>
      <c r="D500" s="36"/>
      <c r="E500" s="37">
        <v>0</v>
      </c>
      <c r="F500" s="37">
        <v>0</v>
      </c>
      <c r="G500" s="37">
        <v>0</v>
      </c>
      <c r="H500" s="37">
        <v>0</v>
      </c>
      <c r="I500" s="37">
        <v>0</v>
      </c>
      <c r="J500" s="37">
        <v>0</v>
      </c>
      <c r="K500" s="37">
        <v>0</v>
      </c>
      <c r="L500" s="37">
        <v>0</v>
      </c>
      <c r="M500" s="37">
        <v>0</v>
      </c>
      <c r="N500" s="37">
        <v>0</v>
      </c>
      <c r="O500" s="37">
        <v>0</v>
      </c>
      <c r="P500" s="37">
        <v>0</v>
      </c>
      <c r="Q500" s="37">
        <v>0</v>
      </c>
      <c r="R500" s="37">
        <v>0</v>
      </c>
      <c r="S500" s="37">
        <v>0</v>
      </c>
      <c r="T500" s="37">
        <v>0</v>
      </c>
      <c r="U500" s="37">
        <v>0</v>
      </c>
      <c r="V500" s="37">
        <v>0</v>
      </c>
      <c r="W500" s="37">
        <v>0</v>
      </c>
      <c r="X500" s="37">
        <v>0</v>
      </c>
      <c r="Y500" s="36"/>
      <c r="Z500" s="38"/>
      <c r="AA500" s="39"/>
      <c r="AB500" s="39"/>
      <c r="AC500" s="40"/>
    </row>
    <row r="501" spans="1:29" ht="69.75" x14ac:dyDescent="0.25">
      <c r="A501" s="27" t="s">
        <v>1385</v>
      </c>
      <c r="B501" s="28" t="s">
        <v>1386</v>
      </c>
      <c r="C501" s="29" t="s">
        <v>894</v>
      </c>
      <c r="D501" s="29" t="s">
        <v>895</v>
      </c>
      <c r="E501" s="30">
        <f>SUM(E502:E502)+18458</f>
        <v>18458</v>
      </c>
      <c r="F501" s="30">
        <f>SUM(F502:F502)+18458</f>
        <v>18458</v>
      </c>
      <c r="G501" s="30">
        <f t="shared" ref="G501:N501" si="401">SUM(G502:G502)</f>
        <v>0</v>
      </c>
      <c r="H501" s="30">
        <f t="shared" si="401"/>
        <v>0</v>
      </c>
      <c r="I501" s="30">
        <f t="shared" si="401"/>
        <v>0</v>
      </c>
      <c r="J501" s="30">
        <f t="shared" si="401"/>
        <v>0</v>
      </c>
      <c r="K501" s="30">
        <f t="shared" si="401"/>
        <v>0</v>
      </c>
      <c r="L501" s="30">
        <f t="shared" si="401"/>
        <v>0</v>
      </c>
      <c r="M501" s="30">
        <f t="shared" si="401"/>
        <v>0</v>
      </c>
      <c r="N501" s="30">
        <f t="shared" si="401"/>
        <v>0</v>
      </c>
      <c r="O501" s="30">
        <f>SUM(O502:O502)+18458</f>
        <v>18458</v>
      </c>
      <c r="P501" s="30">
        <f>SUM(P502:P502)+18458</f>
        <v>18458</v>
      </c>
      <c r="Q501" s="30">
        <f t="shared" ref="Q501:X501" si="402">SUM(Q502:Q502)</f>
        <v>0</v>
      </c>
      <c r="R501" s="30">
        <f t="shared" si="402"/>
        <v>0</v>
      </c>
      <c r="S501" s="30">
        <f t="shared" si="402"/>
        <v>0</v>
      </c>
      <c r="T501" s="30">
        <f t="shared" si="402"/>
        <v>0</v>
      </c>
      <c r="U501" s="30">
        <f t="shared" si="402"/>
        <v>0</v>
      </c>
      <c r="V501" s="30">
        <f t="shared" si="402"/>
        <v>0</v>
      </c>
      <c r="W501" s="30">
        <f t="shared" si="402"/>
        <v>0</v>
      </c>
      <c r="X501" s="30">
        <f t="shared" si="402"/>
        <v>0</v>
      </c>
      <c r="Y501" s="29" t="s">
        <v>1341</v>
      </c>
      <c r="Z501" s="31" t="s">
        <v>374</v>
      </c>
      <c r="AA501" s="32" t="s">
        <v>1387</v>
      </c>
      <c r="AB501" s="32" t="s">
        <v>1387</v>
      </c>
      <c r="AC501" s="33"/>
    </row>
    <row r="502" spans="1:29" ht="46.5" x14ac:dyDescent="0.25">
      <c r="A502" s="34" t="s">
        <v>1388</v>
      </c>
      <c r="B502" s="35" t="s">
        <v>1344</v>
      </c>
      <c r="C502" s="36"/>
      <c r="D502" s="36"/>
      <c r="E502" s="37">
        <v>0</v>
      </c>
      <c r="F502" s="37">
        <v>0</v>
      </c>
      <c r="G502" s="37">
        <v>0</v>
      </c>
      <c r="H502" s="37">
        <v>0</v>
      </c>
      <c r="I502" s="37">
        <v>0</v>
      </c>
      <c r="J502" s="37">
        <v>0</v>
      </c>
      <c r="K502" s="37">
        <v>0</v>
      </c>
      <c r="L502" s="37">
        <v>0</v>
      </c>
      <c r="M502" s="37">
        <v>0</v>
      </c>
      <c r="N502" s="37">
        <v>0</v>
      </c>
      <c r="O502" s="37">
        <v>0</v>
      </c>
      <c r="P502" s="37">
        <v>0</v>
      </c>
      <c r="Q502" s="37">
        <v>0</v>
      </c>
      <c r="R502" s="37">
        <v>0</v>
      </c>
      <c r="S502" s="37">
        <v>0</v>
      </c>
      <c r="T502" s="37">
        <v>0</v>
      </c>
      <c r="U502" s="37">
        <v>0</v>
      </c>
      <c r="V502" s="37">
        <v>0</v>
      </c>
      <c r="W502" s="37">
        <v>0</v>
      </c>
      <c r="X502" s="37">
        <v>0</v>
      </c>
      <c r="Y502" s="36"/>
      <c r="Z502" s="38"/>
      <c r="AA502" s="39"/>
      <c r="AB502" s="39"/>
      <c r="AC502" s="40"/>
    </row>
    <row r="503" spans="1:29" ht="69.75" x14ac:dyDescent="0.25">
      <c r="A503" s="27" t="s">
        <v>1389</v>
      </c>
      <c r="B503" s="28" t="s">
        <v>1390</v>
      </c>
      <c r="C503" s="29" t="s">
        <v>900</v>
      </c>
      <c r="D503" s="29" t="s">
        <v>901</v>
      </c>
      <c r="E503" s="30">
        <f>SUM(E504:E504)+82680</f>
        <v>82680</v>
      </c>
      <c r="F503" s="30">
        <f>SUM(F504:F504)+82680</f>
        <v>82680</v>
      </c>
      <c r="G503" s="30">
        <f t="shared" ref="G503:N503" si="403">SUM(G504:G504)</f>
        <v>0</v>
      </c>
      <c r="H503" s="30">
        <f t="shared" si="403"/>
        <v>0</v>
      </c>
      <c r="I503" s="30">
        <f t="shared" si="403"/>
        <v>0</v>
      </c>
      <c r="J503" s="30">
        <f t="shared" si="403"/>
        <v>0</v>
      </c>
      <c r="K503" s="30">
        <f t="shared" si="403"/>
        <v>0</v>
      </c>
      <c r="L503" s="30">
        <f t="shared" si="403"/>
        <v>0</v>
      </c>
      <c r="M503" s="30">
        <f t="shared" si="403"/>
        <v>0</v>
      </c>
      <c r="N503" s="30">
        <f t="shared" si="403"/>
        <v>0</v>
      </c>
      <c r="O503" s="30">
        <f>SUM(O504:O504)+82680</f>
        <v>82680</v>
      </c>
      <c r="P503" s="30">
        <f>SUM(P504:P504)+82680</f>
        <v>82680</v>
      </c>
      <c r="Q503" s="30">
        <f t="shared" ref="Q503:X503" si="404">SUM(Q504:Q504)</f>
        <v>0</v>
      </c>
      <c r="R503" s="30">
        <f t="shared" si="404"/>
        <v>0</v>
      </c>
      <c r="S503" s="30">
        <f t="shared" si="404"/>
        <v>0</v>
      </c>
      <c r="T503" s="30">
        <f t="shared" si="404"/>
        <v>0</v>
      </c>
      <c r="U503" s="30">
        <f t="shared" si="404"/>
        <v>0</v>
      </c>
      <c r="V503" s="30">
        <f t="shared" si="404"/>
        <v>0</v>
      </c>
      <c r="W503" s="30">
        <f t="shared" si="404"/>
        <v>0</v>
      </c>
      <c r="X503" s="30">
        <f t="shared" si="404"/>
        <v>0</v>
      </c>
      <c r="Y503" s="29" t="s">
        <v>1341</v>
      </c>
      <c r="Z503" s="31" t="s">
        <v>374</v>
      </c>
      <c r="AA503" s="32" t="s">
        <v>1391</v>
      </c>
      <c r="AB503" s="32" t="s">
        <v>1391</v>
      </c>
      <c r="AC503" s="33"/>
    </row>
    <row r="504" spans="1:29" ht="46.5" x14ac:dyDescent="0.25">
      <c r="A504" s="34" t="s">
        <v>1392</v>
      </c>
      <c r="B504" s="35" t="s">
        <v>1344</v>
      </c>
      <c r="C504" s="36"/>
      <c r="D504" s="36"/>
      <c r="E504" s="37">
        <v>0</v>
      </c>
      <c r="F504" s="37">
        <v>0</v>
      </c>
      <c r="G504" s="37">
        <v>0</v>
      </c>
      <c r="H504" s="37">
        <v>0</v>
      </c>
      <c r="I504" s="37">
        <v>0</v>
      </c>
      <c r="J504" s="37">
        <v>0</v>
      </c>
      <c r="K504" s="37">
        <v>0</v>
      </c>
      <c r="L504" s="37">
        <v>0</v>
      </c>
      <c r="M504" s="37">
        <v>0</v>
      </c>
      <c r="N504" s="37">
        <v>0</v>
      </c>
      <c r="O504" s="37">
        <v>0</v>
      </c>
      <c r="P504" s="37">
        <v>0</v>
      </c>
      <c r="Q504" s="37">
        <v>0</v>
      </c>
      <c r="R504" s="37">
        <v>0</v>
      </c>
      <c r="S504" s="37">
        <v>0</v>
      </c>
      <c r="T504" s="37">
        <v>0</v>
      </c>
      <c r="U504" s="37">
        <v>0</v>
      </c>
      <c r="V504" s="37">
        <v>0</v>
      </c>
      <c r="W504" s="37">
        <v>0</v>
      </c>
      <c r="X504" s="37">
        <v>0</v>
      </c>
      <c r="Y504" s="36"/>
      <c r="Z504" s="38"/>
      <c r="AA504" s="39"/>
      <c r="AB504" s="39"/>
      <c r="AC504" s="40"/>
    </row>
    <row r="505" spans="1:29" ht="69.75" x14ac:dyDescent="0.25">
      <c r="A505" s="27" t="s">
        <v>1393</v>
      </c>
      <c r="B505" s="28" t="s">
        <v>1394</v>
      </c>
      <c r="C505" s="29" t="s">
        <v>906</v>
      </c>
      <c r="D505" s="29" t="s">
        <v>907</v>
      </c>
      <c r="E505" s="30">
        <f>SUM(E506:E506)+16820</f>
        <v>16820</v>
      </c>
      <c r="F505" s="30">
        <f>SUM(F506:F506)+16820</f>
        <v>16820</v>
      </c>
      <c r="G505" s="30">
        <f t="shared" ref="G505:N505" si="405">SUM(G506:G506)</f>
        <v>0</v>
      </c>
      <c r="H505" s="30">
        <f t="shared" si="405"/>
        <v>0</v>
      </c>
      <c r="I505" s="30">
        <f t="shared" si="405"/>
        <v>0</v>
      </c>
      <c r="J505" s="30">
        <f t="shared" si="405"/>
        <v>0</v>
      </c>
      <c r="K505" s="30">
        <f t="shared" si="405"/>
        <v>0</v>
      </c>
      <c r="L505" s="30">
        <f t="shared" si="405"/>
        <v>0</v>
      </c>
      <c r="M505" s="30">
        <f t="shared" si="405"/>
        <v>0</v>
      </c>
      <c r="N505" s="30">
        <f t="shared" si="405"/>
        <v>0</v>
      </c>
      <c r="O505" s="30">
        <f>SUM(O506:O506)+16820</f>
        <v>16820</v>
      </c>
      <c r="P505" s="30">
        <f>SUM(P506:P506)+16820</f>
        <v>16820</v>
      </c>
      <c r="Q505" s="30">
        <f t="shared" ref="Q505:X505" si="406">SUM(Q506:Q506)</f>
        <v>0</v>
      </c>
      <c r="R505" s="30">
        <f t="shared" si="406"/>
        <v>0</v>
      </c>
      <c r="S505" s="30">
        <f t="shared" si="406"/>
        <v>0</v>
      </c>
      <c r="T505" s="30">
        <f t="shared" si="406"/>
        <v>0</v>
      </c>
      <c r="U505" s="30">
        <f t="shared" si="406"/>
        <v>0</v>
      </c>
      <c r="V505" s="30">
        <f t="shared" si="406"/>
        <v>0</v>
      </c>
      <c r="W505" s="30">
        <f t="shared" si="406"/>
        <v>0</v>
      </c>
      <c r="X505" s="30">
        <f t="shared" si="406"/>
        <v>0</v>
      </c>
      <c r="Y505" s="29" t="s">
        <v>1341</v>
      </c>
      <c r="Z505" s="31" t="s">
        <v>374</v>
      </c>
      <c r="AA505" s="32" t="s">
        <v>1395</v>
      </c>
      <c r="AB505" s="32" t="s">
        <v>1395</v>
      </c>
      <c r="AC505" s="33"/>
    </row>
    <row r="506" spans="1:29" ht="46.5" x14ac:dyDescent="0.25">
      <c r="A506" s="34" t="s">
        <v>1396</v>
      </c>
      <c r="B506" s="35" t="s">
        <v>1344</v>
      </c>
      <c r="C506" s="36"/>
      <c r="D506" s="36"/>
      <c r="E506" s="37">
        <v>0</v>
      </c>
      <c r="F506" s="37">
        <v>0</v>
      </c>
      <c r="G506" s="37">
        <v>0</v>
      </c>
      <c r="H506" s="37">
        <v>0</v>
      </c>
      <c r="I506" s="37">
        <v>0</v>
      </c>
      <c r="J506" s="37">
        <v>0</v>
      </c>
      <c r="K506" s="37">
        <v>0</v>
      </c>
      <c r="L506" s="37">
        <v>0</v>
      </c>
      <c r="M506" s="37">
        <v>0</v>
      </c>
      <c r="N506" s="37">
        <v>0</v>
      </c>
      <c r="O506" s="37">
        <v>0</v>
      </c>
      <c r="P506" s="37">
        <v>0</v>
      </c>
      <c r="Q506" s="37">
        <v>0</v>
      </c>
      <c r="R506" s="37">
        <v>0</v>
      </c>
      <c r="S506" s="37">
        <v>0</v>
      </c>
      <c r="T506" s="37">
        <v>0</v>
      </c>
      <c r="U506" s="37">
        <v>0</v>
      </c>
      <c r="V506" s="37">
        <v>0</v>
      </c>
      <c r="W506" s="37">
        <v>0</v>
      </c>
      <c r="X506" s="37">
        <v>0</v>
      </c>
      <c r="Y506" s="36"/>
      <c r="Z506" s="38"/>
      <c r="AA506" s="39"/>
      <c r="AB506" s="39"/>
      <c r="AC506" s="40"/>
    </row>
    <row r="507" spans="1:29" ht="93" x14ac:dyDescent="0.25">
      <c r="A507" s="27" t="s">
        <v>1397</v>
      </c>
      <c r="B507" s="28" t="s">
        <v>1398</v>
      </c>
      <c r="C507" s="29" t="s">
        <v>279</v>
      </c>
      <c r="D507" s="29" t="s">
        <v>282</v>
      </c>
      <c r="E507" s="30">
        <f>SUM(E508:E508)+486302.08</f>
        <v>486302.08</v>
      </c>
      <c r="F507" s="30">
        <f>SUM(F508:F508)+486302.08</f>
        <v>486302.08</v>
      </c>
      <c r="G507" s="30">
        <f t="shared" ref="G507:N507" si="407">SUM(G508:G508)</f>
        <v>0</v>
      </c>
      <c r="H507" s="30">
        <f t="shared" si="407"/>
        <v>0</v>
      </c>
      <c r="I507" s="30">
        <f t="shared" si="407"/>
        <v>0</v>
      </c>
      <c r="J507" s="30">
        <f t="shared" si="407"/>
        <v>0</v>
      </c>
      <c r="K507" s="30">
        <f t="shared" si="407"/>
        <v>0</v>
      </c>
      <c r="L507" s="30">
        <f t="shared" si="407"/>
        <v>0</v>
      </c>
      <c r="M507" s="30">
        <f t="shared" si="407"/>
        <v>0</v>
      </c>
      <c r="N507" s="30">
        <f t="shared" si="407"/>
        <v>0</v>
      </c>
      <c r="O507" s="30">
        <f>SUM(O508:O508)+486301.21</f>
        <v>486301.21</v>
      </c>
      <c r="P507" s="30">
        <f>SUM(P508:P508)+486301.21</f>
        <v>486301.21</v>
      </c>
      <c r="Q507" s="30">
        <f t="shared" ref="Q507:X507" si="408">SUM(Q508:Q508)</f>
        <v>0</v>
      </c>
      <c r="R507" s="30">
        <f t="shared" si="408"/>
        <v>0</v>
      </c>
      <c r="S507" s="30">
        <f t="shared" si="408"/>
        <v>0</v>
      </c>
      <c r="T507" s="30">
        <f t="shared" si="408"/>
        <v>0</v>
      </c>
      <c r="U507" s="30">
        <f t="shared" si="408"/>
        <v>0</v>
      </c>
      <c r="V507" s="30">
        <f t="shared" si="408"/>
        <v>0</v>
      </c>
      <c r="W507" s="30">
        <f t="shared" si="408"/>
        <v>0</v>
      </c>
      <c r="X507" s="30">
        <f t="shared" si="408"/>
        <v>0</v>
      </c>
      <c r="Y507" s="29" t="s">
        <v>1399</v>
      </c>
      <c r="Z507" s="31" t="s">
        <v>40</v>
      </c>
      <c r="AA507" s="32" t="s">
        <v>41</v>
      </c>
      <c r="AB507" s="32" t="s">
        <v>69</v>
      </c>
      <c r="AC507" s="33"/>
    </row>
    <row r="508" spans="1:29" ht="46.5" x14ac:dyDescent="0.25">
      <c r="A508" s="34" t="s">
        <v>1400</v>
      </c>
      <c r="B508" s="35" t="s">
        <v>1401</v>
      </c>
      <c r="C508" s="36"/>
      <c r="D508" s="36"/>
      <c r="E508" s="37">
        <v>0</v>
      </c>
      <c r="F508" s="37">
        <v>0</v>
      </c>
      <c r="G508" s="37">
        <v>0</v>
      </c>
      <c r="H508" s="37">
        <v>0</v>
      </c>
      <c r="I508" s="37">
        <v>0</v>
      </c>
      <c r="J508" s="37">
        <v>0</v>
      </c>
      <c r="K508" s="37">
        <v>0</v>
      </c>
      <c r="L508" s="37">
        <v>0</v>
      </c>
      <c r="M508" s="37">
        <v>0</v>
      </c>
      <c r="N508" s="37">
        <v>0</v>
      </c>
      <c r="O508" s="37">
        <v>0</v>
      </c>
      <c r="P508" s="37">
        <v>0</v>
      </c>
      <c r="Q508" s="37">
        <v>0</v>
      </c>
      <c r="R508" s="37">
        <v>0</v>
      </c>
      <c r="S508" s="37">
        <v>0</v>
      </c>
      <c r="T508" s="37">
        <v>0</v>
      </c>
      <c r="U508" s="37">
        <v>0</v>
      </c>
      <c r="V508" s="37">
        <v>0</v>
      </c>
      <c r="W508" s="37">
        <v>0</v>
      </c>
      <c r="X508" s="37">
        <v>0</v>
      </c>
      <c r="Y508" s="36"/>
      <c r="Z508" s="38"/>
      <c r="AA508" s="39"/>
      <c r="AB508" s="39"/>
      <c r="AC508" s="40"/>
    </row>
    <row r="509" spans="1:29" ht="67.5" x14ac:dyDescent="0.25">
      <c r="A509" s="20" t="s">
        <v>1402</v>
      </c>
      <c r="B509" s="21" t="s">
        <v>1403</v>
      </c>
      <c r="C509" s="22" t="s">
        <v>279</v>
      </c>
      <c r="D509" s="22" t="s">
        <v>304</v>
      </c>
      <c r="E509" s="23">
        <f t="shared" ref="E509:X509" si="409">SUM(E510:E510)</f>
        <v>148749.06</v>
      </c>
      <c r="F509" s="23">
        <f t="shared" si="409"/>
        <v>148749.06</v>
      </c>
      <c r="G509" s="23">
        <f t="shared" si="409"/>
        <v>0</v>
      </c>
      <c r="H509" s="23">
        <f t="shared" si="409"/>
        <v>0</v>
      </c>
      <c r="I509" s="23">
        <f t="shared" si="409"/>
        <v>0</v>
      </c>
      <c r="J509" s="23">
        <f t="shared" si="409"/>
        <v>0</v>
      </c>
      <c r="K509" s="23">
        <f t="shared" si="409"/>
        <v>0</v>
      </c>
      <c r="L509" s="23">
        <f t="shared" si="409"/>
        <v>0</v>
      </c>
      <c r="M509" s="23">
        <f t="shared" si="409"/>
        <v>0</v>
      </c>
      <c r="N509" s="23">
        <f t="shared" si="409"/>
        <v>0</v>
      </c>
      <c r="O509" s="23">
        <f t="shared" si="409"/>
        <v>148749.06</v>
      </c>
      <c r="P509" s="23">
        <f t="shared" si="409"/>
        <v>148749.06</v>
      </c>
      <c r="Q509" s="23">
        <f t="shared" si="409"/>
        <v>0</v>
      </c>
      <c r="R509" s="23">
        <f t="shared" si="409"/>
        <v>0</v>
      </c>
      <c r="S509" s="23">
        <f t="shared" si="409"/>
        <v>0</v>
      </c>
      <c r="T509" s="23">
        <f t="shared" si="409"/>
        <v>0</v>
      </c>
      <c r="U509" s="23">
        <f t="shared" si="409"/>
        <v>0</v>
      </c>
      <c r="V509" s="23">
        <f t="shared" si="409"/>
        <v>0</v>
      </c>
      <c r="W509" s="23">
        <f t="shared" si="409"/>
        <v>0</v>
      </c>
      <c r="X509" s="23">
        <f t="shared" si="409"/>
        <v>0</v>
      </c>
      <c r="Y509" s="22" t="s">
        <v>1404</v>
      </c>
      <c r="Z509" s="24" t="s">
        <v>374</v>
      </c>
      <c r="AA509" s="25" t="s">
        <v>41</v>
      </c>
      <c r="AB509" s="25" t="s">
        <v>70</v>
      </c>
      <c r="AC509" s="26"/>
    </row>
    <row r="510" spans="1:29" ht="69.75" x14ac:dyDescent="0.25">
      <c r="A510" s="27" t="s">
        <v>1405</v>
      </c>
      <c r="B510" s="28" t="s">
        <v>1406</v>
      </c>
      <c r="C510" s="29" t="s">
        <v>279</v>
      </c>
      <c r="D510" s="29" t="s">
        <v>304</v>
      </c>
      <c r="E510" s="30">
        <f>SUM(E511:E511)+148749.06</f>
        <v>148749.06</v>
      </c>
      <c r="F510" s="30">
        <f>SUM(F511:F511)+148749.06</f>
        <v>148749.06</v>
      </c>
      <c r="G510" s="30">
        <f t="shared" ref="G510:N510" si="410">SUM(G511:G511)</f>
        <v>0</v>
      </c>
      <c r="H510" s="30">
        <f t="shared" si="410"/>
        <v>0</v>
      </c>
      <c r="I510" s="30">
        <f t="shared" si="410"/>
        <v>0</v>
      </c>
      <c r="J510" s="30">
        <f t="shared" si="410"/>
        <v>0</v>
      </c>
      <c r="K510" s="30">
        <f t="shared" si="410"/>
        <v>0</v>
      </c>
      <c r="L510" s="30">
        <f t="shared" si="410"/>
        <v>0</v>
      </c>
      <c r="M510" s="30">
        <f t="shared" si="410"/>
        <v>0</v>
      </c>
      <c r="N510" s="30">
        <f t="shared" si="410"/>
        <v>0</v>
      </c>
      <c r="O510" s="30">
        <f>SUM(O511:O511)+148749.06</f>
        <v>148749.06</v>
      </c>
      <c r="P510" s="30">
        <f>SUM(P511:P511)+148749.06</f>
        <v>148749.06</v>
      </c>
      <c r="Q510" s="30">
        <f t="shared" ref="Q510:X510" si="411">SUM(Q511:Q511)</f>
        <v>0</v>
      </c>
      <c r="R510" s="30">
        <f t="shared" si="411"/>
        <v>0</v>
      </c>
      <c r="S510" s="30">
        <f t="shared" si="411"/>
        <v>0</v>
      </c>
      <c r="T510" s="30">
        <f t="shared" si="411"/>
        <v>0</v>
      </c>
      <c r="U510" s="30">
        <f t="shared" si="411"/>
        <v>0</v>
      </c>
      <c r="V510" s="30">
        <f t="shared" si="411"/>
        <v>0</v>
      </c>
      <c r="W510" s="30">
        <f t="shared" si="411"/>
        <v>0</v>
      </c>
      <c r="X510" s="30">
        <f t="shared" si="411"/>
        <v>0</v>
      </c>
      <c r="Y510" s="29" t="s">
        <v>1407</v>
      </c>
      <c r="Z510" s="31" t="s">
        <v>374</v>
      </c>
      <c r="AA510" s="32" t="s">
        <v>41</v>
      </c>
      <c r="AB510" s="32" t="s">
        <v>70</v>
      </c>
      <c r="AC510" s="33"/>
    </row>
    <row r="511" spans="1:29" ht="69.75" x14ac:dyDescent="0.25">
      <c r="A511" s="34" t="s">
        <v>1408</v>
      </c>
      <c r="B511" s="35" t="s">
        <v>1409</v>
      </c>
      <c r="C511" s="36"/>
      <c r="D511" s="36"/>
      <c r="E511" s="37">
        <v>0</v>
      </c>
      <c r="F511" s="37">
        <v>0</v>
      </c>
      <c r="G511" s="37">
        <v>0</v>
      </c>
      <c r="H511" s="37">
        <v>0</v>
      </c>
      <c r="I511" s="37">
        <v>0</v>
      </c>
      <c r="J511" s="37">
        <v>0</v>
      </c>
      <c r="K511" s="37">
        <v>0</v>
      </c>
      <c r="L511" s="37">
        <v>0</v>
      </c>
      <c r="M511" s="37">
        <v>0</v>
      </c>
      <c r="N511" s="37">
        <v>0</v>
      </c>
      <c r="O511" s="37">
        <v>0</v>
      </c>
      <c r="P511" s="37">
        <v>0</v>
      </c>
      <c r="Q511" s="37">
        <v>0</v>
      </c>
      <c r="R511" s="37">
        <v>0</v>
      </c>
      <c r="S511" s="37">
        <v>0</v>
      </c>
      <c r="T511" s="37">
        <v>0</v>
      </c>
      <c r="U511" s="37">
        <v>0</v>
      </c>
      <c r="V511" s="37">
        <v>0</v>
      </c>
      <c r="W511" s="37">
        <v>0</v>
      </c>
      <c r="X511" s="37">
        <v>0</v>
      </c>
      <c r="Y511" s="36"/>
      <c r="Z511" s="38"/>
      <c r="AA511" s="39"/>
      <c r="AB511" s="39"/>
      <c r="AC511" s="40"/>
    </row>
    <row r="512" spans="1:29" ht="135" x14ac:dyDescent="0.25">
      <c r="A512" s="20" t="s">
        <v>1410</v>
      </c>
      <c r="B512" s="21" t="s">
        <v>1411</v>
      </c>
      <c r="C512" s="22" t="s">
        <v>279</v>
      </c>
      <c r="D512" s="22" t="s">
        <v>304</v>
      </c>
      <c r="E512" s="23">
        <f t="shared" ref="E512:X512" si="412">SUM(E513:E513)</f>
        <v>19978.310000000001</v>
      </c>
      <c r="F512" s="23">
        <f t="shared" si="412"/>
        <v>19978.310000000001</v>
      </c>
      <c r="G512" s="23">
        <f t="shared" si="412"/>
        <v>0</v>
      </c>
      <c r="H512" s="23">
        <f t="shared" si="412"/>
        <v>0</v>
      </c>
      <c r="I512" s="23">
        <f t="shared" si="412"/>
        <v>0</v>
      </c>
      <c r="J512" s="23">
        <f t="shared" si="412"/>
        <v>0</v>
      </c>
      <c r="K512" s="23">
        <f t="shared" si="412"/>
        <v>0</v>
      </c>
      <c r="L512" s="23">
        <f t="shared" si="412"/>
        <v>0</v>
      </c>
      <c r="M512" s="23">
        <f t="shared" si="412"/>
        <v>0</v>
      </c>
      <c r="N512" s="23">
        <f t="shared" si="412"/>
        <v>0</v>
      </c>
      <c r="O512" s="23">
        <f t="shared" si="412"/>
        <v>19978.310000000001</v>
      </c>
      <c r="P512" s="23">
        <f t="shared" si="412"/>
        <v>19978.310000000001</v>
      </c>
      <c r="Q512" s="23">
        <f t="shared" si="412"/>
        <v>0</v>
      </c>
      <c r="R512" s="23">
        <f t="shared" si="412"/>
        <v>0</v>
      </c>
      <c r="S512" s="23">
        <f t="shared" si="412"/>
        <v>0</v>
      </c>
      <c r="T512" s="23">
        <f t="shared" si="412"/>
        <v>0</v>
      </c>
      <c r="U512" s="23">
        <f t="shared" si="412"/>
        <v>0</v>
      </c>
      <c r="V512" s="23">
        <f t="shared" si="412"/>
        <v>0</v>
      </c>
      <c r="W512" s="23">
        <f t="shared" si="412"/>
        <v>0</v>
      </c>
      <c r="X512" s="23">
        <f t="shared" si="412"/>
        <v>0</v>
      </c>
      <c r="Y512" s="22" t="s">
        <v>1412</v>
      </c>
      <c r="Z512" s="24" t="s">
        <v>374</v>
      </c>
      <c r="AA512" s="25" t="s">
        <v>504</v>
      </c>
      <c r="AB512" s="25" t="s">
        <v>176</v>
      </c>
      <c r="AC512" s="26"/>
    </row>
    <row r="513" spans="1:29" ht="69.75" x14ac:dyDescent="0.25">
      <c r="A513" s="27" t="s">
        <v>1413</v>
      </c>
      <c r="B513" s="28" t="s">
        <v>1414</v>
      </c>
      <c r="C513" s="29" t="s">
        <v>279</v>
      </c>
      <c r="D513" s="29" t="s">
        <v>304</v>
      </c>
      <c r="E513" s="30">
        <f>SUM(E514:E514)+19978.31</f>
        <v>19978.310000000001</v>
      </c>
      <c r="F513" s="30">
        <f>SUM(F514:F514)+19978.31</f>
        <v>19978.310000000001</v>
      </c>
      <c r="G513" s="30">
        <f t="shared" ref="G513:N513" si="413">SUM(G514:G514)</f>
        <v>0</v>
      </c>
      <c r="H513" s="30">
        <f t="shared" si="413"/>
        <v>0</v>
      </c>
      <c r="I513" s="30">
        <f t="shared" si="413"/>
        <v>0</v>
      </c>
      <c r="J513" s="30">
        <f t="shared" si="413"/>
        <v>0</v>
      </c>
      <c r="K513" s="30">
        <f t="shared" si="413"/>
        <v>0</v>
      </c>
      <c r="L513" s="30">
        <f t="shared" si="413"/>
        <v>0</v>
      </c>
      <c r="M513" s="30">
        <f t="shared" si="413"/>
        <v>0</v>
      </c>
      <c r="N513" s="30">
        <f t="shared" si="413"/>
        <v>0</v>
      </c>
      <c r="O513" s="30">
        <f>SUM(O514:O514)+19978.31</f>
        <v>19978.310000000001</v>
      </c>
      <c r="P513" s="30">
        <f>SUM(P514:P514)+19978.31</f>
        <v>19978.310000000001</v>
      </c>
      <c r="Q513" s="30">
        <f t="shared" ref="Q513:X513" si="414">SUM(Q514:Q514)</f>
        <v>0</v>
      </c>
      <c r="R513" s="30">
        <f t="shared" si="414"/>
        <v>0</v>
      </c>
      <c r="S513" s="30">
        <f t="shared" si="414"/>
        <v>0</v>
      </c>
      <c r="T513" s="30">
        <f t="shared" si="414"/>
        <v>0</v>
      </c>
      <c r="U513" s="30">
        <f t="shared" si="414"/>
        <v>0</v>
      </c>
      <c r="V513" s="30">
        <f t="shared" si="414"/>
        <v>0</v>
      </c>
      <c r="W513" s="30">
        <f t="shared" si="414"/>
        <v>0</v>
      </c>
      <c r="X513" s="30">
        <f t="shared" si="414"/>
        <v>0</v>
      </c>
      <c r="Y513" s="29" t="s">
        <v>1415</v>
      </c>
      <c r="Z513" s="31" t="s">
        <v>374</v>
      </c>
      <c r="AA513" s="32" t="s">
        <v>504</v>
      </c>
      <c r="AB513" s="32" t="s">
        <v>176</v>
      </c>
      <c r="AC513" s="33"/>
    </row>
    <row r="514" spans="1:29" ht="93" x14ac:dyDescent="0.25">
      <c r="A514" s="34" t="s">
        <v>1416</v>
      </c>
      <c r="B514" s="35" t="s">
        <v>1417</v>
      </c>
      <c r="C514" s="36"/>
      <c r="D514" s="36"/>
      <c r="E514" s="37">
        <v>0</v>
      </c>
      <c r="F514" s="37">
        <v>0</v>
      </c>
      <c r="G514" s="37">
        <v>0</v>
      </c>
      <c r="H514" s="37">
        <v>0</v>
      </c>
      <c r="I514" s="37">
        <v>0</v>
      </c>
      <c r="J514" s="37">
        <v>0</v>
      </c>
      <c r="K514" s="37">
        <v>0</v>
      </c>
      <c r="L514" s="37">
        <v>0</v>
      </c>
      <c r="M514" s="37">
        <v>0</v>
      </c>
      <c r="N514" s="37">
        <v>0</v>
      </c>
      <c r="O514" s="37">
        <v>0</v>
      </c>
      <c r="P514" s="37">
        <v>0</v>
      </c>
      <c r="Q514" s="37">
        <v>0</v>
      </c>
      <c r="R514" s="37">
        <v>0</v>
      </c>
      <c r="S514" s="37">
        <v>0</v>
      </c>
      <c r="T514" s="37">
        <v>0</v>
      </c>
      <c r="U514" s="37">
        <v>0</v>
      </c>
      <c r="V514" s="37">
        <v>0</v>
      </c>
      <c r="W514" s="37">
        <v>0</v>
      </c>
      <c r="X514" s="37">
        <v>0</v>
      </c>
      <c r="Y514" s="36"/>
      <c r="Z514" s="38"/>
      <c r="AA514" s="39"/>
      <c r="AB514" s="39"/>
      <c r="AC514" s="40"/>
    </row>
    <row r="515" spans="1:29" ht="90" x14ac:dyDescent="0.25">
      <c r="A515" s="20" t="s">
        <v>1418</v>
      </c>
      <c r="B515" s="21" t="s">
        <v>1419</v>
      </c>
      <c r="C515" s="22" t="s">
        <v>279</v>
      </c>
      <c r="D515" s="22" t="s">
        <v>304</v>
      </c>
      <c r="E515" s="23">
        <f t="shared" ref="E515:X515" si="415">E516+E518</f>
        <v>195131.34</v>
      </c>
      <c r="F515" s="23">
        <f t="shared" si="415"/>
        <v>176925.11</v>
      </c>
      <c r="G515" s="23">
        <f t="shared" si="415"/>
        <v>18206.23</v>
      </c>
      <c r="H515" s="23">
        <f t="shared" si="415"/>
        <v>0</v>
      </c>
      <c r="I515" s="23">
        <f t="shared" si="415"/>
        <v>0</v>
      </c>
      <c r="J515" s="23">
        <f t="shared" si="415"/>
        <v>0</v>
      </c>
      <c r="K515" s="23">
        <f t="shared" si="415"/>
        <v>0</v>
      </c>
      <c r="L515" s="23">
        <f t="shared" si="415"/>
        <v>0</v>
      </c>
      <c r="M515" s="23">
        <f t="shared" si="415"/>
        <v>0</v>
      </c>
      <c r="N515" s="23">
        <f t="shared" si="415"/>
        <v>0</v>
      </c>
      <c r="O515" s="23">
        <f t="shared" si="415"/>
        <v>179550.15</v>
      </c>
      <c r="P515" s="23">
        <f t="shared" si="415"/>
        <v>161551.4</v>
      </c>
      <c r="Q515" s="23">
        <f t="shared" si="415"/>
        <v>0</v>
      </c>
      <c r="R515" s="23">
        <f t="shared" si="415"/>
        <v>0</v>
      </c>
      <c r="S515" s="23">
        <f t="shared" si="415"/>
        <v>0</v>
      </c>
      <c r="T515" s="23">
        <f t="shared" si="415"/>
        <v>0</v>
      </c>
      <c r="U515" s="23">
        <f t="shared" si="415"/>
        <v>0</v>
      </c>
      <c r="V515" s="23">
        <f t="shared" si="415"/>
        <v>0</v>
      </c>
      <c r="W515" s="23">
        <f t="shared" si="415"/>
        <v>0</v>
      </c>
      <c r="X515" s="23">
        <f t="shared" si="415"/>
        <v>0</v>
      </c>
      <c r="Y515" s="22" t="s">
        <v>1420</v>
      </c>
      <c r="Z515" s="24" t="s">
        <v>40</v>
      </c>
      <c r="AA515" s="25" t="s">
        <v>70</v>
      </c>
      <c r="AB515" s="25" t="s">
        <v>69</v>
      </c>
      <c r="AC515" s="26"/>
    </row>
    <row r="516" spans="1:29" ht="69.75" x14ac:dyDescent="0.25">
      <c r="A516" s="27" t="s">
        <v>1421</v>
      </c>
      <c r="B516" s="28" t="s">
        <v>1422</v>
      </c>
      <c r="C516" s="29" t="s">
        <v>279</v>
      </c>
      <c r="D516" s="29" t="s">
        <v>304</v>
      </c>
      <c r="E516" s="30">
        <f>SUM(E517:E517)+120793.79</f>
        <v>120793.79</v>
      </c>
      <c r="F516" s="30">
        <f>SUM(F517:F517)+102587.56</f>
        <v>102587.56</v>
      </c>
      <c r="G516" s="30">
        <f>SUM(G517:G517)+18206.23</f>
        <v>18206.23</v>
      </c>
      <c r="H516" s="30">
        <f t="shared" ref="H516:N516" si="416">SUM(H517:H517)</f>
        <v>0</v>
      </c>
      <c r="I516" s="30">
        <f t="shared" si="416"/>
        <v>0</v>
      </c>
      <c r="J516" s="30">
        <f t="shared" si="416"/>
        <v>0</v>
      </c>
      <c r="K516" s="30">
        <f t="shared" si="416"/>
        <v>0</v>
      </c>
      <c r="L516" s="30">
        <f t="shared" si="416"/>
        <v>0</v>
      </c>
      <c r="M516" s="30">
        <f t="shared" si="416"/>
        <v>0</v>
      </c>
      <c r="N516" s="30">
        <f t="shared" si="416"/>
        <v>0</v>
      </c>
      <c r="O516" s="30">
        <f>SUM(O517:O517)+106013</f>
        <v>106013</v>
      </c>
      <c r="P516" s="30">
        <f>SUM(P517:P517)+88014.25</f>
        <v>88014.25</v>
      </c>
      <c r="Q516" s="30">
        <f t="shared" ref="Q516:X516" si="417">SUM(Q517:Q517)</f>
        <v>0</v>
      </c>
      <c r="R516" s="30">
        <f t="shared" si="417"/>
        <v>0</v>
      </c>
      <c r="S516" s="30">
        <f t="shared" si="417"/>
        <v>0</v>
      </c>
      <c r="T516" s="30">
        <f t="shared" si="417"/>
        <v>0</v>
      </c>
      <c r="U516" s="30">
        <f t="shared" si="417"/>
        <v>0</v>
      </c>
      <c r="V516" s="30">
        <f t="shared" si="417"/>
        <v>0</v>
      </c>
      <c r="W516" s="30">
        <f t="shared" si="417"/>
        <v>0</v>
      </c>
      <c r="X516" s="30">
        <f t="shared" si="417"/>
        <v>0</v>
      </c>
      <c r="Y516" s="29" t="s">
        <v>1423</v>
      </c>
      <c r="Z516" s="31" t="s">
        <v>40</v>
      </c>
      <c r="AA516" s="32" t="s">
        <v>69</v>
      </c>
      <c r="AB516" s="32" t="s">
        <v>69</v>
      </c>
      <c r="AC516" s="33"/>
    </row>
    <row r="517" spans="1:29" ht="46.5" x14ac:dyDescent="0.25">
      <c r="A517" s="34" t="s">
        <v>1424</v>
      </c>
      <c r="B517" s="35" t="s">
        <v>1425</v>
      </c>
      <c r="C517" s="36"/>
      <c r="D517" s="36"/>
      <c r="E517" s="37">
        <v>0</v>
      </c>
      <c r="F517" s="37">
        <v>0</v>
      </c>
      <c r="G517" s="37">
        <v>0</v>
      </c>
      <c r="H517" s="37">
        <v>0</v>
      </c>
      <c r="I517" s="37">
        <v>0</v>
      </c>
      <c r="J517" s="37">
        <v>0</v>
      </c>
      <c r="K517" s="37">
        <v>0</v>
      </c>
      <c r="L517" s="37">
        <v>0</v>
      </c>
      <c r="M517" s="37">
        <v>0</v>
      </c>
      <c r="N517" s="37">
        <v>0</v>
      </c>
      <c r="O517" s="37">
        <v>0</v>
      </c>
      <c r="P517" s="37">
        <v>0</v>
      </c>
      <c r="Q517" s="37">
        <v>0</v>
      </c>
      <c r="R517" s="37">
        <v>0</v>
      </c>
      <c r="S517" s="37">
        <v>0</v>
      </c>
      <c r="T517" s="37">
        <v>0</v>
      </c>
      <c r="U517" s="37">
        <v>0</v>
      </c>
      <c r="V517" s="37">
        <v>0</v>
      </c>
      <c r="W517" s="37">
        <v>0</v>
      </c>
      <c r="X517" s="37">
        <v>0</v>
      </c>
      <c r="Y517" s="36"/>
      <c r="Z517" s="38"/>
      <c r="AA517" s="39"/>
      <c r="AB517" s="39"/>
      <c r="AC517" s="40"/>
    </row>
    <row r="518" spans="1:29" ht="69.75" x14ac:dyDescent="0.25">
      <c r="A518" s="27" t="s">
        <v>1426</v>
      </c>
      <c r="B518" s="28" t="s">
        <v>1427</v>
      </c>
      <c r="C518" s="29" t="s">
        <v>279</v>
      </c>
      <c r="D518" s="29" t="s">
        <v>304</v>
      </c>
      <c r="E518" s="30">
        <f>SUM(E519:E519)+74337.55</f>
        <v>74337.55</v>
      </c>
      <c r="F518" s="30">
        <f>SUM(F519:F519)+74337.55</f>
        <v>74337.55</v>
      </c>
      <c r="G518" s="30">
        <f t="shared" ref="G518:N518" si="418">SUM(G519:G519)</f>
        <v>0</v>
      </c>
      <c r="H518" s="30">
        <f t="shared" si="418"/>
        <v>0</v>
      </c>
      <c r="I518" s="30">
        <f t="shared" si="418"/>
        <v>0</v>
      </c>
      <c r="J518" s="30">
        <f t="shared" si="418"/>
        <v>0</v>
      </c>
      <c r="K518" s="30">
        <f t="shared" si="418"/>
        <v>0</v>
      </c>
      <c r="L518" s="30">
        <f t="shared" si="418"/>
        <v>0</v>
      </c>
      <c r="M518" s="30">
        <f t="shared" si="418"/>
        <v>0</v>
      </c>
      <c r="N518" s="30">
        <f t="shared" si="418"/>
        <v>0</v>
      </c>
      <c r="O518" s="30">
        <f>SUM(O519:O519)+73537.15</f>
        <v>73537.149999999994</v>
      </c>
      <c r="P518" s="30">
        <f>SUM(P519:P519)+73537.15</f>
        <v>73537.149999999994</v>
      </c>
      <c r="Q518" s="30">
        <f t="shared" ref="Q518:X518" si="419">SUM(Q519:Q519)</f>
        <v>0</v>
      </c>
      <c r="R518" s="30">
        <f t="shared" si="419"/>
        <v>0</v>
      </c>
      <c r="S518" s="30">
        <f t="shared" si="419"/>
        <v>0</v>
      </c>
      <c r="T518" s="30">
        <f t="shared" si="419"/>
        <v>0</v>
      </c>
      <c r="U518" s="30">
        <f t="shared" si="419"/>
        <v>0</v>
      </c>
      <c r="V518" s="30">
        <f t="shared" si="419"/>
        <v>0</v>
      </c>
      <c r="W518" s="30">
        <f t="shared" si="419"/>
        <v>0</v>
      </c>
      <c r="X518" s="30">
        <f t="shared" si="419"/>
        <v>0</v>
      </c>
      <c r="Y518" s="29" t="s">
        <v>1428</v>
      </c>
      <c r="Z518" s="31" t="s">
        <v>40</v>
      </c>
      <c r="AA518" s="32" t="s">
        <v>70</v>
      </c>
      <c r="AB518" s="32" t="s">
        <v>70</v>
      </c>
      <c r="AC518" s="33"/>
    </row>
    <row r="519" spans="1:29" ht="46.5" x14ac:dyDescent="0.25">
      <c r="A519" s="34" t="s">
        <v>1429</v>
      </c>
      <c r="B519" s="35" t="s">
        <v>1430</v>
      </c>
      <c r="C519" s="36"/>
      <c r="D519" s="36"/>
      <c r="E519" s="37">
        <v>0</v>
      </c>
      <c r="F519" s="37">
        <v>0</v>
      </c>
      <c r="G519" s="37">
        <v>0</v>
      </c>
      <c r="H519" s="37">
        <v>0</v>
      </c>
      <c r="I519" s="37">
        <v>0</v>
      </c>
      <c r="J519" s="37">
        <v>0</v>
      </c>
      <c r="K519" s="37">
        <v>0</v>
      </c>
      <c r="L519" s="37">
        <v>0</v>
      </c>
      <c r="M519" s="37">
        <v>0</v>
      </c>
      <c r="N519" s="37">
        <v>0</v>
      </c>
      <c r="O519" s="37">
        <v>0</v>
      </c>
      <c r="P519" s="37">
        <v>0</v>
      </c>
      <c r="Q519" s="37">
        <v>0</v>
      </c>
      <c r="R519" s="37">
        <v>0</v>
      </c>
      <c r="S519" s="37">
        <v>0</v>
      </c>
      <c r="T519" s="37">
        <v>0</v>
      </c>
      <c r="U519" s="37">
        <v>0</v>
      </c>
      <c r="V519" s="37">
        <v>0</v>
      </c>
      <c r="W519" s="37">
        <v>0</v>
      </c>
      <c r="X519" s="37">
        <v>0</v>
      </c>
      <c r="Y519" s="36"/>
      <c r="Z519" s="38"/>
      <c r="AA519" s="39"/>
      <c r="AB519" s="39"/>
      <c r="AC519" s="40"/>
    </row>
    <row r="520" spans="1:29" ht="90" x14ac:dyDescent="0.25">
      <c r="A520" s="20" t="s">
        <v>1431</v>
      </c>
      <c r="B520" s="21" t="s">
        <v>1432</v>
      </c>
      <c r="C520" s="22" t="s">
        <v>279</v>
      </c>
      <c r="D520" s="22" t="s">
        <v>304</v>
      </c>
      <c r="E520" s="23">
        <f t="shared" ref="E520:X520" si="420">E521+E523</f>
        <v>3277.81</v>
      </c>
      <c r="F520" s="23">
        <f t="shared" si="420"/>
        <v>3277.81</v>
      </c>
      <c r="G520" s="23">
        <f t="shared" si="420"/>
        <v>0</v>
      </c>
      <c r="H520" s="23">
        <f t="shared" si="420"/>
        <v>0</v>
      </c>
      <c r="I520" s="23">
        <f t="shared" si="420"/>
        <v>0</v>
      </c>
      <c r="J520" s="23">
        <f t="shared" si="420"/>
        <v>0</v>
      </c>
      <c r="K520" s="23">
        <f t="shared" si="420"/>
        <v>0</v>
      </c>
      <c r="L520" s="23">
        <f t="shared" si="420"/>
        <v>0</v>
      </c>
      <c r="M520" s="23">
        <f t="shared" si="420"/>
        <v>0</v>
      </c>
      <c r="N520" s="23">
        <f t="shared" si="420"/>
        <v>0</v>
      </c>
      <c r="O520" s="23">
        <f t="shared" si="420"/>
        <v>3255.81</v>
      </c>
      <c r="P520" s="23">
        <f t="shared" si="420"/>
        <v>3255.81</v>
      </c>
      <c r="Q520" s="23">
        <f t="shared" si="420"/>
        <v>0</v>
      </c>
      <c r="R520" s="23">
        <f t="shared" si="420"/>
        <v>0</v>
      </c>
      <c r="S520" s="23">
        <f t="shared" si="420"/>
        <v>0</v>
      </c>
      <c r="T520" s="23">
        <f t="shared" si="420"/>
        <v>0</v>
      </c>
      <c r="U520" s="23">
        <f t="shared" si="420"/>
        <v>0</v>
      </c>
      <c r="V520" s="23">
        <f t="shared" si="420"/>
        <v>0</v>
      </c>
      <c r="W520" s="23">
        <f t="shared" si="420"/>
        <v>0</v>
      </c>
      <c r="X520" s="23">
        <f t="shared" si="420"/>
        <v>0</v>
      </c>
      <c r="Y520" s="22" t="s">
        <v>1433</v>
      </c>
      <c r="Z520" s="24" t="s">
        <v>40</v>
      </c>
      <c r="AA520" s="25" t="s">
        <v>690</v>
      </c>
      <c r="AB520" s="25" t="s">
        <v>47</v>
      </c>
      <c r="AC520" s="26" t="s">
        <v>1434</v>
      </c>
    </row>
    <row r="521" spans="1:29" ht="69.75" x14ac:dyDescent="0.25">
      <c r="A521" s="27" t="s">
        <v>1435</v>
      </c>
      <c r="B521" s="28" t="s">
        <v>1436</v>
      </c>
      <c r="C521" s="29" t="s">
        <v>279</v>
      </c>
      <c r="D521" s="29" t="s">
        <v>304</v>
      </c>
      <c r="E521" s="30">
        <f t="shared" ref="E521:X521" si="421">SUM(E522:E522)</f>
        <v>0</v>
      </c>
      <c r="F521" s="30">
        <f t="shared" si="421"/>
        <v>0</v>
      </c>
      <c r="G521" s="30">
        <f t="shared" si="421"/>
        <v>0</v>
      </c>
      <c r="H521" s="30">
        <f t="shared" si="421"/>
        <v>0</v>
      </c>
      <c r="I521" s="30">
        <f t="shared" si="421"/>
        <v>0</v>
      </c>
      <c r="J521" s="30">
        <f t="shared" si="421"/>
        <v>0</v>
      </c>
      <c r="K521" s="30">
        <f t="shared" si="421"/>
        <v>0</v>
      </c>
      <c r="L521" s="30">
        <f t="shared" si="421"/>
        <v>0</v>
      </c>
      <c r="M521" s="30">
        <f t="shared" si="421"/>
        <v>0</v>
      </c>
      <c r="N521" s="30">
        <f t="shared" si="421"/>
        <v>0</v>
      </c>
      <c r="O521" s="30">
        <f t="shared" si="421"/>
        <v>0</v>
      </c>
      <c r="P521" s="30">
        <f t="shared" si="421"/>
        <v>0</v>
      </c>
      <c r="Q521" s="30">
        <f t="shared" si="421"/>
        <v>0</v>
      </c>
      <c r="R521" s="30">
        <f t="shared" si="421"/>
        <v>0</v>
      </c>
      <c r="S521" s="30">
        <f t="shared" si="421"/>
        <v>0</v>
      </c>
      <c r="T521" s="30">
        <f t="shared" si="421"/>
        <v>0</v>
      </c>
      <c r="U521" s="30">
        <f t="shared" si="421"/>
        <v>0</v>
      </c>
      <c r="V521" s="30">
        <f t="shared" si="421"/>
        <v>0</v>
      </c>
      <c r="W521" s="30">
        <f t="shared" si="421"/>
        <v>0</v>
      </c>
      <c r="X521" s="30">
        <f t="shared" si="421"/>
        <v>0</v>
      </c>
      <c r="Y521" s="29" t="s">
        <v>1437</v>
      </c>
      <c r="Z521" s="31" t="s">
        <v>40</v>
      </c>
      <c r="AA521" s="32" t="s">
        <v>690</v>
      </c>
      <c r="AB521" s="32" t="s">
        <v>47</v>
      </c>
      <c r="AC521" s="33"/>
    </row>
    <row r="522" spans="1:29" ht="93" x14ac:dyDescent="0.25">
      <c r="A522" s="34" t="s">
        <v>1438</v>
      </c>
      <c r="B522" s="35" t="s">
        <v>1439</v>
      </c>
      <c r="C522" s="36"/>
      <c r="D522" s="36"/>
      <c r="E522" s="37">
        <v>0</v>
      </c>
      <c r="F522" s="37">
        <v>0</v>
      </c>
      <c r="G522" s="37">
        <v>0</v>
      </c>
      <c r="H522" s="37">
        <v>0</v>
      </c>
      <c r="I522" s="37">
        <v>0</v>
      </c>
      <c r="J522" s="37">
        <v>0</v>
      </c>
      <c r="K522" s="37">
        <v>0</v>
      </c>
      <c r="L522" s="37">
        <v>0</v>
      </c>
      <c r="M522" s="37">
        <v>0</v>
      </c>
      <c r="N522" s="37">
        <v>0</v>
      </c>
      <c r="O522" s="37">
        <v>0</v>
      </c>
      <c r="P522" s="37">
        <v>0</v>
      </c>
      <c r="Q522" s="37">
        <v>0</v>
      </c>
      <c r="R522" s="37">
        <v>0</v>
      </c>
      <c r="S522" s="37">
        <v>0</v>
      </c>
      <c r="T522" s="37">
        <v>0</v>
      </c>
      <c r="U522" s="37">
        <v>0</v>
      </c>
      <c r="V522" s="37">
        <v>0</v>
      </c>
      <c r="W522" s="37">
        <v>0</v>
      </c>
      <c r="X522" s="37">
        <v>0</v>
      </c>
      <c r="Y522" s="36"/>
      <c r="Z522" s="38"/>
      <c r="AA522" s="39"/>
      <c r="AB522" s="39"/>
      <c r="AC522" s="40"/>
    </row>
    <row r="523" spans="1:29" ht="69.75" x14ac:dyDescent="0.25">
      <c r="A523" s="27" t="s">
        <v>1440</v>
      </c>
      <c r="B523" s="28" t="s">
        <v>1441</v>
      </c>
      <c r="C523" s="29" t="s">
        <v>279</v>
      </c>
      <c r="D523" s="29" t="s">
        <v>304</v>
      </c>
      <c r="E523" s="30">
        <f>SUM(E524:E524)+3277.81</f>
        <v>3277.81</v>
      </c>
      <c r="F523" s="30">
        <f>SUM(F524:F524)+3277.81</f>
        <v>3277.81</v>
      </c>
      <c r="G523" s="30">
        <f t="shared" ref="G523:N523" si="422">SUM(G524:G524)</f>
        <v>0</v>
      </c>
      <c r="H523" s="30">
        <f t="shared" si="422"/>
        <v>0</v>
      </c>
      <c r="I523" s="30">
        <f t="shared" si="422"/>
        <v>0</v>
      </c>
      <c r="J523" s="30">
        <f t="shared" si="422"/>
        <v>0</v>
      </c>
      <c r="K523" s="30">
        <f t="shared" si="422"/>
        <v>0</v>
      </c>
      <c r="L523" s="30">
        <f t="shared" si="422"/>
        <v>0</v>
      </c>
      <c r="M523" s="30">
        <f t="shared" si="422"/>
        <v>0</v>
      </c>
      <c r="N523" s="30">
        <f t="shared" si="422"/>
        <v>0</v>
      </c>
      <c r="O523" s="30">
        <f>SUM(O524:O524)+3255.81</f>
        <v>3255.81</v>
      </c>
      <c r="P523" s="30">
        <f>SUM(P524:P524)+3255.81</f>
        <v>3255.81</v>
      </c>
      <c r="Q523" s="30">
        <f t="shared" ref="Q523:X523" si="423">SUM(Q524:Q524)</f>
        <v>0</v>
      </c>
      <c r="R523" s="30">
        <f t="shared" si="423"/>
        <v>0</v>
      </c>
      <c r="S523" s="30">
        <f t="shared" si="423"/>
        <v>0</v>
      </c>
      <c r="T523" s="30">
        <f t="shared" si="423"/>
        <v>0</v>
      </c>
      <c r="U523" s="30">
        <f t="shared" si="423"/>
        <v>0</v>
      </c>
      <c r="V523" s="30">
        <f t="shared" si="423"/>
        <v>0</v>
      </c>
      <c r="W523" s="30">
        <f t="shared" si="423"/>
        <v>0</v>
      </c>
      <c r="X523" s="30">
        <f t="shared" si="423"/>
        <v>0</v>
      </c>
      <c r="Y523" s="29" t="s">
        <v>543</v>
      </c>
      <c r="Z523" s="31" t="s">
        <v>40</v>
      </c>
      <c r="AA523" s="32" t="s">
        <v>41</v>
      </c>
      <c r="AB523" s="32" t="s">
        <v>41</v>
      </c>
      <c r="AC523" s="33"/>
    </row>
    <row r="524" spans="1:29" ht="69.75" x14ac:dyDescent="0.25">
      <c r="A524" s="34" t="s">
        <v>1442</v>
      </c>
      <c r="B524" s="35" t="s">
        <v>545</v>
      </c>
      <c r="C524" s="36"/>
      <c r="D524" s="36"/>
      <c r="E524" s="37">
        <v>0</v>
      </c>
      <c r="F524" s="37">
        <v>0</v>
      </c>
      <c r="G524" s="37">
        <v>0</v>
      </c>
      <c r="H524" s="37">
        <v>0</v>
      </c>
      <c r="I524" s="37">
        <v>0</v>
      </c>
      <c r="J524" s="37">
        <v>0</v>
      </c>
      <c r="K524" s="37">
        <v>0</v>
      </c>
      <c r="L524" s="37">
        <v>0</v>
      </c>
      <c r="M524" s="37">
        <v>0</v>
      </c>
      <c r="N524" s="37">
        <v>0</v>
      </c>
      <c r="O524" s="37">
        <v>0</v>
      </c>
      <c r="P524" s="37">
        <v>0</v>
      </c>
      <c r="Q524" s="37">
        <v>0</v>
      </c>
      <c r="R524" s="37">
        <v>0</v>
      </c>
      <c r="S524" s="37">
        <v>0</v>
      </c>
      <c r="T524" s="37">
        <v>0</v>
      </c>
      <c r="U524" s="37">
        <v>0</v>
      </c>
      <c r="V524" s="37">
        <v>0</v>
      </c>
      <c r="W524" s="37">
        <v>0</v>
      </c>
      <c r="X524" s="37">
        <v>0</v>
      </c>
      <c r="Y524" s="36"/>
      <c r="Z524" s="38"/>
      <c r="AA524" s="39"/>
      <c r="AB524" s="39"/>
      <c r="AC524" s="40"/>
    </row>
    <row r="525" spans="1:29" ht="67.5" x14ac:dyDescent="0.25">
      <c r="A525" s="20" t="s">
        <v>1443</v>
      </c>
      <c r="B525" s="21" t="s">
        <v>1444</v>
      </c>
      <c r="C525" s="22"/>
      <c r="D525" s="22"/>
      <c r="E525" s="49">
        <v>0</v>
      </c>
      <c r="F525" s="49">
        <v>0</v>
      </c>
      <c r="G525" s="49">
        <v>0</v>
      </c>
      <c r="H525" s="49">
        <v>0</v>
      </c>
      <c r="I525" s="49">
        <v>0</v>
      </c>
      <c r="J525" s="49">
        <v>0</v>
      </c>
      <c r="K525" s="49">
        <v>0</v>
      </c>
      <c r="L525" s="49">
        <v>0</v>
      </c>
      <c r="M525" s="49">
        <v>0</v>
      </c>
      <c r="N525" s="49">
        <v>0</v>
      </c>
      <c r="O525" s="49">
        <v>0</v>
      </c>
      <c r="P525" s="49">
        <v>0</v>
      </c>
      <c r="Q525" s="49">
        <v>0</v>
      </c>
      <c r="R525" s="49">
        <v>0</v>
      </c>
      <c r="S525" s="49">
        <v>0</v>
      </c>
      <c r="T525" s="49">
        <v>0</v>
      </c>
      <c r="U525" s="49">
        <v>0</v>
      </c>
      <c r="V525" s="49">
        <v>0</v>
      </c>
      <c r="W525" s="49">
        <v>0</v>
      </c>
      <c r="X525" s="49">
        <v>0</v>
      </c>
      <c r="Y525" s="22"/>
      <c r="Z525" s="24"/>
      <c r="AA525" s="25"/>
      <c r="AB525" s="25"/>
      <c r="AC525" s="26"/>
    </row>
    <row r="526" spans="1:29" ht="67.5" x14ac:dyDescent="0.25">
      <c r="A526" s="13" t="s">
        <v>1445</v>
      </c>
      <c r="B526" s="14" t="s">
        <v>382</v>
      </c>
      <c r="C526" s="15" t="s">
        <v>383</v>
      </c>
      <c r="D526" s="15" t="s">
        <v>384</v>
      </c>
      <c r="E526" s="16">
        <f t="shared" ref="E526:X526" si="424">SUM(E527:E527)</f>
        <v>423363.76</v>
      </c>
      <c r="F526" s="16">
        <f t="shared" si="424"/>
        <v>102163.76</v>
      </c>
      <c r="G526" s="16">
        <f t="shared" si="424"/>
        <v>0</v>
      </c>
      <c r="H526" s="16">
        <f t="shared" si="424"/>
        <v>0</v>
      </c>
      <c r="I526" s="16">
        <f t="shared" si="424"/>
        <v>321200</v>
      </c>
      <c r="J526" s="16">
        <f t="shared" si="424"/>
        <v>0</v>
      </c>
      <c r="K526" s="16">
        <f t="shared" si="424"/>
        <v>0</v>
      </c>
      <c r="L526" s="16">
        <f t="shared" si="424"/>
        <v>0</v>
      </c>
      <c r="M526" s="16">
        <f t="shared" si="424"/>
        <v>0</v>
      </c>
      <c r="N526" s="16">
        <f t="shared" si="424"/>
        <v>0</v>
      </c>
      <c r="O526" s="16">
        <f t="shared" si="424"/>
        <v>423363.76</v>
      </c>
      <c r="P526" s="16">
        <f t="shared" si="424"/>
        <v>102163.76</v>
      </c>
      <c r="Q526" s="16">
        <f t="shared" si="424"/>
        <v>0</v>
      </c>
      <c r="R526" s="16">
        <f t="shared" si="424"/>
        <v>0</v>
      </c>
      <c r="S526" s="16">
        <f t="shared" si="424"/>
        <v>0</v>
      </c>
      <c r="T526" s="16">
        <f t="shared" si="424"/>
        <v>0</v>
      </c>
      <c r="U526" s="16">
        <f t="shared" si="424"/>
        <v>0</v>
      </c>
      <c r="V526" s="16">
        <f t="shared" si="424"/>
        <v>0</v>
      </c>
      <c r="W526" s="16">
        <f t="shared" si="424"/>
        <v>0</v>
      </c>
      <c r="X526" s="16">
        <f t="shared" si="424"/>
        <v>0</v>
      </c>
      <c r="Y526" s="15" t="s">
        <v>385</v>
      </c>
      <c r="Z526" s="17" t="s">
        <v>34</v>
      </c>
      <c r="AA526" s="18" t="s">
        <v>81</v>
      </c>
      <c r="AB526" s="18" t="s">
        <v>81</v>
      </c>
      <c r="AC526" s="19"/>
    </row>
    <row r="527" spans="1:29" ht="67.5" x14ac:dyDescent="0.25">
      <c r="A527" s="20" t="s">
        <v>1446</v>
      </c>
      <c r="B527" s="21" t="s">
        <v>1447</v>
      </c>
      <c r="C527" s="22" t="s">
        <v>383</v>
      </c>
      <c r="D527" s="22" t="s">
        <v>1448</v>
      </c>
      <c r="E527" s="23">
        <f t="shared" ref="E527:X527" si="425">E528+E530</f>
        <v>423363.76</v>
      </c>
      <c r="F527" s="23">
        <f t="shared" si="425"/>
        <v>102163.76</v>
      </c>
      <c r="G527" s="23">
        <f t="shared" si="425"/>
        <v>0</v>
      </c>
      <c r="H527" s="23">
        <f t="shared" si="425"/>
        <v>0</v>
      </c>
      <c r="I527" s="23">
        <f t="shared" si="425"/>
        <v>321200</v>
      </c>
      <c r="J527" s="23">
        <f t="shared" si="425"/>
        <v>0</v>
      </c>
      <c r="K527" s="23">
        <f t="shared" si="425"/>
        <v>0</v>
      </c>
      <c r="L527" s="23">
        <f t="shared" si="425"/>
        <v>0</v>
      </c>
      <c r="M527" s="23">
        <f t="shared" si="425"/>
        <v>0</v>
      </c>
      <c r="N527" s="23">
        <f t="shared" si="425"/>
        <v>0</v>
      </c>
      <c r="O527" s="23">
        <f t="shared" si="425"/>
        <v>423363.76</v>
      </c>
      <c r="P527" s="23">
        <f t="shared" si="425"/>
        <v>102163.76</v>
      </c>
      <c r="Q527" s="23">
        <f t="shared" si="425"/>
        <v>0</v>
      </c>
      <c r="R527" s="23">
        <f t="shared" si="425"/>
        <v>0</v>
      </c>
      <c r="S527" s="23">
        <f t="shared" si="425"/>
        <v>0</v>
      </c>
      <c r="T527" s="23">
        <f t="shared" si="425"/>
        <v>0</v>
      </c>
      <c r="U527" s="23">
        <f t="shared" si="425"/>
        <v>0</v>
      </c>
      <c r="V527" s="23">
        <f t="shared" si="425"/>
        <v>0</v>
      </c>
      <c r="W527" s="23">
        <f t="shared" si="425"/>
        <v>0</v>
      </c>
      <c r="X527" s="23">
        <f t="shared" si="425"/>
        <v>0</v>
      </c>
      <c r="Y527" s="22" t="s">
        <v>1449</v>
      </c>
      <c r="Z527" s="24" t="s">
        <v>1166</v>
      </c>
      <c r="AA527" s="25" t="s">
        <v>1450</v>
      </c>
      <c r="AB527" s="25" t="s">
        <v>1450</v>
      </c>
      <c r="AC527" s="26"/>
    </row>
    <row r="528" spans="1:29" ht="46.5" x14ac:dyDescent="0.25">
      <c r="A528" s="27" t="s">
        <v>1451</v>
      </c>
      <c r="B528" s="28" t="s">
        <v>1452</v>
      </c>
      <c r="C528" s="29" t="s">
        <v>383</v>
      </c>
      <c r="D528" s="29" t="s">
        <v>393</v>
      </c>
      <c r="E528" s="30">
        <f>SUM(E529:E529)+331850.17</f>
        <v>331850.17</v>
      </c>
      <c r="F528" s="30">
        <f>SUM(F529:F529)+10650.17</f>
        <v>10650.17</v>
      </c>
      <c r="G528" s="30">
        <f>SUM(G529:G529)</f>
        <v>0</v>
      </c>
      <c r="H528" s="30">
        <f>SUM(H529:H529)</f>
        <v>0</v>
      </c>
      <c r="I528" s="30">
        <f>SUM(I529:I529)+321200</f>
        <v>321200</v>
      </c>
      <c r="J528" s="30">
        <f>SUM(J529:J529)</f>
        <v>0</v>
      </c>
      <c r="K528" s="30">
        <f>SUM(K529:K529)</f>
        <v>0</v>
      </c>
      <c r="L528" s="30">
        <f>SUM(L529:L529)</f>
        <v>0</v>
      </c>
      <c r="M528" s="30">
        <f>SUM(M529:M529)</f>
        <v>0</v>
      </c>
      <c r="N528" s="30">
        <f>SUM(N529:N529)</f>
        <v>0</v>
      </c>
      <c r="O528" s="30">
        <f>SUM(O529:O529)+331850.17</f>
        <v>331850.17</v>
      </c>
      <c r="P528" s="30">
        <f>SUM(P529:P529)+10650.17</f>
        <v>10650.17</v>
      </c>
      <c r="Q528" s="30">
        <f t="shared" ref="Q528:X528" si="426">SUM(Q529:Q529)</f>
        <v>0</v>
      </c>
      <c r="R528" s="30">
        <f t="shared" si="426"/>
        <v>0</v>
      </c>
      <c r="S528" s="30">
        <f t="shared" si="426"/>
        <v>0</v>
      </c>
      <c r="T528" s="30">
        <f t="shared" si="426"/>
        <v>0</v>
      </c>
      <c r="U528" s="30">
        <f t="shared" si="426"/>
        <v>0</v>
      </c>
      <c r="V528" s="30">
        <f t="shared" si="426"/>
        <v>0</v>
      </c>
      <c r="W528" s="30">
        <f t="shared" si="426"/>
        <v>0</v>
      </c>
      <c r="X528" s="30">
        <f t="shared" si="426"/>
        <v>0</v>
      </c>
      <c r="Y528" s="29" t="s">
        <v>1453</v>
      </c>
      <c r="Z528" s="31" t="s">
        <v>374</v>
      </c>
      <c r="AA528" s="32" t="s">
        <v>176</v>
      </c>
      <c r="AB528" s="32" t="s">
        <v>176</v>
      </c>
      <c r="AC528" s="33"/>
    </row>
    <row r="529" spans="1:29" ht="69.75" x14ac:dyDescent="0.25">
      <c r="A529" s="34" t="s">
        <v>1454</v>
      </c>
      <c r="B529" s="35" t="s">
        <v>1455</v>
      </c>
      <c r="C529" s="36"/>
      <c r="D529" s="36"/>
      <c r="E529" s="37">
        <v>0</v>
      </c>
      <c r="F529" s="37">
        <v>0</v>
      </c>
      <c r="G529" s="37">
        <v>0</v>
      </c>
      <c r="H529" s="37">
        <v>0</v>
      </c>
      <c r="I529" s="37">
        <v>0</v>
      </c>
      <c r="J529" s="37">
        <v>0</v>
      </c>
      <c r="K529" s="37">
        <v>0</v>
      </c>
      <c r="L529" s="37">
        <v>0</v>
      </c>
      <c r="M529" s="37">
        <v>0</v>
      </c>
      <c r="N529" s="37">
        <v>0</v>
      </c>
      <c r="O529" s="37">
        <v>0</v>
      </c>
      <c r="P529" s="37">
        <v>0</v>
      </c>
      <c r="Q529" s="37">
        <v>0</v>
      </c>
      <c r="R529" s="37">
        <v>0</v>
      </c>
      <c r="S529" s="37">
        <v>0</v>
      </c>
      <c r="T529" s="37">
        <v>0</v>
      </c>
      <c r="U529" s="37">
        <v>0</v>
      </c>
      <c r="V529" s="37">
        <v>0</v>
      </c>
      <c r="W529" s="37">
        <v>0</v>
      </c>
      <c r="X529" s="37">
        <v>0</v>
      </c>
      <c r="Y529" s="36"/>
      <c r="Z529" s="38"/>
      <c r="AA529" s="39"/>
      <c r="AB529" s="39"/>
      <c r="AC529" s="40"/>
    </row>
    <row r="530" spans="1:29" ht="46.5" x14ac:dyDescent="0.25">
      <c r="A530" s="27" t="s">
        <v>1456</v>
      </c>
      <c r="B530" s="28" t="s">
        <v>1457</v>
      </c>
      <c r="C530" s="29" t="s">
        <v>383</v>
      </c>
      <c r="D530" s="29" t="s">
        <v>393</v>
      </c>
      <c r="E530" s="30">
        <f>SUM(E531:E532)+91513.59</f>
        <v>91513.59</v>
      </c>
      <c r="F530" s="30">
        <f>SUM(F531:F532)+91513.59</f>
        <v>91513.59</v>
      </c>
      <c r="G530" s="30">
        <f t="shared" ref="G530:N530" si="427">SUM(G531:G532)</f>
        <v>0</v>
      </c>
      <c r="H530" s="30">
        <f t="shared" si="427"/>
        <v>0</v>
      </c>
      <c r="I530" s="30">
        <f t="shared" si="427"/>
        <v>0</v>
      </c>
      <c r="J530" s="30">
        <f t="shared" si="427"/>
        <v>0</v>
      </c>
      <c r="K530" s="30">
        <f t="shared" si="427"/>
        <v>0</v>
      </c>
      <c r="L530" s="30">
        <f t="shared" si="427"/>
        <v>0</v>
      </c>
      <c r="M530" s="30">
        <f t="shared" si="427"/>
        <v>0</v>
      </c>
      <c r="N530" s="30">
        <f t="shared" si="427"/>
        <v>0</v>
      </c>
      <c r="O530" s="30">
        <f>SUM(O531:O532)+91513.59</f>
        <v>91513.59</v>
      </c>
      <c r="P530" s="30">
        <f>SUM(P531:P532)+91513.59</f>
        <v>91513.59</v>
      </c>
      <c r="Q530" s="30">
        <f t="shared" ref="Q530:X530" si="428">SUM(Q531:Q532)</f>
        <v>0</v>
      </c>
      <c r="R530" s="30">
        <f t="shared" si="428"/>
        <v>0</v>
      </c>
      <c r="S530" s="30">
        <f t="shared" si="428"/>
        <v>0</v>
      </c>
      <c r="T530" s="30">
        <f t="shared" si="428"/>
        <v>0</v>
      </c>
      <c r="U530" s="30">
        <f t="shared" si="428"/>
        <v>0</v>
      </c>
      <c r="V530" s="30">
        <f t="shared" si="428"/>
        <v>0</v>
      </c>
      <c r="W530" s="30">
        <f t="shared" si="428"/>
        <v>0</v>
      </c>
      <c r="X530" s="30">
        <f t="shared" si="428"/>
        <v>0</v>
      </c>
      <c r="Y530" s="29" t="s">
        <v>1458</v>
      </c>
      <c r="Z530" s="31" t="s">
        <v>40</v>
      </c>
      <c r="AA530" s="32" t="s">
        <v>41</v>
      </c>
      <c r="AB530" s="32" t="s">
        <v>41</v>
      </c>
      <c r="AC530" s="33"/>
    </row>
    <row r="531" spans="1:29" ht="46.5" x14ac:dyDescent="0.25">
      <c r="A531" s="41"/>
      <c r="B531" s="42"/>
      <c r="C531" s="43"/>
      <c r="D531" s="43"/>
      <c r="E531" s="44">
        <v>0</v>
      </c>
      <c r="F531" s="44">
        <v>0</v>
      </c>
      <c r="G531" s="44">
        <v>0</v>
      </c>
      <c r="H531" s="44">
        <v>0</v>
      </c>
      <c r="I531" s="44">
        <v>0</v>
      </c>
      <c r="J531" s="44">
        <v>0</v>
      </c>
      <c r="K531" s="44">
        <v>0</v>
      </c>
      <c r="L531" s="44">
        <v>0</v>
      </c>
      <c r="M531" s="44">
        <v>0</v>
      </c>
      <c r="N531" s="44">
        <v>0</v>
      </c>
      <c r="O531" s="44">
        <v>0</v>
      </c>
      <c r="P531" s="44">
        <v>0</v>
      </c>
      <c r="Q531" s="44">
        <v>0</v>
      </c>
      <c r="R531" s="44">
        <v>0</v>
      </c>
      <c r="S531" s="44">
        <v>0</v>
      </c>
      <c r="T531" s="44">
        <v>0</v>
      </c>
      <c r="U531" s="44">
        <v>0</v>
      </c>
      <c r="V531" s="44">
        <v>0</v>
      </c>
      <c r="W531" s="44">
        <v>0</v>
      </c>
      <c r="X531" s="44">
        <v>0</v>
      </c>
      <c r="Y531" s="43" t="s">
        <v>1459</v>
      </c>
      <c r="Z531" s="45" t="s">
        <v>40</v>
      </c>
      <c r="AA531" s="46" t="s">
        <v>267</v>
      </c>
      <c r="AB531" s="46" t="s">
        <v>267</v>
      </c>
      <c r="AC531" s="47"/>
    </row>
    <row r="532" spans="1:29" ht="93" x14ac:dyDescent="0.25">
      <c r="A532" s="34" t="s">
        <v>1460</v>
      </c>
      <c r="B532" s="35" t="s">
        <v>1461</v>
      </c>
      <c r="C532" s="36"/>
      <c r="D532" s="36"/>
      <c r="E532" s="37">
        <v>0</v>
      </c>
      <c r="F532" s="37">
        <v>0</v>
      </c>
      <c r="G532" s="37">
        <v>0</v>
      </c>
      <c r="H532" s="37">
        <v>0</v>
      </c>
      <c r="I532" s="37">
        <v>0</v>
      </c>
      <c r="J532" s="37">
        <v>0</v>
      </c>
      <c r="K532" s="37">
        <v>0</v>
      </c>
      <c r="L532" s="37">
        <v>0</v>
      </c>
      <c r="M532" s="37">
        <v>0</v>
      </c>
      <c r="N532" s="37">
        <v>0</v>
      </c>
      <c r="O532" s="37">
        <v>0</v>
      </c>
      <c r="P532" s="37">
        <v>0</v>
      </c>
      <c r="Q532" s="37">
        <v>0</v>
      </c>
      <c r="R532" s="37">
        <v>0</v>
      </c>
      <c r="S532" s="37">
        <v>0</v>
      </c>
      <c r="T532" s="37">
        <v>0</v>
      </c>
      <c r="U532" s="37">
        <v>0</v>
      </c>
      <c r="V532" s="37">
        <v>0</v>
      </c>
      <c r="W532" s="37">
        <v>0</v>
      </c>
      <c r="X532" s="37">
        <v>0</v>
      </c>
      <c r="Y532" s="36"/>
      <c r="Z532" s="38"/>
      <c r="AA532" s="39"/>
      <c r="AB532" s="39"/>
      <c r="AC532" s="40"/>
    </row>
    <row r="533" spans="1:29" ht="90" x14ac:dyDescent="0.25">
      <c r="A533" s="13" t="s">
        <v>1462</v>
      </c>
      <c r="B533" s="14" t="s">
        <v>1463</v>
      </c>
      <c r="C533" s="15" t="s">
        <v>383</v>
      </c>
      <c r="D533" s="15" t="s">
        <v>1464</v>
      </c>
      <c r="E533" s="16">
        <f t="shared" ref="E533:N534" si="429">SUM(E534:E534)</f>
        <v>9000</v>
      </c>
      <c r="F533" s="16">
        <f t="shared" si="429"/>
        <v>9000</v>
      </c>
      <c r="G533" s="16">
        <f t="shared" si="429"/>
        <v>0</v>
      </c>
      <c r="H533" s="16">
        <f t="shared" si="429"/>
        <v>0</v>
      </c>
      <c r="I533" s="16">
        <f t="shared" si="429"/>
        <v>0</v>
      </c>
      <c r="J533" s="16">
        <f t="shared" si="429"/>
        <v>0</v>
      </c>
      <c r="K533" s="16">
        <f t="shared" si="429"/>
        <v>0</v>
      </c>
      <c r="L533" s="16">
        <f t="shared" si="429"/>
        <v>0</v>
      </c>
      <c r="M533" s="16">
        <f t="shared" si="429"/>
        <v>0</v>
      </c>
      <c r="N533" s="16">
        <f t="shared" si="429"/>
        <v>0</v>
      </c>
      <c r="O533" s="16">
        <f t="shared" ref="O533:X534" si="430">SUM(O534:O534)</f>
        <v>9000</v>
      </c>
      <c r="P533" s="16">
        <f t="shared" si="430"/>
        <v>9000</v>
      </c>
      <c r="Q533" s="16">
        <f t="shared" si="430"/>
        <v>0</v>
      </c>
      <c r="R533" s="16">
        <f t="shared" si="430"/>
        <v>0</v>
      </c>
      <c r="S533" s="16">
        <f t="shared" si="430"/>
        <v>0</v>
      </c>
      <c r="T533" s="16">
        <f t="shared" si="430"/>
        <v>0</v>
      </c>
      <c r="U533" s="16">
        <f t="shared" si="430"/>
        <v>0</v>
      </c>
      <c r="V533" s="16">
        <f t="shared" si="430"/>
        <v>0</v>
      </c>
      <c r="W533" s="16">
        <f t="shared" si="430"/>
        <v>0</v>
      </c>
      <c r="X533" s="16">
        <f t="shared" si="430"/>
        <v>0</v>
      </c>
      <c r="Y533" s="15" t="s">
        <v>1465</v>
      </c>
      <c r="Z533" s="17" t="s">
        <v>34</v>
      </c>
      <c r="AA533" s="18" t="s">
        <v>1466</v>
      </c>
      <c r="AB533" s="18" t="s">
        <v>1466</v>
      </c>
      <c r="AC533" s="19"/>
    </row>
    <row r="534" spans="1:29" ht="112.5" x14ac:dyDescent="0.25">
      <c r="A534" s="20" t="s">
        <v>1467</v>
      </c>
      <c r="B534" s="21" t="s">
        <v>1468</v>
      </c>
      <c r="C534" s="22" t="s">
        <v>383</v>
      </c>
      <c r="D534" s="22" t="s">
        <v>1448</v>
      </c>
      <c r="E534" s="23">
        <f t="shared" si="429"/>
        <v>9000</v>
      </c>
      <c r="F534" s="23">
        <f t="shared" si="429"/>
        <v>9000</v>
      </c>
      <c r="G534" s="23">
        <f t="shared" si="429"/>
        <v>0</v>
      </c>
      <c r="H534" s="23">
        <f t="shared" si="429"/>
        <v>0</v>
      </c>
      <c r="I534" s="23">
        <f t="shared" si="429"/>
        <v>0</v>
      </c>
      <c r="J534" s="23">
        <f t="shared" si="429"/>
        <v>0</v>
      </c>
      <c r="K534" s="23">
        <f t="shared" si="429"/>
        <v>0</v>
      </c>
      <c r="L534" s="23">
        <f t="shared" si="429"/>
        <v>0</v>
      </c>
      <c r="M534" s="23">
        <f t="shared" si="429"/>
        <v>0</v>
      </c>
      <c r="N534" s="23">
        <f t="shared" si="429"/>
        <v>0</v>
      </c>
      <c r="O534" s="23">
        <f t="shared" si="430"/>
        <v>9000</v>
      </c>
      <c r="P534" s="23">
        <f t="shared" si="430"/>
        <v>9000</v>
      </c>
      <c r="Q534" s="23">
        <f t="shared" si="430"/>
        <v>0</v>
      </c>
      <c r="R534" s="23">
        <f t="shared" si="430"/>
        <v>0</v>
      </c>
      <c r="S534" s="23">
        <f t="shared" si="430"/>
        <v>0</v>
      </c>
      <c r="T534" s="23">
        <f t="shared" si="430"/>
        <v>0</v>
      </c>
      <c r="U534" s="23">
        <f t="shared" si="430"/>
        <v>0</v>
      </c>
      <c r="V534" s="23">
        <f t="shared" si="430"/>
        <v>0</v>
      </c>
      <c r="W534" s="23">
        <f t="shared" si="430"/>
        <v>0</v>
      </c>
      <c r="X534" s="23">
        <f t="shared" si="430"/>
        <v>0</v>
      </c>
      <c r="Y534" s="22" t="s">
        <v>1469</v>
      </c>
      <c r="Z534" s="24" t="s">
        <v>40</v>
      </c>
      <c r="AA534" s="25" t="s">
        <v>1470</v>
      </c>
      <c r="AB534" s="25" t="s">
        <v>1470</v>
      </c>
      <c r="AC534" s="26"/>
    </row>
    <row r="535" spans="1:29" ht="93" x14ac:dyDescent="0.25">
      <c r="A535" s="27" t="s">
        <v>1471</v>
      </c>
      <c r="B535" s="28" t="s">
        <v>1472</v>
      </c>
      <c r="C535" s="29" t="s">
        <v>383</v>
      </c>
      <c r="D535" s="29" t="s">
        <v>1464</v>
      </c>
      <c r="E535" s="30">
        <f>SUM(E536:E536)+9000</f>
        <v>9000</v>
      </c>
      <c r="F535" s="30">
        <f>SUM(F536:F536)+9000</f>
        <v>9000</v>
      </c>
      <c r="G535" s="30">
        <f t="shared" ref="G535:N535" si="431">SUM(G536:G536)</f>
        <v>0</v>
      </c>
      <c r="H535" s="30">
        <f t="shared" si="431"/>
        <v>0</v>
      </c>
      <c r="I535" s="30">
        <f t="shared" si="431"/>
        <v>0</v>
      </c>
      <c r="J535" s="30">
        <f t="shared" si="431"/>
        <v>0</v>
      </c>
      <c r="K535" s="30">
        <f t="shared" si="431"/>
        <v>0</v>
      </c>
      <c r="L535" s="30">
        <f t="shared" si="431"/>
        <v>0</v>
      </c>
      <c r="M535" s="30">
        <f t="shared" si="431"/>
        <v>0</v>
      </c>
      <c r="N535" s="30">
        <f t="shared" si="431"/>
        <v>0</v>
      </c>
      <c r="O535" s="30">
        <f>SUM(O536:O536)+9000</f>
        <v>9000</v>
      </c>
      <c r="P535" s="30">
        <f>SUM(P536:P536)+9000</f>
        <v>9000</v>
      </c>
      <c r="Q535" s="30">
        <f t="shared" ref="Q535:X535" si="432">SUM(Q536:Q536)</f>
        <v>0</v>
      </c>
      <c r="R535" s="30">
        <f t="shared" si="432"/>
        <v>0</v>
      </c>
      <c r="S535" s="30">
        <f t="shared" si="432"/>
        <v>0</v>
      </c>
      <c r="T535" s="30">
        <f t="shared" si="432"/>
        <v>0</v>
      </c>
      <c r="U535" s="30">
        <f t="shared" si="432"/>
        <v>0</v>
      </c>
      <c r="V535" s="30">
        <f t="shared" si="432"/>
        <v>0</v>
      </c>
      <c r="W535" s="30">
        <f t="shared" si="432"/>
        <v>0</v>
      </c>
      <c r="X535" s="30">
        <f t="shared" si="432"/>
        <v>0</v>
      </c>
      <c r="Y535" s="29" t="s">
        <v>1473</v>
      </c>
      <c r="Z535" s="31" t="s">
        <v>40</v>
      </c>
      <c r="AA535" s="32" t="s">
        <v>1474</v>
      </c>
      <c r="AB535" s="32" t="s">
        <v>1474</v>
      </c>
      <c r="AC535" s="33"/>
    </row>
    <row r="536" spans="1:29" ht="93" x14ac:dyDescent="0.25">
      <c r="A536" s="34" t="s">
        <v>1475</v>
      </c>
      <c r="B536" s="35" t="s">
        <v>1476</v>
      </c>
      <c r="C536" s="36"/>
      <c r="D536" s="36"/>
      <c r="E536" s="37">
        <v>0</v>
      </c>
      <c r="F536" s="37">
        <v>0</v>
      </c>
      <c r="G536" s="37">
        <v>0</v>
      </c>
      <c r="H536" s="37">
        <v>0</v>
      </c>
      <c r="I536" s="37">
        <v>0</v>
      </c>
      <c r="J536" s="37">
        <v>0</v>
      </c>
      <c r="K536" s="37">
        <v>0</v>
      </c>
      <c r="L536" s="37">
        <v>0</v>
      </c>
      <c r="M536" s="37">
        <v>0</v>
      </c>
      <c r="N536" s="37">
        <v>0</v>
      </c>
      <c r="O536" s="37">
        <v>0</v>
      </c>
      <c r="P536" s="37">
        <v>0</v>
      </c>
      <c r="Q536" s="37">
        <v>0</v>
      </c>
      <c r="R536" s="37">
        <v>0</v>
      </c>
      <c r="S536" s="37">
        <v>0</v>
      </c>
      <c r="T536" s="37">
        <v>0</v>
      </c>
      <c r="U536" s="37">
        <v>0</v>
      </c>
      <c r="V536" s="37">
        <v>0</v>
      </c>
      <c r="W536" s="37">
        <v>0</v>
      </c>
      <c r="X536" s="37">
        <v>0</v>
      </c>
      <c r="Y536" s="36"/>
      <c r="Z536" s="38"/>
      <c r="AA536" s="39"/>
      <c r="AB536" s="39"/>
      <c r="AC536" s="40"/>
    </row>
    <row r="537" spans="1:29" ht="45" x14ac:dyDescent="0.25">
      <c r="A537" s="6" t="s">
        <v>1477</v>
      </c>
      <c r="B537" s="7" t="s">
        <v>1478</v>
      </c>
      <c r="C537" s="8" t="s">
        <v>1479</v>
      </c>
      <c r="D537" s="8" t="s">
        <v>2131</v>
      </c>
      <c r="E537" s="9">
        <f t="shared" ref="E537:X537" si="433">E538+E587+E721+E729+E759+E771</f>
        <v>19392129.41</v>
      </c>
      <c r="F537" s="9">
        <f t="shared" si="433"/>
        <v>4805325.01</v>
      </c>
      <c r="G537" s="9">
        <f t="shared" si="433"/>
        <v>143202.44</v>
      </c>
      <c r="H537" s="9">
        <f t="shared" si="433"/>
        <v>0</v>
      </c>
      <c r="I537" s="9">
        <f t="shared" si="433"/>
        <v>1941274.77</v>
      </c>
      <c r="J537" s="9">
        <f t="shared" si="433"/>
        <v>0</v>
      </c>
      <c r="K537" s="9">
        <f t="shared" si="433"/>
        <v>279589</v>
      </c>
      <c r="L537" s="9">
        <f t="shared" si="433"/>
        <v>11849075.689999999</v>
      </c>
      <c r="M537" s="9">
        <f t="shared" si="433"/>
        <v>0</v>
      </c>
      <c r="N537" s="9">
        <f t="shared" si="433"/>
        <v>0</v>
      </c>
      <c r="O537" s="9">
        <f t="shared" si="433"/>
        <v>19038571.829999994</v>
      </c>
      <c r="P537" s="9">
        <f t="shared" si="433"/>
        <v>4029809.2000000007</v>
      </c>
      <c r="Q537" s="9">
        <f t="shared" si="433"/>
        <v>76436.180000000008</v>
      </c>
      <c r="R537" s="9">
        <f t="shared" si="433"/>
        <v>0</v>
      </c>
      <c r="S537" s="9">
        <f t="shared" si="433"/>
        <v>0</v>
      </c>
      <c r="T537" s="9">
        <f t="shared" si="433"/>
        <v>0</v>
      </c>
      <c r="U537" s="9">
        <f t="shared" si="433"/>
        <v>18589.060000000001</v>
      </c>
      <c r="V537" s="9">
        <f t="shared" si="433"/>
        <v>10840969.780000001</v>
      </c>
      <c r="W537" s="9">
        <f t="shared" si="433"/>
        <v>0</v>
      </c>
      <c r="X537" s="9">
        <f t="shared" si="433"/>
        <v>0</v>
      </c>
      <c r="Y537" s="8"/>
      <c r="Z537" s="10"/>
      <c r="AA537" s="11"/>
      <c r="AB537" s="11"/>
      <c r="AC537" s="12"/>
    </row>
    <row r="538" spans="1:29" ht="67.5" x14ac:dyDescent="0.25">
      <c r="A538" s="13" t="s">
        <v>1480</v>
      </c>
      <c r="B538" s="14" t="s">
        <v>1481</v>
      </c>
      <c r="C538" s="15" t="s">
        <v>1479</v>
      </c>
      <c r="D538" s="15" t="s">
        <v>1482</v>
      </c>
      <c r="E538" s="16">
        <f t="shared" ref="E538:X538" si="434">E539+E557+E566+E584</f>
        <v>3689240.29</v>
      </c>
      <c r="F538" s="16">
        <f t="shared" si="434"/>
        <v>1561073.44</v>
      </c>
      <c r="G538" s="16">
        <f t="shared" si="434"/>
        <v>15503.63</v>
      </c>
      <c r="H538" s="16">
        <f t="shared" si="434"/>
        <v>0</v>
      </c>
      <c r="I538" s="16">
        <f t="shared" si="434"/>
        <v>1187604.77</v>
      </c>
      <c r="J538" s="16">
        <f t="shared" si="434"/>
        <v>0</v>
      </c>
      <c r="K538" s="16">
        <f t="shared" si="434"/>
        <v>0</v>
      </c>
      <c r="L538" s="16">
        <f t="shared" si="434"/>
        <v>922747.95</v>
      </c>
      <c r="M538" s="16">
        <f t="shared" si="434"/>
        <v>0</v>
      </c>
      <c r="N538" s="16">
        <f t="shared" si="434"/>
        <v>0</v>
      </c>
      <c r="O538" s="16">
        <f t="shared" si="434"/>
        <v>3673271.19</v>
      </c>
      <c r="P538" s="16">
        <f t="shared" si="434"/>
        <v>1419369.33</v>
      </c>
      <c r="Q538" s="16">
        <f t="shared" si="434"/>
        <v>9264</v>
      </c>
      <c r="R538" s="16">
        <f t="shared" si="434"/>
        <v>0</v>
      </c>
      <c r="S538" s="16">
        <f t="shared" si="434"/>
        <v>0</v>
      </c>
      <c r="T538" s="16">
        <f t="shared" si="434"/>
        <v>0</v>
      </c>
      <c r="U538" s="16">
        <f t="shared" si="434"/>
        <v>0</v>
      </c>
      <c r="V538" s="16">
        <f t="shared" si="434"/>
        <v>0</v>
      </c>
      <c r="W538" s="16">
        <f t="shared" si="434"/>
        <v>0</v>
      </c>
      <c r="X538" s="16">
        <f t="shared" si="434"/>
        <v>0</v>
      </c>
      <c r="Y538" s="15" t="s">
        <v>1483</v>
      </c>
      <c r="Z538" s="17" t="s">
        <v>34</v>
      </c>
      <c r="AA538" s="18" t="s">
        <v>640</v>
      </c>
      <c r="AB538" s="18" t="s">
        <v>149</v>
      </c>
      <c r="AC538" s="19"/>
    </row>
    <row r="539" spans="1:29" ht="45" x14ac:dyDescent="0.25">
      <c r="A539" s="20" t="s">
        <v>1484</v>
      </c>
      <c r="B539" s="21" t="s">
        <v>1485</v>
      </c>
      <c r="C539" s="22" t="s">
        <v>1479</v>
      </c>
      <c r="D539" s="22" t="s">
        <v>1482</v>
      </c>
      <c r="E539" s="23">
        <f t="shared" ref="E539:X539" si="435">E540+E545+E547+E549+E553+E555</f>
        <v>2458072.7200000002</v>
      </c>
      <c r="F539" s="23">
        <f t="shared" si="435"/>
        <v>1254548.32</v>
      </c>
      <c r="G539" s="23">
        <f t="shared" si="435"/>
        <v>15503.63</v>
      </c>
      <c r="H539" s="23">
        <f t="shared" si="435"/>
        <v>0</v>
      </c>
      <c r="I539" s="23">
        <f t="shared" si="435"/>
        <v>1184404.77</v>
      </c>
      <c r="J539" s="23">
        <f t="shared" si="435"/>
        <v>0</v>
      </c>
      <c r="K539" s="23">
        <f t="shared" si="435"/>
        <v>0</v>
      </c>
      <c r="L539" s="23">
        <f t="shared" si="435"/>
        <v>3616</v>
      </c>
      <c r="M539" s="23">
        <f t="shared" si="435"/>
        <v>0</v>
      </c>
      <c r="N539" s="23">
        <f t="shared" si="435"/>
        <v>0</v>
      </c>
      <c r="O539" s="23">
        <f t="shared" si="435"/>
        <v>2448674.15</v>
      </c>
      <c r="P539" s="23">
        <f t="shared" si="435"/>
        <v>1115802.75</v>
      </c>
      <c r="Q539" s="23">
        <f t="shared" si="435"/>
        <v>9264</v>
      </c>
      <c r="R539" s="23">
        <f t="shared" si="435"/>
        <v>0</v>
      </c>
      <c r="S539" s="23">
        <f t="shared" si="435"/>
        <v>0</v>
      </c>
      <c r="T539" s="23">
        <f t="shared" si="435"/>
        <v>0</v>
      </c>
      <c r="U539" s="23">
        <f t="shared" si="435"/>
        <v>0</v>
      </c>
      <c r="V539" s="23">
        <f t="shared" si="435"/>
        <v>0</v>
      </c>
      <c r="W539" s="23">
        <f t="shared" si="435"/>
        <v>0</v>
      </c>
      <c r="X539" s="23">
        <f t="shared" si="435"/>
        <v>0</v>
      </c>
      <c r="Y539" s="22" t="s">
        <v>1486</v>
      </c>
      <c r="Z539" s="24" t="s">
        <v>40</v>
      </c>
      <c r="AA539" s="25" t="s">
        <v>1487</v>
      </c>
      <c r="AB539" s="25" t="s">
        <v>1488</v>
      </c>
      <c r="AC539" s="26"/>
    </row>
    <row r="540" spans="1:29" ht="69.75" x14ac:dyDescent="0.25">
      <c r="A540" s="27" t="s">
        <v>1489</v>
      </c>
      <c r="B540" s="28" t="s">
        <v>1490</v>
      </c>
      <c r="C540" s="29" t="s">
        <v>1479</v>
      </c>
      <c r="D540" s="29" t="s">
        <v>1491</v>
      </c>
      <c r="E540" s="30">
        <f>SUM(E541:E544)+207373.63</f>
        <v>207373.63</v>
      </c>
      <c r="F540" s="30">
        <f>SUM(F541:F544)+115254</f>
        <v>115254</v>
      </c>
      <c r="G540" s="30">
        <f>SUM(G541:G544)+15503.63</f>
        <v>15503.63</v>
      </c>
      <c r="H540" s="30">
        <f>SUM(H541:H544)</f>
        <v>0</v>
      </c>
      <c r="I540" s="30">
        <f>SUM(I541:I544)+73000</f>
        <v>73000</v>
      </c>
      <c r="J540" s="30">
        <f>SUM(J541:J544)</f>
        <v>0</v>
      </c>
      <c r="K540" s="30">
        <f>SUM(K541:K544)</f>
        <v>0</v>
      </c>
      <c r="L540" s="30">
        <f>SUM(L541:L544)+3616</f>
        <v>3616</v>
      </c>
      <c r="M540" s="30">
        <f>SUM(M541:M544)</f>
        <v>0</v>
      </c>
      <c r="N540" s="30">
        <f>SUM(N541:N544)</f>
        <v>0</v>
      </c>
      <c r="O540" s="30">
        <f>SUM(O541:O544)+202612.13</f>
        <v>202612.13</v>
      </c>
      <c r="P540" s="30">
        <f>SUM(P541:P544)+115228.5</f>
        <v>115228.5</v>
      </c>
      <c r="Q540" s="30">
        <f>SUM(Q541:Q544)+9264</f>
        <v>9264</v>
      </c>
      <c r="R540" s="30">
        <f t="shared" ref="R540:X540" si="436">SUM(R541:R544)</f>
        <v>0</v>
      </c>
      <c r="S540" s="30">
        <f t="shared" si="436"/>
        <v>0</v>
      </c>
      <c r="T540" s="30">
        <f t="shared" si="436"/>
        <v>0</v>
      </c>
      <c r="U540" s="30">
        <f t="shared" si="436"/>
        <v>0</v>
      </c>
      <c r="V540" s="30">
        <f t="shared" si="436"/>
        <v>0</v>
      </c>
      <c r="W540" s="30">
        <f t="shared" si="436"/>
        <v>0</v>
      </c>
      <c r="X540" s="30">
        <f t="shared" si="436"/>
        <v>0</v>
      </c>
      <c r="Y540" s="29" t="s">
        <v>1492</v>
      </c>
      <c r="Z540" s="31" t="s">
        <v>40</v>
      </c>
      <c r="AA540" s="32" t="s">
        <v>177</v>
      </c>
      <c r="AB540" s="32" t="s">
        <v>177</v>
      </c>
      <c r="AC540" s="33"/>
    </row>
    <row r="541" spans="1:29" ht="93" x14ac:dyDescent="0.25">
      <c r="A541" s="41"/>
      <c r="B541" s="42"/>
      <c r="C541" s="43"/>
      <c r="D541" s="43"/>
      <c r="E541" s="44">
        <v>0</v>
      </c>
      <c r="F541" s="44">
        <v>0</v>
      </c>
      <c r="G541" s="44">
        <v>0</v>
      </c>
      <c r="H541" s="44">
        <v>0</v>
      </c>
      <c r="I541" s="44">
        <v>0</v>
      </c>
      <c r="J541" s="44">
        <v>0</v>
      </c>
      <c r="K541" s="44">
        <v>0</v>
      </c>
      <c r="L541" s="44">
        <v>0</v>
      </c>
      <c r="M541" s="44">
        <v>0</v>
      </c>
      <c r="N541" s="44">
        <v>0</v>
      </c>
      <c r="O541" s="44">
        <v>0</v>
      </c>
      <c r="P541" s="44">
        <v>0</v>
      </c>
      <c r="Q541" s="44">
        <v>0</v>
      </c>
      <c r="R541" s="44">
        <v>0</v>
      </c>
      <c r="S541" s="44">
        <v>0</v>
      </c>
      <c r="T541" s="44">
        <v>0</v>
      </c>
      <c r="U541" s="44">
        <v>0</v>
      </c>
      <c r="V541" s="44">
        <v>0</v>
      </c>
      <c r="W541" s="44">
        <v>0</v>
      </c>
      <c r="X541" s="44">
        <v>0</v>
      </c>
      <c r="Y541" s="43" t="s">
        <v>1493</v>
      </c>
      <c r="Z541" s="45" t="s">
        <v>40</v>
      </c>
      <c r="AA541" s="46" t="s">
        <v>177</v>
      </c>
      <c r="AB541" s="46" t="s">
        <v>177</v>
      </c>
      <c r="AC541" s="47"/>
    </row>
    <row r="542" spans="1:29" ht="93" x14ac:dyDescent="0.25">
      <c r="A542" s="34" t="s">
        <v>1494</v>
      </c>
      <c r="B542" s="35" t="s">
        <v>1495</v>
      </c>
      <c r="C542" s="36"/>
      <c r="D542" s="36"/>
      <c r="E542" s="37">
        <v>0</v>
      </c>
      <c r="F542" s="37">
        <v>0</v>
      </c>
      <c r="G542" s="37">
        <v>0</v>
      </c>
      <c r="H542" s="37">
        <v>0</v>
      </c>
      <c r="I542" s="37">
        <v>0</v>
      </c>
      <c r="J542" s="37">
        <v>0</v>
      </c>
      <c r="K542" s="37">
        <v>0</v>
      </c>
      <c r="L542" s="37">
        <v>0</v>
      </c>
      <c r="M542" s="37">
        <v>0</v>
      </c>
      <c r="N542" s="37">
        <v>0</v>
      </c>
      <c r="O542" s="37">
        <v>0</v>
      </c>
      <c r="P542" s="37">
        <v>0</v>
      </c>
      <c r="Q542" s="37">
        <v>0</v>
      </c>
      <c r="R542" s="37">
        <v>0</v>
      </c>
      <c r="S542" s="37">
        <v>0</v>
      </c>
      <c r="T542" s="37">
        <v>0</v>
      </c>
      <c r="U542" s="37">
        <v>0</v>
      </c>
      <c r="V542" s="37">
        <v>0</v>
      </c>
      <c r="W542" s="37">
        <v>0</v>
      </c>
      <c r="X542" s="37">
        <v>0</v>
      </c>
      <c r="Y542" s="36"/>
      <c r="Z542" s="38"/>
      <c r="AA542" s="39"/>
      <c r="AB542" s="39"/>
      <c r="AC542" s="40"/>
    </row>
    <row r="543" spans="1:29" ht="69.75" x14ac:dyDescent="0.25">
      <c r="A543" s="34" t="s">
        <v>1496</v>
      </c>
      <c r="B543" s="35" t="s">
        <v>1497</v>
      </c>
      <c r="C543" s="36"/>
      <c r="D543" s="36"/>
      <c r="E543" s="37">
        <v>0</v>
      </c>
      <c r="F543" s="37">
        <v>0</v>
      </c>
      <c r="G543" s="37">
        <v>0</v>
      </c>
      <c r="H543" s="37">
        <v>0</v>
      </c>
      <c r="I543" s="37">
        <v>0</v>
      </c>
      <c r="J543" s="37">
        <v>0</v>
      </c>
      <c r="K543" s="37">
        <v>0</v>
      </c>
      <c r="L543" s="37">
        <v>0</v>
      </c>
      <c r="M543" s="37">
        <v>0</v>
      </c>
      <c r="N543" s="37">
        <v>0</v>
      </c>
      <c r="O543" s="37">
        <v>0</v>
      </c>
      <c r="P543" s="37">
        <v>0</v>
      </c>
      <c r="Q543" s="37">
        <v>0</v>
      </c>
      <c r="R543" s="37">
        <v>0</v>
      </c>
      <c r="S543" s="37">
        <v>0</v>
      </c>
      <c r="T543" s="37">
        <v>0</v>
      </c>
      <c r="U543" s="37">
        <v>0</v>
      </c>
      <c r="V543" s="37">
        <v>0</v>
      </c>
      <c r="W543" s="37">
        <v>0</v>
      </c>
      <c r="X543" s="37">
        <v>0</v>
      </c>
      <c r="Y543" s="36"/>
      <c r="Z543" s="38"/>
      <c r="AA543" s="39"/>
      <c r="AB543" s="39"/>
      <c r="AC543" s="40"/>
    </row>
    <row r="544" spans="1:29" ht="93" x14ac:dyDescent="0.25">
      <c r="A544" s="34" t="s">
        <v>1498</v>
      </c>
      <c r="B544" s="35" t="s">
        <v>1499</v>
      </c>
      <c r="C544" s="36"/>
      <c r="D544" s="36"/>
      <c r="E544" s="37">
        <v>0</v>
      </c>
      <c r="F544" s="37">
        <v>0</v>
      </c>
      <c r="G544" s="37">
        <v>0</v>
      </c>
      <c r="H544" s="37">
        <v>0</v>
      </c>
      <c r="I544" s="37">
        <v>0</v>
      </c>
      <c r="J544" s="37">
        <v>0</v>
      </c>
      <c r="K544" s="37">
        <v>0</v>
      </c>
      <c r="L544" s="37">
        <v>0</v>
      </c>
      <c r="M544" s="37">
        <v>0</v>
      </c>
      <c r="N544" s="37">
        <v>0</v>
      </c>
      <c r="O544" s="37">
        <v>0</v>
      </c>
      <c r="P544" s="37">
        <v>0</v>
      </c>
      <c r="Q544" s="37">
        <v>0</v>
      </c>
      <c r="R544" s="37">
        <v>0</v>
      </c>
      <c r="S544" s="37">
        <v>0</v>
      </c>
      <c r="T544" s="37">
        <v>0</v>
      </c>
      <c r="U544" s="37">
        <v>0</v>
      </c>
      <c r="V544" s="37">
        <v>0</v>
      </c>
      <c r="W544" s="37">
        <v>0</v>
      </c>
      <c r="X544" s="37">
        <v>0</v>
      </c>
      <c r="Y544" s="36"/>
      <c r="Z544" s="38"/>
      <c r="AA544" s="39"/>
      <c r="AB544" s="39"/>
      <c r="AC544" s="40"/>
    </row>
    <row r="545" spans="1:29" ht="69.75" x14ac:dyDescent="0.25">
      <c r="A545" s="27" t="s">
        <v>1500</v>
      </c>
      <c r="B545" s="28" t="s">
        <v>1501</v>
      </c>
      <c r="C545" s="29" t="s">
        <v>1479</v>
      </c>
      <c r="D545" s="29" t="s">
        <v>1502</v>
      </c>
      <c r="E545" s="30">
        <f>SUM(E546:E546)+142575.42</f>
        <v>142575.42000000001</v>
      </c>
      <c r="F545" s="30">
        <f>SUM(F546:F546)+142575.42</f>
        <v>142575.42000000001</v>
      </c>
      <c r="G545" s="30">
        <f t="shared" ref="G545:N545" si="437">SUM(G546:G546)</f>
        <v>0</v>
      </c>
      <c r="H545" s="30">
        <f t="shared" si="437"/>
        <v>0</v>
      </c>
      <c r="I545" s="30">
        <f t="shared" si="437"/>
        <v>0</v>
      </c>
      <c r="J545" s="30">
        <f t="shared" si="437"/>
        <v>0</v>
      </c>
      <c r="K545" s="30">
        <f t="shared" si="437"/>
        <v>0</v>
      </c>
      <c r="L545" s="30">
        <f t="shared" si="437"/>
        <v>0</v>
      </c>
      <c r="M545" s="30">
        <f t="shared" si="437"/>
        <v>0</v>
      </c>
      <c r="N545" s="30">
        <f t="shared" si="437"/>
        <v>0</v>
      </c>
      <c r="O545" s="30">
        <f>SUM(O546:O546)+142465.42</f>
        <v>142465.42000000001</v>
      </c>
      <c r="P545" s="30">
        <f>SUM(P546:P546)+112465.42</f>
        <v>112465.42</v>
      </c>
      <c r="Q545" s="30">
        <f t="shared" ref="Q545:X545" si="438">SUM(Q546:Q546)</f>
        <v>0</v>
      </c>
      <c r="R545" s="30">
        <f t="shared" si="438"/>
        <v>0</v>
      </c>
      <c r="S545" s="30">
        <f t="shared" si="438"/>
        <v>0</v>
      </c>
      <c r="T545" s="30">
        <f t="shared" si="438"/>
        <v>0</v>
      </c>
      <c r="U545" s="30">
        <f t="shared" si="438"/>
        <v>0</v>
      </c>
      <c r="V545" s="30">
        <f t="shared" si="438"/>
        <v>0</v>
      </c>
      <c r="W545" s="30">
        <f t="shared" si="438"/>
        <v>0</v>
      </c>
      <c r="X545" s="30">
        <f t="shared" si="438"/>
        <v>0</v>
      </c>
      <c r="Y545" s="29" t="s">
        <v>1503</v>
      </c>
      <c r="Z545" s="31" t="s">
        <v>40</v>
      </c>
      <c r="AA545" s="32" t="s">
        <v>1023</v>
      </c>
      <c r="AB545" s="32" t="s">
        <v>1504</v>
      </c>
      <c r="AC545" s="33"/>
    </row>
    <row r="546" spans="1:29" ht="69.75" x14ac:dyDescent="0.25">
      <c r="A546" s="34" t="s">
        <v>1505</v>
      </c>
      <c r="B546" s="35" t="s">
        <v>1506</v>
      </c>
      <c r="C546" s="36"/>
      <c r="D546" s="36"/>
      <c r="E546" s="37">
        <v>0</v>
      </c>
      <c r="F546" s="37">
        <v>0</v>
      </c>
      <c r="G546" s="37">
        <v>0</v>
      </c>
      <c r="H546" s="37">
        <v>0</v>
      </c>
      <c r="I546" s="37">
        <v>0</v>
      </c>
      <c r="J546" s="37">
        <v>0</v>
      </c>
      <c r="K546" s="37">
        <v>0</v>
      </c>
      <c r="L546" s="37">
        <v>0</v>
      </c>
      <c r="M546" s="37">
        <v>0</v>
      </c>
      <c r="N546" s="37">
        <v>0</v>
      </c>
      <c r="O546" s="37">
        <v>0</v>
      </c>
      <c r="P546" s="37">
        <v>0</v>
      </c>
      <c r="Q546" s="37">
        <v>0</v>
      </c>
      <c r="R546" s="37">
        <v>0</v>
      </c>
      <c r="S546" s="37">
        <v>0</v>
      </c>
      <c r="T546" s="37">
        <v>0</v>
      </c>
      <c r="U546" s="37">
        <v>0</v>
      </c>
      <c r="V546" s="37">
        <v>0</v>
      </c>
      <c r="W546" s="37">
        <v>0</v>
      </c>
      <c r="X546" s="37">
        <v>0</v>
      </c>
      <c r="Y546" s="36"/>
      <c r="Z546" s="38"/>
      <c r="AA546" s="39"/>
      <c r="AB546" s="39"/>
      <c r="AC546" s="40"/>
    </row>
    <row r="547" spans="1:29" ht="93" x14ac:dyDescent="0.25">
      <c r="A547" s="27" t="s">
        <v>1507</v>
      </c>
      <c r="B547" s="28" t="s">
        <v>1508</v>
      </c>
      <c r="C547" s="29" t="s">
        <v>1479</v>
      </c>
      <c r="D547" s="29" t="s">
        <v>1509</v>
      </c>
      <c r="E547" s="30">
        <f>SUM(E548:E548)+144985.5</f>
        <v>144985.5</v>
      </c>
      <c r="F547" s="30">
        <f>SUM(F548:F548)+144985.5</f>
        <v>144985.5</v>
      </c>
      <c r="G547" s="30">
        <f t="shared" ref="G547:N547" si="439">SUM(G548:G548)</f>
        <v>0</v>
      </c>
      <c r="H547" s="30">
        <f t="shared" si="439"/>
        <v>0</v>
      </c>
      <c r="I547" s="30">
        <f t="shared" si="439"/>
        <v>0</v>
      </c>
      <c r="J547" s="30">
        <f t="shared" si="439"/>
        <v>0</v>
      </c>
      <c r="K547" s="30">
        <f t="shared" si="439"/>
        <v>0</v>
      </c>
      <c r="L547" s="30">
        <f t="shared" si="439"/>
        <v>0</v>
      </c>
      <c r="M547" s="30">
        <f t="shared" si="439"/>
        <v>0</v>
      </c>
      <c r="N547" s="30">
        <f t="shared" si="439"/>
        <v>0</v>
      </c>
      <c r="O547" s="30">
        <f>SUM(O548:O548)+143045.57</f>
        <v>143045.57</v>
      </c>
      <c r="P547" s="30">
        <f>SUM(P548:P548)+141962.57</f>
        <v>141962.57</v>
      </c>
      <c r="Q547" s="30">
        <f t="shared" ref="Q547:X547" si="440">SUM(Q548:Q548)</f>
        <v>0</v>
      </c>
      <c r="R547" s="30">
        <f t="shared" si="440"/>
        <v>0</v>
      </c>
      <c r="S547" s="30">
        <f t="shared" si="440"/>
        <v>0</v>
      </c>
      <c r="T547" s="30">
        <f t="shared" si="440"/>
        <v>0</v>
      </c>
      <c r="U547" s="30">
        <f t="shared" si="440"/>
        <v>0</v>
      </c>
      <c r="V547" s="30">
        <f t="shared" si="440"/>
        <v>0</v>
      </c>
      <c r="W547" s="30">
        <f t="shared" si="440"/>
        <v>0</v>
      </c>
      <c r="X547" s="30">
        <f t="shared" si="440"/>
        <v>0</v>
      </c>
      <c r="Y547" s="29" t="s">
        <v>1510</v>
      </c>
      <c r="Z547" s="31" t="s">
        <v>40</v>
      </c>
      <c r="AA547" s="32" t="s">
        <v>186</v>
      </c>
      <c r="AB547" s="32" t="s">
        <v>1013</v>
      </c>
      <c r="AC547" s="33"/>
    </row>
    <row r="548" spans="1:29" ht="93" x14ac:dyDescent="0.25">
      <c r="A548" s="34" t="s">
        <v>1511</v>
      </c>
      <c r="B548" s="35" t="s">
        <v>1512</v>
      </c>
      <c r="C548" s="36"/>
      <c r="D548" s="36"/>
      <c r="E548" s="37">
        <v>0</v>
      </c>
      <c r="F548" s="37">
        <v>0</v>
      </c>
      <c r="G548" s="37">
        <v>0</v>
      </c>
      <c r="H548" s="37">
        <v>0</v>
      </c>
      <c r="I548" s="37">
        <v>0</v>
      </c>
      <c r="J548" s="37">
        <v>0</v>
      </c>
      <c r="K548" s="37">
        <v>0</v>
      </c>
      <c r="L548" s="37">
        <v>0</v>
      </c>
      <c r="M548" s="37">
        <v>0</v>
      </c>
      <c r="N548" s="37">
        <v>0</v>
      </c>
      <c r="O548" s="37">
        <v>0</v>
      </c>
      <c r="P548" s="37">
        <v>0</v>
      </c>
      <c r="Q548" s="37">
        <v>0</v>
      </c>
      <c r="R548" s="37">
        <v>0</v>
      </c>
      <c r="S548" s="37">
        <v>0</v>
      </c>
      <c r="T548" s="37">
        <v>0</v>
      </c>
      <c r="U548" s="37">
        <v>0</v>
      </c>
      <c r="V548" s="37">
        <v>0</v>
      </c>
      <c r="W548" s="37">
        <v>0</v>
      </c>
      <c r="X548" s="37">
        <v>0</v>
      </c>
      <c r="Y548" s="36"/>
      <c r="Z548" s="38"/>
      <c r="AA548" s="39"/>
      <c r="AB548" s="39"/>
      <c r="AC548" s="40"/>
    </row>
    <row r="549" spans="1:29" ht="69.75" x14ac:dyDescent="0.25">
      <c r="A549" s="27" t="s">
        <v>1513</v>
      </c>
      <c r="B549" s="28" t="s">
        <v>1514</v>
      </c>
      <c r="C549" s="29" t="s">
        <v>1479</v>
      </c>
      <c r="D549" s="29" t="s">
        <v>1502</v>
      </c>
      <c r="E549" s="30">
        <f>SUM(E550:E552)+102733.4</f>
        <v>102733.4</v>
      </c>
      <c r="F549" s="30">
        <f>SUM(F550:F552)+102733.4</f>
        <v>102733.4</v>
      </c>
      <c r="G549" s="30">
        <f t="shared" ref="G549:N549" si="441">SUM(G550:G552)</f>
        <v>0</v>
      </c>
      <c r="H549" s="30">
        <f t="shared" si="441"/>
        <v>0</v>
      </c>
      <c r="I549" s="30">
        <f t="shared" si="441"/>
        <v>0</v>
      </c>
      <c r="J549" s="30">
        <f t="shared" si="441"/>
        <v>0</v>
      </c>
      <c r="K549" s="30">
        <f t="shared" si="441"/>
        <v>0</v>
      </c>
      <c r="L549" s="30">
        <f t="shared" si="441"/>
        <v>0</v>
      </c>
      <c r="M549" s="30">
        <f t="shared" si="441"/>
        <v>0</v>
      </c>
      <c r="N549" s="30">
        <f t="shared" si="441"/>
        <v>0</v>
      </c>
      <c r="O549" s="30">
        <f>SUM(O550:O552)+102733.4</f>
        <v>102733.4</v>
      </c>
      <c r="P549" s="30">
        <f>SUM(P550:P552)+102733.4</f>
        <v>102733.4</v>
      </c>
      <c r="Q549" s="30">
        <f t="shared" ref="Q549:X549" si="442">SUM(Q550:Q552)</f>
        <v>0</v>
      </c>
      <c r="R549" s="30">
        <f t="shared" si="442"/>
        <v>0</v>
      </c>
      <c r="S549" s="30">
        <f t="shared" si="442"/>
        <v>0</v>
      </c>
      <c r="T549" s="30">
        <f t="shared" si="442"/>
        <v>0</v>
      </c>
      <c r="U549" s="30">
        <f t="shared" si="442"/>
        <v>0</v>
      </c>
      <c r="V549" s="30">
        <f t="shared" si="442"/>
        <v>0</v>
      </c>
      <c r="W549" s="30">
        <f t="shared" si="442"/>
        <v>0</v>
      </c>
      <c r="X549" s="30">
        <f t="shared" si="442"/>
        <v>0</v>
      </c>
      <c r="Y549" s="29" t="s">
        <v>1515</v>
      </c>
      <c r="Z549" s="31" t="s">
        <v>40</v>
      </c>
      <c r="AA549" s="32" t="s">
        <v>217</v>
      </c>
      <c r="AB549" s="32" t="s">
        <v>100</v>
      </c>
      <c r="AC549" s="33"/>
    </row>
    <row r="550" spans="1:29" ht="46.5" x14ac:dyDescent="0.25">
      <c r="A550" s="34" t="s">
        <v>1516</v>
      </c>
      <c r="B550" s="35" t="s">
        <v>1517</v>
      </c>
      <c r="C550" s="36"/>
      <c r="D550" s="36"/>
      <c r="E550" s="37">
        <v>0</v>
      </c>
      <c r="F550" s="37">
        <v>0</v>
      </c>
      <c r="G550" s="37">
        <v>0</v>
      </c>
      <c r="H550" s="37">
        <v>0</v>
      </c>
      <c r="I550" s="37">
        <v>0</v>
      </c>
      <c r="J550" s="37">
        <v>0</v>
      </c>
      <c r="K550" s="37">
        <v>0</v>
      </c>
      <c r="L550" s="37">
        <v>0</v>
      </c>
      <c r="M550" s="37">
        <v>0</v>
      </c>
      <c r="N550" s="37">
        <v>0</v>
      </c>
      <c r="O550" s="37">
        <v>0</v>
      </c>
      <c r="P550" s="37">
        <v>0</v>
      </c>
      <c r="Q550" s="37">
        <v>0</v>
      </c>
      <c r="R550" s="37">
        <v>0</v>
      </c>
      <c r="S550" s="37">
        <v>0</v>
      </c>
      <c r="T550" s="37">
        <v>0</v>
      </c>
      <c r="U550" s="37">
        <v>0</v>
      </c>
      <c r="V550" s="37">
        <v>0</v>
      </c>
      <c r="W550" s="37">
        <v>0</v>
      </c>
      <c r="X550" s="37">
        <v>0</v>
      </c>
      <c r="Y550" s="36"/>
      <c r="Z550" s="38"/>
      <c r="AA550" s="39"/>
      <c r="AB550" s="39"/>
      <c r="AC550" s="40"/>
    </row>
    <row r="551" spans="1:29" ht="69.75" x14ac:dyDescent="0.25">
      <c r="A551" s="34" t="s">
        <v>1518</v>
      </c>
      <c r="B551" s="35" t="s">
        <v>1519</v>
      </c>
      <c r="C551" s="36"/>
      <c r="D551" s="36"/>
      <c r="E551" s="37">
        <v>0</v>
      </c>
      <c r="F551" s="37">
        <v>0</v>
      </c>
      <c r="G551" s="37">
        <v>0</v>
      </c>
      <c r="H551" s="37">
        <v>0</v>
      </c>
      <c r="I551" s="37">
        <v>0</v>
      </c>
      <c r="J551" s="37">
        <v>0</v>
      </c>
      <c r="K551" s="37">
        <v>0</v>
      </c>
      <c r="L551" s="37">
        <v>0</v>
      </c>
      <c r="M551" s="37">
        <v>0</v>
      </c>
      <c r="N551" s="37">
        <v>0</v>
      </c>
      <c r="O551" s="37">
        <v>0</v>
      </c>
      <c r="P551" s="37">
        <v>0</v>
      </c>
      <c r="Q551" s="37">
        <v>0</v>
      </c>
      <c r="R551" s="37">
        <v>0</v>
      </c>
      <c r="S551" s="37">
        <v>0</v>
      </c>
      <c r="T551" s="37">
        <v>0</v>
      </c>
      <c r="U551" s="37">
        <v>0</v>
      </c>
      <c r="V551" s="37">
        <v>0</v>
      </c>
      <c r="W551" s="37">
        <v>0</v>
      </c>
      <c r="X551" s="37">
        <v>0</v>
      </c>
      <c r="Y551" s="36"/>
      <c r="Z551" s="38"/>
      <c r="AA551" s="39"/>
      <c r="AB551" s="39"/>
      <c r="AC551" s="40"/>
    </row>
    <row r="552" spans="1:29" ht="46.5" x14ac:dyDescent="0.25">
      <c r="A552" s="34" t="s">
        <v>1520</v>
      </c>
      <c r="B552" s="35" t="s">
        <v>1521</v>
      </c>
      <c r="C552" s="36"/>
      <c r="D552" s="36"/>
      <c r="E552" s="37">
        <v>0</v>
      </c>
      <c r="F552" s="37">
        <v>0</v>
      </c>
      <c r="G552" s="37">
        <v>0</v>
      </c>
      <c r="H552" s="37">
        <v>0</v>
      </c>
      <c r="I552" s="37">
        <v>0</v>
      </c>
      <c r="J552" s="37">
        <v>0</v>
      </c>
      <c r="K552" s="37">
        <v>0</v>
      </c>
      <c r="L552" s="37">
        <v>0</v>
      </c>
      <c r="M552" s="37">
        <v>0</v>
      </c>
      <c r="N552" s="37">
        <v>0</v>
      </c>
      <c r="O552" s="37">
        <v>0</v>
      </c>
      <c r="P552" s="37">
        <v>0</v>
      </c>
      <c r="Q552" s="37">
        <v>0</v>
      </c>
      <c r="R552" s="37">
        <v>0</v>
      </c>
      <c r="S552" s="37">
        <v>0</v>
      </c>
      <c r="T552" s="37">
        <v>0</v>
      </c>
      <c r="U552" s="37">
        <v>0</v>
      </c>
      <c r="V552" s="37">
        <v>0</v>
      </c>
      <c r="W552" s="37">
        <v>0</v>
      </c>
      <c r="X552" s="37">
        <v>0</v>
      </c>
      <c r="Y552" s="36"/>
      <c r="Z552" s="38"/>
      <c r="AA552" s="39"/>
      <c r="AB552" s="39"/>
      <c r="AC552" s="40"/>
    </row>
    <row r="553" spans="1:29" ht="116.25" x14ac:dyDescent="0.25">
      <c r="A553" s="27" t="s">
        <v>1522</v>
      </c>
      <c r="B553" s="28" t="s">
        <v>1523</v>
      </c>
      <c r="C553" s="29" t="s">
        <v>1479</v>
      </c>
      <c r="D553" s="29" t="s">
        <v>1491</v>
      </c>
      <c r="E553" s="30">
        <f>SUM(E554:E554)+749000</f>
        <v>749000</v>
      </c>
      <c r="F553" s="30">
        <f>SUM(F554:F554)+749000</f>
        <v>749000</v>
      </c>
      <c r="G553" s="30">
        <f t="shared" ref="G553:N553" si="443">SUM(G554:G554)</f>
        <v>0</v>
      </c>
      <c r="H553" s="30">
        <f t="shared" si="443"/>
        <v>0</v>
      </c>
      <c r="I553" s="30">
        <f t="shared" si="443"/>
        <v>0</v>
      </c>
      <c r="J553" s="30">
        <f t="shared" si="443"/>
        <v>0</v>
      </c>
      <c r="K553" s="30">
        <f t="shared" si="443"/>
        <v>0</v>
      </c>
      <c r="L553" s="30">
        <f t="shared" si="443"/>
        <v>0</v>
      </c>
      <c r="M553" s="30">
        <f t="shared" si="443"/>
        <v>0</v>
      </c>
      <c r="N553" s="30">
        <f t="shared" si="443"/>
        <v>0</v>
      </c>
      <c r="O553" s="30">
        <f>SUM(O554:O554)+746412.86</f>
        <v>746412.86</v>
      </c>
      <c r="P553" s="30">
        <f>SUM(P554:P554)+643412.86</f>
        <v>643412.86</v>
      </c>
      <c r="Q553" s="30">
        <f t="shared" ref="Q553:X553" si="444">SUM(Q554:Q554)</f>
        <v>0</v>
      </c>
      <c r="R553" s="30">
        <f t="shared" si="444"/>
        <v>0</v>
      </c>
      <c r="S553" s="30">
        <f t="shared" si="444"/>
        <v>0</v>
      </c>
      <c r="T553" s="30">
        <f t="shared" si="444"/>
        <v>0</v>
      </c>
      <c r="U553" s="30">
        <f t="shared" si="444"/>
        <v>0</v>
      </c>
      <c r="V553" s="30">
        <f t="shared" si="444"/>
        <v>0</v>
      </c>
      <c r="W553" s="30">
        <f t="shared" si="444"/>
        <v>0</v>
      </c>
      <c r="X553" s="30">
        <f t="shared" si="444"/>
        <v>0</v>
      </c>
      <c r="Y553" s="29" t="s">
        <v>1524</v>
      </c>
      <c r="Z553" s="31" t="s">
        <v>40</v>
      </c>
      <c r="AA553" s="32" t="s">
        <v>1525</v>
      </c>
      <c r="AB553" s="32" t="s">
        <v>1526</v>
      </c>
      <c r="AC553" s="33"/>
    </row>
    <row r="554" spans="1:29" ht="116.25" x14ac:dyDescent="0.25">
      <c r="A554" s="34" t="s">
        <v>1527</v>
      </c>
      <c r="B554" s="35" t="s">
        <v>1528</v>
      </c>
      <c r="C554" s="36"/>
      <c r="D554" s="36"/>
      <c r="E554" s="37">
        <v>0</v>
      </c>
      <c r="F554" s="37">
        <v>0</v>
      </c>
      <c r="G554" s="37">
        <v>0</v>
      </c>
      <c r="H554" s="37">
        <v>0</v>
      </c>
      <c r="I554" s="37">
        <v>0</v>
      </c>
      <c r="J554" s="37">
        <v>0</v>
      </c>
      <c r="K554" s="37">
        <v>0</v>
      </c>
      <c r="L554" s="37">
        <v>0</v>
      </c>
      <c r="M554" s="37">
        <v>0</v>
      </c>
      <c r="N554" s="37">
        <v>0</v>
      </c>
      <c r="O554" s="37">
        <v>0</v>
      </c>
      <c r="P554" s="37">
        <v>0</v>
      </c>
      <c r="Q554" s="37">
        <v>0</v>
      </c>
      <c r="R554" s="37">
        <v>0</v>
      </c>
      <c r="S554" s="37">
        <v>0</v>
      </c>
      <c r="T554" s="37">
        <v>0</v>
      </c>
      <c r="U554" s="37">
        <v>0</v>
      </c>
      <c r="V554" s="37">
        <v>0</v>
      </c>
      <c r="W554" s="37">
        <v>0</v>
      </c>
      <c r="X554" s="37">
        <v>0</v>
      </c>
      <c r="Y554" s="36"/>
      <c r="Z554" s="38"/>
      <c r="AA554" s="39"/>
      <c r="AB554" s="39"/>
      <c r="AC554" s="40"/>
    </row>
    <row r="555" spans="1:29" ht="93" x14ac:dyDescent="0.25">
      <c r="A555" s="27" t="s">
        <v>1529</v>
      </c>
      <c r="B555" s="28" t="s">
        <v>1530</v>
      </c>
      <c r="C555" s="29" t="s">
        <v>1479</v>
      </c>
      <c r="D555" s="29" t="s">
        <v>1491</v>
      </c>
      <c r="E555" s="30">
        <f>SUM(E556:E556)+1111404.77</f>
        <v>1111404.77</v>
      </c>
      <c r="F555" s="30">
        <f>SUM(F556:F556)</f>
        <v>0</v>
      </c>
      <c r="G555" s="30">
        <f>SUM(G556:G556)</f>
        <v>0</v>
      </c>
      <c r="H555" s="30">
        <f>SUM(H556:H556)</f>
        <v>0</v>
      </c>
      <c r="I555" s="30">
        <f>SUM(I556:I556)+1111404.77</f>
        <v>1111404.77</v>
      </c>
      <c r="J555" s="30">
        <f>SUM(J556:J556)</f>
        <v>0</v>
      </c>
      <c r="K555" s="30">
        <f>SUM(K556:K556)</f>
        <v>0</v>
      </c>
      <c r="L555" s="30">
        <f>SUM(L556:L556)</f>
        <v>0</v>
      </c>
      <c r="M555" s="30">
        <f>SUM(M556:M556)</f>
        <v>0</v>
      </c>
      <c r="N555" s="30">
        <f>SUM(N556:N556)</f>
        <v>0</v>
      </c>
      <c r="O555" s="30">
        <f>SUM(O556:O556)+1111404.77</f>
        <v>1111404.77</v>
      </c>
      <c r="P555" s="30">
        <f t="shared" ref="P555:X555" si="445">SUM(P556:P556)</f>
        <v>0</v>
      </c>
      <c r="Q555" s="30">
        <f t="shared" si="445"/>
        <v>0</v>
      </c>
      <c r="R555" s="30">
        <f t="shared" si="445"/>
        <v>0</v>
      </c>
      <c r="S555" s="30">
        <f t="shared" si="445"/>
        <v>0</v>
      </c>
      <c r="T555" s="30">
        <f t="shared" si="445"/>
        <v>0</v>
      </c>
      <c r="U555" s="30">
        <f t="shared" si="445"/>
        <v>0</v>
      </c>
      <c r="V555" s="30">
        <f t="shared" si="445"/>
        <v>0</v>
      </c>
      <c r="W555" s="30">
        <f t="shared" si="445"/>
        <v>0</v>
      </c>
      <c r="X555" s="30">
        <f t="shared" si="445"/>
        <v>0</v>
      </c>
      <c r="Y555" s="29" t="s">
        <v>1531</v>
      </c>
      <c r="Z555" s="31" t="s">
        <v>40</v>
      </c>
      <c r="AA555" s="32" t="s">
        <v>134</v>
      </c>
      <c r="AB555" s="32" t="s">
        <v>1532</v>
      </c>
      <c r="AC555" s="33"/>
    </row>
    <row r="556" spans="1:29" ht="69.75" x14ac:dyDescent="0.25">
      <c r="A556" s="34" t="s">
        <v>1533</v>
      </c>
      <c r="B556" s="35" t="s">
        <v>1534</v>
      </c>
      <c r="C556" s="36"/>
      <c r="D556" s="36"/>
      <c r="E556" s="37">
        <v>0</v>
      </c>
      <c r="F556" s="37">
        <v>0</v>
      </c>
      <c r="G556" s="37">
        <v>0</v>
      </c>
      <c r="H556" s="37">
        <v>0</v>
      </c>
      <c r="I556" s="37">
        <v>0</v>
      </c>
      <c r="J556" s="37">
        <v>0</v>
      </c>
      <c r="K556" s="37">
        <v>0</v>
      </c>
      <c r="L556" s="37">
        <v>0</v>
      </c>
      <c r="M556" s="37">
        <v>0</v>
      </c>
      <c r="N556" s="37">
        <v>0</v>
      </c>
      <c r="O556" s="37">
        <v>0</v>
      </c>
      <c r="P556" s="37">
        <v>0</v>
      </c>
      <c r="Q556" s="37">
        <v>0</v>
      </c>
      <c r="R556" s="37">
        <v>0</v>
      </c>
      <c r="S556" s="37">
        <v>0</v>
      </c>
      <c r="T556" s="37">
        <v>0</v>
      </c>
      <c r="U556" s="37">
        <v>0</v>
      </c>
      <c r="V556" s="37">
        <v>0</v>
      </c>
      <c r="W556" s="37">
        <v>0</v>
      </c>
      <c r="X556" s="37">
        <v>0</v>
      </c>
      <c r="Y556" s="36"/>
      <c r="Z556" s="38"/>
      <c r="AA556" s="39"/>
      <c r="AB556" s="39"/>
      <c r="AC556" s="40"/>
    </row>
    <row r="557" spans="1:29" ht="45" x14ac:dyDescent="0.25">
      <c r="A557" s="20" t="s">
        <v>1535</v>
      </c>
      <c r="B557" s="21" t="s">
        <v>1536</v>
      </c>
      <c r="C557" s="22" t="s">
        <v>1479</v>
      </c>
      <c r="D557" s="22" t="s">
        <v>1482</v>
      </c>
      <c r="E557" s="23">
        <f t="shared" ref="E557:X557" si="446">E558+E560+E562+E564</f>
        <v>571959.5</v>
      </c>
      <c r="F557" s="23">
        <f t="shared" si="446"/>
        <v>220266</v>
      </c>
      <c r="G557" s="23">
        <f t="shared" si="446"/>
        <v>0</v>
      </c>
      <c r="H557" s="23">
        <f t="shared" si="446"/>
        <v>0</v>
      </c>
      <c r="I557" s="23">
        <f t="shared" si="446"/>
        <v>0</v>
      </c>
      <c r="J557" s="23">
        <f t="shared" si="446"/>
        <v>0</v>
      </c>
      <c r="K557" s="23">
        <f t="shared" si="446"/>
        <v>0</v>
      </c>
      <c r="L557" s="23">
        <f t="shared" si="446"/>
        <v>349383</v>
      </c>
      <c r="M557" s="23">
        <f t="shared" si="446"/>
        <v>0</v>
      </c>
      <c r="N557" s="23">
        <f t="shared" si="446"/>
        <v>0</v>
      </c>
      <c r="O557" s="23">
        <f t="shared" si="446"/>
        <v>567673.34</v>
      </c>
      <c r="P557" s="23">
        <f t="shared" si="446"/>
        <v>219356</v>
      </c>
      <c r="Q557" s="23">
        <f t="shared" si="446"/>
        <v>0</v>
      </c>
      <c r="R557" s="23">
        <f t="shared" si="446"/>
        <v>0</v>
      </c>
      <c r="S557" s="23">
        <f t="shared" si="446"/>
        <v>0</v>
      </c>
      <c r="T557" s="23">
        <f t="shared" si="446"/>
        <v>0</v>
      </c>
      <c r="U557" s="23">
        <f t="shared" si="446"/>
        <v>0</v>
      </c>
      <c r="V557" s="23">
        <f t="shared" si="446"/>
        <v>0</v>
      </c>
      <c r="W557" s="23">
        <f t="shared" si="446"/>
        <v>0</v>
      </c>
      <c r="X557" s="23">
        <f t="shared" si="446"/>
        <v>0</v>
      </c>
      <c r="Y557" s="22" t="s">
        <v>1537</v>
      </c>
      <c r="Z557" s="24" t="s">
        <v>40</v>
      </c>
      <c r="AA557" s="25" t="s">
        <v>1538</v>
      </c>
      <c r="AB557" s="25" t="s">
        <v>1539</v>
      </c>
      <c r="AC557" s="26"/>
    </row>
    <row r="558" spans="1:29" ht="69.75" x14ac:dyDescent="0.25">
      <c r="A558" s="27" t="s">
        <v>1540</v>
      </c>
      <c r="B558" s="28" t="s">
        <v>1541</v>
      </c>
      <c r="C558" s="29" t="s">
        <v>1479</v>
      </c>
      <c r="D558" s="29" t="s">
        <v>1502</v>
      </c>
      <c r="E558" s="30">
        <f>SUM(E559:E559)+4300</f>
        <v>4300</v>
      </c>
      <c r="F558" s="30">
        <f t="shared" ref="F558:K558" si="447">SUM(F559:F559)</f>
        <v>0</v>
      </c>
      <c r="G558" s="30">
        <f t="shared" si="447"/>
        <v>0</v>
      </c>
      <c r="H558" s="30">
        <f t="shared" si="447"/>
        <v>0</v>
      </c>
      <c r="I558" s="30">
        <f t="shared" si="447"/>
        <v>0</v>
      </c>
      <c r="J558" s="30">
        <f t="shared" si="447"/>
        <v>0</v>
      </c>
      <c r="K558" s="30">
        <f t="shared" si="447"/>
        <v>0</v>
      </c>
      <c r="L558" s="30">
        <f>SUM(L559:L559)+4300</f>
        <v>4300</v>
      </c>
      <c r="M558" s="30">
        <f>SUM(M559:M559)</f>
        <v>0</v>
      </c>
      <c r="N558" s="30">
        <f>SUM(N559:N559)</f>
        <v>0</v>
      </c>
      <c r="O558" s="30">
        <f>SUM(O559:O559)+4300</f>
        <v>4300</v>
      </c>
      <c r="P558" s="30">
        <f t="shared" ref="P558:X558" si="448">SUM(P559:P559)</f>
        <v>0</v>
      </c>
      <c r="Q558" s="30">
        <f t="shared" si="448"/>
        <v>0</v>
      </c>
      <c r="R558" s="30">
        <f t="shared" si="448"/>
        <v>0</v>
      </c>
      <c r="S558" s="30">
        <f t="shared" si="448"/>
        <v>0</v>
      </c>
      <c r="T558" s="30">
        <f t="shared" si="448"/>
        <v>0</v>
      </c>
      <c r="U558" s="30">
        <f t="shared" si="448"/>
        <v>0</v>
      </c>
      <c r="V558" s="30">
        <f t="shared" si="448"/>
        <v>0</v>
      </c>
      <c r="W558" s="30">
        <f t="shared" si="448"/>
        <v>0</v>
      </c>
      <c r="X558" s="30">
        <f t="shared" si="448"/>
        <v>0</v>
      </c>
      <c r="Y558" s="29" t="s">
        <v>1542</v>
      </c>
      <c r="Z558" s="31" t="s">
        <v>40</v>
      </c>
      <c r="AA558" s="32" t="s">
        <v>70</v>
      </c>
      <c r="AB558" s="32" t="s">
        <v>70</v>
      </c>
      <c r="AC558" s="33"/>
    </row>
    <row r="559" spans="1:29" ht="46.5" x14ac:dyDescent="0.25">
      <c r="A559" s="34" t="s">
        <v>1543</v>
      </c>
      <c r="B559" s="35" t="s">
        <v>1544</v>
      </c>
      <c r="C559" s="36"/>
      <c r="D559" s="36"/>
      <c r="E559" s="37">
        <v>0</v>
      </c>
      <c r="F559" s="37">
        <v>0</v>
      </c>
      <c r="G559" s="37">
        <v>0</v>
      </c>
      <c r="H559" s="37">
        <v>0</v>
      </c>
      <c r="I559" s="37">
        <v>0</v>
      </c>
      <c r="J559" s="37">
        <v>0</v>
      </c>
      <c r="K559" s="37">
        <v>0</v>
      </c>
      <c r="L559" s="37">
        <v>0</v>
      </c>
      <c r="M559" s="37">
        <v>0</v>
      </c>
      <c r="N559" s="37">
        <v>0</v>
      </c>
      <c r="O559" s="37">
        <v>0</v>
      </c>
      <c r="P559" s="37">
        <v>0</v>
      </c>
      <c r="Q559" s="37">
        <v>0</v>
      </c>
      <c r="R559" s="37">
        <v>0</v>
      </c>
      <c r="S559" s="37">
        <v>0</v>
      </c>
      <c r="T559" s="37">
        <v>0</v>
      </c>
      <c r="U559" s="37">
        <v>0</v>
      </c>
      <c r="V559" s="37">
        <v>0</v>
      </c>
      <c r="W559" s="37">
        <v>0</v>
      </c>
      <c r="X559" s="37">
        <v>0</v>
      </c>
      <c r="Y559" s="36"/>
      <c r="Z559" s="38"/>
      <c r="AA559" s="39"/>
      <c r="AB559" s="39"/>
      <c r="AC559" s="40"/>
    </row>
    <row r="560" spans="1:29" ht="46.5" x14ac:dyDescent="0.25">
      <c r="A560" s="27" t="s">
        <v>1545</v>
      </c>
      <c r="B560" s="28" t="s">
        <v>1546</v>
      </c>
      <c r="C560" s="29" t="s">
        <v>1479</v>
      </c>
      <c r="D560" s="29" t="s">
        <v>1502</v>
      </c>
      <c r="E560" s="30">
        <f>SUM(E561:E561)+369810.5</f>
        <v>369810.5</v>
      </c>
      <c r="F560" s="30">
        <f>SUM(F561:F561)+154200</f>
        <v>154200</v>
      </c>
      <c r="G560" s="30">
        <f>SUM(G561:G561)</f>
        <v>0</v>
      </c>
      <c r="H560" s="30">
        <f>SUM(H561:H561)</f>
        <v>0</v>
      </c>
      <c r="I560" s="30">
        <f>SUM(I561:I561)</f>
        <v>0</v>
      </c>
      <c r="J560" s="30">
        <f>SUM(J561:J561)</f>
        <v>0</v>
      </c>
      <c r="K560" s="30">
        <f>SUM(K561:K561)</f>
        <v>0</v>
      </c>
      <c r="L560" s="30">
        <f>SUM(L561:L561)+213300</f>
        <v>213300</v>
      </c>
      <c r="M560" s="30">
        <f>SUM(M561:M561)</f>
        <v>0</v>
      </c>
      <c r="N560" s="30">
        <f>SUM(N561:N561)</f>
        <v>0</v>
      </c>
      <c r="O560" s="30">
        <f>SUM(O561:O561)+369054.5</f>
        <v>369054.5</v>
      </c>
      <c r="P560" s="30">
        <f>SUM(P561:P561)+153444</f>
        <v>153444</v>
      </c>
      <c r="Q560" s="30">
        <f t="shared" ref="Q560:X560" si="449">SUM(Q561:Q561)</f>
        <v>0</v>
      </c>
      <c r="R560" s="30">
        <f t="shared" si="449"/>
        <v>0</v>
      </c>
      <c r="S560" s="30">
        <f t="shared" si="449"/>
        <v>0</v>
      </c>
      <c r="T560" s="30">
        <f t="shared" si="449"/>
        <v>0</v>
      </c>
      <c r="U560" s="30">
        <f t="shared" si="449"/>
        <v>0</v>
      </c>
      <c r="V560" s="30">
        <f t="shared" si="449"/>
        <v>0</v>
      </c>
      <c r="W560" s="30">
        <f t="shared" si="449"/>
        <v>0</v>
      </c>
      <c r="X560" s="30">
        <f t="shared" si="449"/>
        <v>0</v>
      </c>
      <c r="Y560" s="29" t="s">
        <v>1547</v>
      </c>
      <c r="Z560" s="31" t="s">
        <v>40</v>
      </c>
      <c r="AA560" s="32" t="s">
        <v>1548</v>
      </c>
      <c r="AB560" s="32" t="s">
        <v>1548</v>
      </c>
      <c r="AC560" s="33"/>
    </row>
    <row r="561" spans="1:29" ht="46.5" x14ac:dyDescent="0.25">
      <c r="A561" s="34" t="s">
        <v>1549</v>
      </c>
      <c r="B561" s="35" t="s">
        <v>1550</v>
      </c>
      <c r="C561" s="36"/>
      <c r="D561" s="36"/>
      <c r="E561" s="37">
        <v>0</v>
      </c>
      <c r="F561" s="37">
        <v>0</v>
      </c>
      <c r="G561" s="37">
        <v>0</v>
      </c>
      <c r="H561" s="37">
        <v>0</v>
      </c>
      <c r="I561" s="37">
        <v>0</v>
      </c>
      <c r="J561" s="37">
        <v>0</v>
      </c>
      <c r="K561" s="37">
        <v>0</v>
      </c>
      <c r="L561" s="37">
        <v>0</v>
      </c>
      <c r="M561" s="37">
        <v>0</v>
      </c>
      <c r="N561" s="37">
        <v>0</v>
      </c>
      <c r="O561" s="37">
        <v>0</v>
      </c>
      <c r="P561" s="37">
        <v>0</v>
      </c>
      <c r="Q561" s="37">
        <v>0</v>
      </c>
      <c r="R561" s="37">
        <v>0</v>
      </c>
      <c r="S561" s="37">
        <v>0</v>
      </c>
      <c r="T561" s="37">
        <v>0</v>
      </c>
      <c r="U561" s="37">
        <v>0</v>
      </c>
      <c r="V561" s="37">
        <v>0</v>
      </c>
      <c r="W561" s="37">
        <v>0</v>
      </c>
      <c r="X561" s="37">
        <v>0</v>
      </c>
      <c r="Y561" s="36"/>
      <c r="Z561" s="38"/>
      <c r="AA561" s="39"/>
      <c r="AB561" s="39"/>
      <c r="AC561" s="40"/>
    </row>
    <row r="562" spans="1:29" ht="69.75" x14ac:dyDescent="0.25">
      <c r="A562" s="27" t="s">
        <v>1551</v>
      </c>
      <c r="B562" s="28" t="s">
        <v>1552</v>
      </c>
      <c r="C562" s="29" t="s">
        <v>1479</v>
      </c>
      <c r="D562" s="29" t="s">
        <v>1553</v>
      </c>
      <c r="E562" s="30">
        <f>SUM(E563:E563)+194011</f>
        <v>194011</v>
      </c>
      <c r="F562" s="30">
        <f>SUM(F563:F563)+66066</f>
        <v>66066</v>
      </c>
      <c r="G562" s="30">
        <f>SUM(G563:G563)</f>
        <v>0</v>
      </c>
      <c r="H562" s="30">
        <f>SUM(H563:H563)</f>
        <v>0</v>
      </c>
      <c r="I562" s="30">
        <f>SUM(I563:I563)</f>
        <v>0</v>
      </c>
      <c r="J562" s="30">
        <f>SUM(J563:J563)</f>
        <v>0</v>
      </c>
      <c r="K562" s="30">
        <f>SUM(K563:K563)</f>
        <v>0</v>
      </c>
      <c r="L562" s="30">
        <f>SUM(L563:L563)+127945</f>
        <v>127945</v>
      </c>
      <c r="M562" s="30">
        <f>SUM(M563:M563)</f>
        <v>0</v>
      </c>
      <c r="N562" s="30">
        <f>SUM(N563:N563)</f>
        <v>0</v>
      </c>
      <c r="O562" s="30">
        <f>SUM(O563:O563)+190579.84</f>
        <v>190579.84</v>
      </c>
      <c r="P562" s="30">
        <f>SUM(P563:P563)+65912</f>
        <v>65912</v>
      </c>
      <c r="Q562" s="30">
        <f t="shared" ref="Q562:X562" si="450">SUM(Q563:Q563)</f>
        <v>0</v>
      </c>
      <c r="R562" s="30">
        <f t="shared" si="450"/>
        <v>0</v>
      </c>
      <c r="S562" s="30">
        <f t="shared" si="450"/>
        <v>0</v>
      </c>
      <c r="T562" s="30">
        <f t="shared" si="450"/>
        <v>0</v>
      </c>
      <c r="U562" s="30">
        <f t="shared" si="450"/>
        <v>0</v>
      </c>
      <c r="V562" s="30">
        <f t="shared" si="450"/>
        <v>0</v>
      </c>
      <c r="W562" s="30">
        <f t="shared" si="450"/>
        <v>0</v>
      </c>
      <c r="X562" s="30">
        <f t="shared" si="450"/>
        <v>0</v>
      </c>
      <c r="Y562" s="29" t="s">
        <v>1554</v>
      </c>
      <c r="Z562" s="31" t="s">
        <v>40</v>
      </c>
      <c r="AA562" s="32" t="s">
        <v>1555</v>
      </c>
      <c r="AB562" s="32" t="s">
        <v>1556</v>
      </c>
      <c r="AC562" s="33" t="s">
        <v>1557</v>
      </c>
    </row>
    <row r="563" spans="1:29" ht="46.5" x14ac:dyDescent="0.25">
      <c r="A563" s="34" t="s">
        <v>1558</v>
      </c>
      <c r="B563" s="35" t="s">
        <v>1559</v>
      </c>
      <c r="C563" s="36"/>
      <c r="D563" s="36"/>
      <c r="E563" s="37">
        <v>0</v>
      </c>
      <c r="F563" s="37">
        <v>0</v>
      </c>
      <c r="G563" s="37">
        <v>0</v>
      </c>
      <c r="H563" s="37">
        <v>0</v>
      </c>
      <c r="I563" s="37">
        <v>0</v>
      </c>
      <c r="J563" s="37">
        <v>0</v>
      </c>
      <c r="K563" s="37">
        <v>0</v>
      </c>
      <c r="L563" s="37">
        <v>0</v>
      </c>
      <c r="M563" s="37">
        <v>0</v>
      </c>
      <c r="N563" s="37">
        <v>0</v>
      </c>
      <c r="O563" s="37">
        <v>0</v>
      </c>
      <c r="P563" s="37">
        <v>0</v>
      </c>
      <c r="Q563" s="37">
        <v>0</v>
      </c>
      <c r="R563" s="37">
        <v>0</v>
      </c>
      <c r="S563" s="37">
        <v>0</v>
      </c>
      <c r="T563" s="37">
        <v>0</v>
      </c>
      <c r="U563" s="37">
        <v>0</v>
      </c>
      <c r="V563" s="37">
        <v>0</v>
      </c>
      <c r="W563" s="37">
        <v>0</v>
      </c>
      <c r="X563" s="37">
        <v>0</v>
      </c>
      <c r="Y563" s="36"/>
      <c r="Z563" s="38"/>
      <c r="AA563" s="39"/>
      <c r="AB563" s="39"/>
      <c r="AC563" s="40"/>
    </row>
    <row r="564" spans="1:29" ht="69.75" x14ac:dyDescent="0.25">
      <c r="A564" s="27" t="s">
        <v>1560</v>
      </c>
      <c r="B564" s="28" t="s">
        <v>1561</v>
      </c>
      <c r="C564" s="29" t="s">
        <v>1479</v>
      </c>
      <c r="D564" s="29" t="s">
        <v>1553</v>
      </c>
      <c r="E564" s="30">
        <f>SUM(E565:E565)+3838</f>
        <v>3838</v>
      </c>
      <c r="F564" s="30">
        <f t="shared" ref="F564:K564" si="451">SUM(F565:F565)</f>
        <v>0</v>
      </c>
      <c r="G564" s="30">
        <f t="shared" si="451"/>
        <v>0</v>
      </c>
      <c r="H564" s="30">
        <f t="shared" si="451"/>
        <v>0</v>
      </c>
      <c r="I564" s="30">
        <f t="shared" si="451"/>
        <v>0</v>
      </c>
      <c r="J564" s="30">
        <f t="shared" si="451"/>
        <v>0</v>
      </c>
      <c r="K564" s="30">
        <f t="shared" si="451"/>
        <v>0</v>
      </c>
      <c r="L564" s="30">
        <f>SUM(L565:L565)+3838</f>
        <v>3838</v>
      </c>
      <c r="M564" s="30">
        <f>SUM(M565:M565)</f>
        <v>0</v>
      </c>
      <c r="N564" s="30">
        <f>SUM(N565:N565)</f>
        <v>0</v>
      </c>
      <c r="O564" s="30">
        <f>SUM(O565:O565)+3739</f>
        <v>3739</v>
      </c>
      <c r="P564" s="30">
        <f t="shared" ref="P564:X564" si="452">SUM(P565:P565)</f>
        <v>0</v>
      </c>
      <c r="Q564" s="30">
        <f t="shared" si="452"/>
        <v>0</v>
      </c>
      <c r="R564" s="30">
        <f t="shared" si="452"/>
        <v>0</v>
      </c>
      <c r="S564" s="30">
        <f t="shared" si="452"/>
        <v>0</v>
      </c>
      <c r="T564" s="30">
        <f t="shared" si="452"/>
        <v>0</v>
      </c>
      <c r="U564" s="30">
        <f t="shared" si="452"/>
        <v>0</v>
      </c>
      <c r="V564" s="30">
        <f t="shared" si="452"/>
        <v>0</v>
      </c>
      <c r="W564" s="30">
        <f t="shared" si="452"/>
        <v>0</v>
      </c>
      <c r="X564" s="30">
        <f t="shared" si="452"/>
        <v>0</v>
      </c>
      <c r="Y564" s="29" t="s">
        <v>1562</v>
      </c>
      <c r="Z564" s="31" t="s">
        <v>40</v>
      </c>
      <c r="AA564" s="32" t="s">
        <v>41</v>
      </c>
      <c r="AB564" s="32" t="s">
        <v>41</v>
      </c>
      <c r="AC564" s="33"/>
    </row>
    <row r="565" spans="1:29" ht="69.75" x14ac:dyDescent="0.25">
      <c r="A565" s="34" t="s">
        <v>1563</v>
      </c>
      <c r="B565" s="35" t="s">
        <v>1564</v>
      </c>
      <c r="C565" s="36"/>
      <c r="D565" s="36"/>
      <c r="E565" s="37">
        <v>0</v>
      </c>
      <c r="F565" s="37">
        <v>0</v>
      </c>
      <c r="G565" s="37">
        <v>0</v>
      </c>
      <c r="H565" s="37">
        <v>0</v>
      </c>
      <c r="I565" s="37">
        <v>0</v>
      </c>
      <c r="J565" s="37">
        <v>0</v>
      </c>
      <c r="K565" s="37">
        <v>0</v>
      </c>
      <c r="L565" s="37">
        <v>0</v>
      </c>
      <c r="M565" s="37">
        <v>0</v>
      </c>
      <c r="N565" s="37">
        <v>0</v>
      </c>
      <c r="O565" s="37">
        <v>0</v>
      </c>
      <c r="P565" s="37">
        <v>0</v>
      </c>
      <c r="Q565" s="37">
        <v>0</v>
      </c>
      <c r="R565" s="37">
        <v>0</v>
      </c>
      <c r="S565" s="37">
        <v>0</v>
      </c>
      <c r="T565" s="37">
        <v>0</v>
      </c>
      <c r="U565" s="37">
        <v>0</v>
      </c>
      <c r="V565" s="37">
        <v>0</v>
      </c>
      <c r="W565" s="37">
        <v>0</v>
      </c>
      <c r="X565" s="37">
        <v>0</v>
      </c>
      <c r="Y565" s="36"/>
      <c r="Z565" s="38"/>
      <c r="AA565" s="39"/>
      <c r="AB565" s="39"/>
      <c r="AC565" s="40"/>
    </row>
    <row r="566" spans="1:29" ht="45" x14ac:dyDescent="0.25">
      <c r="A566" s="20" t="s">
        <v>1565</v>
      </c>
      <c r="B566" s="21" t="s">
        <v>1566</v>
      </c>
      <c r="C566" s="22" t="s">
        <v>1479</v>
      </c>
      <c r="D566" s="22" t="s">
        <v>1482</v>
      </c>
      <c r="E566" s="23">
        <f t="shared" ref="E566:X566" si="453">E567+E570+E572+E574+E576+E580+E582</f>
        <v>644208.07000000007</v>
      </c>
      <c r="F566" s="23">
        <f t="shared" si="453"/>
        <v>71259.12</v>
      </c>
      <c r="G566" s="23">
        <f t="shared" si="453"/>
        <v>0</v>
      </c>
      <c r="H566" s="23">
        <f t="shared" si="453"/>
        <v>0</v>
      </c>
      <c r="I566" s="23">
        <f t="shared" si="453"/>
        <v>3200</v>
      </c>
      <c r="J566" s="23">
        <f t="shared" si="453"/>
        <v>0</v>
      </c>
      <c r="K566" s="23">
        <f t="shared" si="453"/>
        <v>0</v>
      </c>
      <c r="L566" s="23">
        <f t="shared" si="453"/>
        <v>569748.94999999995</v>
      </c>
      <c r="M566" s="23">
        <f t="shared" si="453"/>
        <v>0</v>
      </c>
      <c r="N566" s="23">
        <f t="shared" si="453"/>
        <v>0</v>
      </c>
      <c r="O566" s="23">
        <f t="shared" si="453"/>
        <v>643133.46000000008</v>
      </c>
      <c r="P566" s="23">
        <f t="shared" si="453"/>
        <v>70420.34</v>
      </c>
      <c r="Q566" s="23">
        <f t="shared" si="453"/>
        <v>0</v>
      </c>
      <c r="R566" s="23">
        <f t="shared" si="453"/>
        <v>0</v>
      </c>
      <c r="S566" s="23">
        <f t="shared" si="453"/>
        <v>0</v>
      </c>
      <c r="T566" s="23">
        <f t="shared" si="453"/>
        <v>0</v>
      </c>
      <c r="U566" s="23">
        <f t="shared" si="453"/>
        <v>0</v>
      </c>
      <c r="V566" s="23">
        <f t="shared" si="453"/>
        <v>0</v>
      </c>
      <c r="W566" s="23">
        <f t="shared" si="453"/>
        <v>0</v>
      </c>
      <c r="X566" s="23">
        <f t="shared" si="453"/>
        <v>0</v>
      </c>
      <c r="Y566" s="22" t="s">
        <v>153</v>
      </c>
      <c r="Z566" s="24" t="s">
        <v>40</v>
      </c>
      <c r="AA566" s="25" t="s">
        <v>267</v>
      </c>
      <c r="AB566" s="25" t="s">
        <v>267</v>
      </c>
      <c r="AC566" s="26"/>
    </row>
    <row r="567" spans="1:29" ht="69.75" x14ac:dyDescent="0.25">
      <c r="A567" s="27" t="s">
        <v>1567</v>
      </c>
      <c r="B567" s="28" t="s">
        <v>1568</v>
      </c>
      <c r="C567" s="29" t="s">
        <v>1479</v>
      </c>
      <c r="D567" s="29" t="s">
        <v>1553</v>
      </c>
      <c r="E567" s="30">
        <f t="shared" ref="E567:X567" si="454">SUM(E568:E569)</f>
        <v>0</v>
      </c>
      <c r="F567" s="30">
        <f t="shared" si="454"/>
        <v>0</v>
      </c>
      <c r="G567" s="30">
        <f t="shared" si="454"/>
        <v>0</v>
      </c>
      <c r="H567" s="30">
        <f t="shared" si="454"/>
        <v>0</v>
      </c>
      <c r="I567" s="30">
        <f t="shared" si="454"/>
        <v>0</v>
      </c>
      <c r="J567" s="30">
        <f t="shared" si="454"/>
        <v>0</v>
      </c>
      <c r="K567" s="30">
        <f t="shared" si="454"/>
        <v>0</v>
      </c>
      <c r="L567" s="30">
        <f t="shared" si="454"/>
        <v>0</v>
      </c>
      <c r="M567" s="30">
        <f t="shared" si="454"/>
        <v>0</v>
      </c>
      <c r="N567" s="30">
        <f t="shared" si="454"/>
        <v>0</v>
      </c>
      <c r="O567" s="30">
        <f t="shared" si="454"/>
        <v>0</v>
      </c>
      <c r="P567" s="30">
        <f t="shared" si="454"/>
        <v>0</v>
      </c>
      <c r="Q567" s="30">
        <f t="shared" si="454"/>
        <v>0</v>
      </c>
      <c r="R567" s="30">
        <f t="shared" si="454"/>
        <v>0</v>
      </c>
      <c r="S567" s="30">
        <f t="shared" si="454"/>
        <v>0</v>
      </c>
      <c r="T567" s="30">
        <f t="shared" si="454"/>
        <v>0</v>
      </c>
      <c r="U567" s="30">
        <f t="shared" si="454"/>
        <v>0</v>
      </c>
      <c r="V567" s="30">
        <f t="shared" si="454"/>
        <v>0</v>
      </c>
      <c r="W567" s="30">
        <f t="shared" si="454"/>
        <v>0</v>
      </c>
      <c r="X567" s="30">
        <f t="shared" si="454"/>
        <v>0</v>
      </c>
      <c r="Y567" s="29" t="s">
        <v>1569</v>
      </c>
      <c r="Z567" s="31" t="s">
        <v>40</v>
      </c>
      <c r="AA567" s="32" t="s">
        <v>1570</v>
      </c>
      <c r="AB567" s="32" t="s">
        <v>1571</v>
      </c>
      <c r="AC567" s="33" t="s">
        <v>1572</v>
      </c>
    </row>
    <row r="568" spans="1:29" ht="69.75" x14ac:dyDescent="0.25">
      <c r="A568" s="34" t="s">
        <v>1573</v>
      </c>
      <c r="B568" s="35" t="s">
        <v>1574</v>
      </c>
      <c r="C568" s="36"/>
      <c r="D568" s="36"/>
      <c r="E568" s="37">
        <v>0</v>
      </c>
      <c r="F568" s="37">
        <v>0</v>
      </c>
      <c r="G568" s="37">
        <v>0</v>
      </c>
      <c r="H568" s="37">
        <v>0</v>
      </c>
      <c r="I568" s="37">
        <v>0</v>
      </c>
      <c r="J568" s="37">
        <v>0</v>
      </c>
      <c r="K568" s="37">
        <v>0</v>
      </c>
      <c r="L568" s="37">
        <v>0</v>
      </c>
      <c r="M568" s="37">
        <v>0</v>
      </c>
      <c r="N568" s="37">
        <v>0</v>
      </c>
      <c r="O568" s="37">
        <v>0</v>
      </c>
      <c r="P568" s="37">
        <v>0</v>
      </c>
      <c r="Q568" s="37">
        <v>0</v>
      </c>
      <c r="R568" s="37">
        <v>0</v>
      </c>
      <c r="S568" s="37">
        <v>0</v>
      </c>
      <c r="T568" s="37">
        <v>0</v>
      </c>
      <c r="U568" s="37">
        <v>0</v>
      </c>
      <c r="V568" s="37">
        <v>0</v>
      </c>
      <c r="W568" s="37">
        <v>0</v>
      </c>
      <c r="X568" s="37">
        <v>0</v>
      </c>
      <c r="Y568" s="36"/>
      <c r="Z568" s="38"/>
      <c r="AA568" s="39"/>
      <c r="AB568" s="39"/>
      <c r="AC568" s="40"/>
    </row>
    <row r="569" spans="1:29" ht="69.75" x14ac:dyDescent="0.25">
      <c r="A569" s="34" t="s">
        <v>1575</v>
      </c>
      <c r="B569" s="35" t="s">
        <v>1576</v>
      </c>
      <c r="C569" s="36"/>
      <c r="D569" s="36"/>
      <c r="E569" s="37">
        <v>0</v>
      </c>
      <c r="F569" s="37">
        <v>0</v>
      </c>
      <c r="G569" s="37">
        <v>0</v>
      </c>
      <c r="H569" s="37">
        <v>0</v>
      </c>
      <c r="I569" s="37">
        <v>0</v>
      </c>
      <c r="J569" s="37">
        <v>0</v>
      </c>
      <c r="K569" s="37">
        <v>0</v>
      </c>
      <c r="L569" s="37">
        <v>0</v>
      </c>
      <c r="M569" s="37">
        <v>0</v>
      </c>
      <c r="N569" s="37">
        <v>0</v>
      </c>
      <c r="O569" s="37">
        <v>0</v>
      </c>
      <c r="P569" s="37">
        <v>0</v>
      </c>
      <c r="Q569" s="37">
        <v>0</v>
      </c>
      <c r="R569" s="37">
        <v>0</v>
      </c>
      <c r="S569" s="37">
        <v>0</v>
      </c>
      <c r="T569" s="37">
        <v>0</v>
      </c>
      <c r="U569" s="37">
        <v>0</v>
      </c>
      <c r="V569" s="37">
        <v>0</v>
      </c>
      <c r="W569" s="37">
        <v>0</v>
      </c>
      <c r="X569" s="37">
        <v>0</v>
      </c>
      <c r="Y569" s="36"/>
      <c r="Z569" s="38"/>
      <c r="AA569" s="39"/>
      <c r="AB569" s="39"/>
      <c r="AC569" s="40"/>
    </row>
    <row r="570" spans="1:29" ht="46.5" x14ac:dyDescent="0.25">
      <c r="A570" s="27" t="s">
        <v>1577</v>
      </c>
      <c r="B570" s="28" t="s">
        <v>1578</v>
      </c>
      <c r="C570" s="29" t="s">
        <v>1479</v>
      </c>
      <c r="D570" s="29" t="s">
        <v>1579</v>
      </c>
      <c r="E570" s="30">
        <f>SUM(E571:E571)+62429.53</f>
        <v>62429.53</v>
      </c>
      <c r="F570" s="30">
        <f>SUM(F571:F571)+29348.81</f>
        <v>29348.81</v>
      </c>
      <c r="G570" s="30">
        <f>SUM(G571:G571)</f>
        <v>0</v>
      </c>
      <c r="H570" s="30">
        <f>SUM(H571:H571)</f>
        <v>0</v>
      </c>
      <c r="I570" s="30">
        <f>SUM(I571:I571)</f>
        <v>0</v>
      </c>
      <c r="J570" s="30">
        <f>SUM(J571:J571)</f>
        <v>0</v>
      </c>
      <c r="K570" s="30">
        <f>SUM(K571:K571)</f>
        <v>0</v>
      </c>
      <c r="L570" s="30">
        <f>SUM(L571:L571)+33080.72</f>
        <v>33080.720000000001</v>
      </c>
      <c r="M570" s="30">
        <f>SUM(M571:M571)</f>
        <v>0</v>
      </c>
      <c r="N570" s="30">
        <f>SUM(N571:N571)</f>
        <v>0</v>
      </c>
      <c r="O570" s="30">
        <f>SUM(O571:O571)+61590.75</f>
        <v>61590.75</v>
      </c>
      <c r="P570" s="30">
        <f>SUM(P571:P571)+28510.03</f>
        <v>28510.03</v>
      </c>
      <c r="Q570" s="30">
        <f t="shared" ref="Q570:X570" si="455">SUM(Q571:Q571)</f>
        <v>0</v>
      </c>
      <c r="R570" s="30">
        <f t="shared" si="455"/>
        <v>0</v>
      </c>
      <c r="S570" s="30">
        <f t="shared" si="455"/>
        <v>0</v>
      </c>
      <c r="T570" s="30">
        <f t="shared" si="455"/>
        <v>0</v>
      </c>
      <c r="U570" s="30">
        <f t="shared" si="455"/>
        <v>0</v>
      </c>
      <c r="V570" s="30">
        <f t="shared" si="455"/>
        <v>0</v>
      </c>
      <c r="W570" s="30">
        <f t="shared" si="455"/>
        <v>0</v>
      </c>
      <c r="X570" s="30">
        <f t="shared" si="455"/>
        <v>0</v>
      </c>
      <c r="Y570" s="29" t="s">
        <v>1580</v>
      </c>
      <c r="Z570" s="31" t="s">
        <v>40</v>
      </c>
      <c r="AA570" s="32" t="s">
        <v>1013</v>
      </c>
      <c r="AB570" s="32" t="s">
        <v>1013</v>
      </c>
      <c r="AC570" s="33"/>
    </row>
    <row r="571" spans="1:29" ht="46.5" x14ac:dyDescent="0.25">
      <c r="A571" s="34" t="s">
        <v>1581</v>
      </c>
      <c r="B571" s="35" t="s">
        <v>1582</v>
      </c>
      <c r="C571" s="36"/>
      <c r="D571" s="36"/>
      <c r="E571" s="37">
        <v>0</v>
      </c>
      <c r="F571" s="37">
        <v>0</v>
      </c>
      <c r="G571" s="37">
        <v>0</v>
      </c>
      <c r="H571" s="37">
        <v>0</v>
      </c>
      <c r="I571" s="37">
        <v>0</v>
      </c>
      <c r="J571" s="37">
        <v>0</v>
      </c>
      <c r="K571" s="37">
        <v>0</v>
      </c>
      <c r="L571" s="37">
        <v>0</v>
      </c>
      <c r="M571" s="37">
        <v>0</v>
      </c>
      <c r="N571" s="37">
        <v>0</v>
      </c>
      <c r="O571" s="37">
        <v>0</v>
      </c>
      <c r="P571" s="37">
        <v>0</v>
      </c>
      <c r="Q571" s="37">
        <v>0</v>
      </c>
      <c r="R571" s="37">
        <v>0</v>
      </c>
      <c r="S571" s="37">
        <v>0</v>
      </c>
      <c r="T571" s="37">
        <v>0</v>
      </c>
      <c r="U571" s="37">
        <v>0</v>
      </c>
      <c r="V571" s="37">
        <v>0</v>
      </c>
      <c r="W571" s="37">
        <v>0</v>
      </c>
      <c r="X571" s="37">
        <v>0</v>
      </c>
      <c r="Y571" s="36"/>
      <c r="Z571" s="38"/>
      <c r="AA571" s="39"/>
      <c r="AB571" s="39"/>
      <c r="AC571" s="40"/>
    </row>
    <row r="572" spans="1:29" ht="69.75" x14ac:dyDescent="0.25">
      <c r="A572" s="27" t="s">
        <v>1583</v>
      </c>
      <c r="B572" s="28" t="s">
        <v>1584</v>
      </c>
      <c r="C572" s="29" t="s">
        <v>1479</v>
      </c>
      <c r="D572" s="29" t="s">
        <v>1579</v>
      </c>
      <c r="E572" s="30">
        <f>SUM(E573:E573)+1323.23</f>
        <v>1323.23</v>
      </c>
      <c r="F572" s="30">
        <f t="shared" ref="F572:K572" si="456">SUM(F573:F573)</f>
        <v>0</v>
      </c>
      <c r="G572" s="30">
        <f t="shared" si="456"/>
        <v>0</v>
      </c>
      <c r="H572" s="30">
        <f t="shared" si="456"/>
        <v>0</v>
      </c>
      <c r="I572" s="30">
        <f t="shared" si="456"/>
        <v>0</v>
      </c>
      <c r="J572" s="30">
        <f t="shared" si="456"/>
        <v>0</v>
      </c>
      <c r="K572" s="30">
        <f t="shared" si="456"/>
        <v>0</v>
      </c>
      <c r="L572" s="30">
        <f>SUM(L573:L573)+1323.23</f>
        <v>1323.23</v>
      </c>
      <c r="M572" s="30">
        <f>SUM(M573:M573)</f>
        <v>0</v>
      </c>
      <c r="N572" s="30">
        <f>SUM(N573:N573)</f>
        <v>0</v>
      </c>
      <c r="O572" s="30">
        <f>SUM(O573:O573)+1323.23</f>
        <v>1323.23</v>
      </c>
      <c r="P572" s="30">
        <f t="shared" ref="P572:X572" si="457">SUM(P573:P573)</f>
        <v>0</v>
      </c>
      <c r="Q572" s="30">
        <f t="shared" si="457"/>
        <v>0</v>
      </c>
      <c r="R572" s="30">
        <f t="shared" si="457"/>
        <v>0</v>
      </c>
      <c r="S572" s="30">
        <f t="shared" si="457"/>
        <v>0</v>
      </c>
      <c r="T572" s="30">
        <f t="shared" si="457"/>
        <v>0</v>
      </c>
      <c r="U572" s="30">
        <f t="shared" si="457"/>
        <v>0</v>
      </c>
      <c r="V572" s="30">
        <f t="shared" si="457"/>
        <v>0</v>
      </c>
      <c r="W572" s="30">
        <f t="shared" si="457"/>
        <v>0</v>
      </c>
      <c r="X572" s="30">
        <f t="shared" si="457"/>
        <v>0</v>
      </c>
      <c r="Y572" s="29" t="s">
        <v>1585</v>
      </c>
      <c r="Z572" s="31" t="s">
        <v>40</v>
      </c>
      <c r="AA572" s="32" t="s">
        <v>69</v>
      </c>
      <c r="AB572" s="32" t="s">
        <v>69</v>
      </c>
      <c r="AC572" s="33"/>
    </row>
    <row r="573" spans="1:29" ht="46.5" x14ac:dyDescent="0.25">
      <c r="A573" s="34" t="s">
        <v>1586</v>
      </c>
      <c r="B573" s="35" t="s">
        <v>1587</v>
      </c>
      <c r="C573" s="36"/>
      <c r="D573" s="36"/>
      <c r="E573" s="37">
        <v>0</v>
      </c>
      <c r="F573" s="37">
        <v>0</v>
      </c>
      <c r="G573" s="37">
        <v>0</v>
      </c>
      <c r="H573" s="37">
        <v>0</v>
      </c>
      <c r="I573" s="37">
        <v>0</v>
      </c>
      <c r="J573" s="37">
        <v>0</v>
      </c>
      <c r="K573" s="37">
        <v>0</v>
      </c>
      <c r="L573" s="37">
        <v>0</v>
      </c>
      <c r="M573" s="37">
        <v>0</v>
      </c>
      <c r="N573" s="37">
        <v>0</v>
      </c>
      <c r="O573" s="37">
        <v>0</v>
      </c>
      <c r="P573" s="37">
        <v>0</v>
      </c>
      <c r="Q573" s="37">
        <v>0</v>
      </c>
      <c r="R573" s="37">
        <v>0</v>
      </c>
      <c r="S573" s="37">
        <v>0</v>
      </c>
      <c r="T573" s="37">
        <v>0</v>
      </c>
      <c r="U573" s="37">
        <v>0</v>
      </c>
      <c r="V573" s="37">
        <v>0</v>
      </c>
      <c r="W573" s="37">
        <v>0</v>
      </c>
      <c r="X573" s="37">
        <v>0</v>
      </c>
      <c r="Y573" s="36"/>
      <c r="Z573" s="38"/>
      <c r="AA573" s="39"/>
      <c r="AB573" s="39"/>
      <c r="AC573" s="40"/>
    </row>
    <row r="574" spans="1:29" ht="69.75" x14ac:dyDescent="0.25">
      <c r="A574" s="27" t="s">
        <v>1588</v>
      </c>
      <c r="B574" s="28" t="s">
        <v>1589</v>
      </c>
      <c r="C574" s="29" t="s">
        <v>1479</v>
      </c>
      <c r="D574" s="29" t="s">
        <v>1553</v>
      </c>
      <c r="E574" s="30">
        <f>SUM(E575:E575)+41910.31</f>
        <v>41910.31</v>
      </c>
      <c r="F574" s="30">
        <f>SUM(F575:F575)+41910.31</f>
        <v>41910.31</v>
      </c>
      <c r="G574" s="30">
        <f t="shared" ref="G574:N574" si="458">SUM(G575:G575)</f>
        <v>0</v>
      </c>
      <c r="H574" s="30">
        <f t="shared" si="458"/>
        <v>0</v>
      </c>
      <c r="I574" s="30">
        <f t="shared" si="458"/>
        <v>0</v>
      </c>
      <c r="J574" s="30">
        <f t="shared" si="458"/>
        <v>0</v>
      </c>
      <c r="K574" s="30">
        <f t="shared" si="458"/>
        <v>0</v>
      </c>
      <c r="L574" s="30">
        <f t="shared" si="458"/>
        <v>0</v>
      </c>
      <c r="M574" s="30">
        <f t="shared" si="458"/>
        <v>0</v>
      </c>
      <c r="N574" s="30">
        <f t="shared" si="458"/>
        <v>0</v>
      </c>
      <c r="O574" s="30">
        <f>SUM(O575:O575)+41910.31</f>
        <v>41910.31</v>
      </c>
      <c r="P574" s="30">
        <f>SUM(P575:P575)+41910.31</f>
        <v>41910.31</v>
      </c>
      <c r="Q574" s="30">
        <f t="shared" ref="Q574:X574" si="459">SUM(Q575:Q575)</f>
        <v>0</v>
      </c>
      <c r="R574" s="30">
        <f t="shared" si="459"/>
        <v>0</v>
      </c>
      <c r="S574" s="30">
        <f t="shared" si="459"/>
        <v>0</v>
      </c>
      <c r="T574" s="30">
        <f t="shared" si="459"/>
        <v>0</v>
      </c>
      <c r="U574" s="30">
        <f t="shared" si="459"/>
        <v>0</v>
      </c>
      <c r="V574" s="30">
        <f t="shared" si="459"/>
        <v>0</v>
      </c>
      <c r="W574" s="30">
        <f t="shared" si="459"/>
        <v>0</v>
      </c>
      <c r="X574" s="30">
        <f t="shared" si="459"/>
        <v>0</v>
      </c>
      <c r="Y574" s="29" t="s">
        <v>1590</v>
      </c>
      <c r="Z574" s="31" t="s">
        <v>40</v>
      </c>
      <c r="AA574" s="32" t="s">
        <v>70</v>
      </c>
      <c r="AB574" s="32" t="s">
        <v>70</v>
      </c>
      <c r="AC574" s="33"/>
    </row>
    <row r="575" spans="1:29" ht="46.5" x14ac:dyDescent="0.25">
      <c r="A575" s="34" t="s">
        <v>1591</v>
      </c>
      <c r="B575" s="35" t="s">
        <v>1592</v>
      </c>
      <c r="C575" s="36"/>
      <c r="D575" s="36"/>
      <c r="E575" s="37">
        <v>0</v>
      </c>
      <c r="F575" s="37">
        <v>0</v>
      </c>
      <c r="G575" s="37">
        <v>0</v>
      </c>
      <c r="H575" s="37">
        <v>0</v>
      </c>
      <c r="I575" s="37">
        <v>0</v>
      </c>
      <c r="J575" s="37">
        <v>0</v>
      </c>
      <c r="K575" s="37">
        <v>0</v>
      </c>
      <c r="L575" s="37">
        <v>0</v>
      </c>
      <c r="M575" s="37">
        <v>0</v>
      </c>
      <c r="N575" s="37">
        <v>0</v>
      </c>
      <c r="O575" s="37">
        <v>0</v>
      </c>
      <c r="P575" s="37">
        <v>0</v>
      </c>
      <c r="Q575" s="37">
        <v>0</v>
      </c>
      <c r="R575" s="37">
        <v>0</v>
      </c>
      <c r="S575" s="37">
        <v>0</v>
      </c>
      <c r="T575" s="37">
        <v>0</v>
      </c>
      <c r="U575" s="37">
        <v>0</v>
      </c>
      <c r="V575" s="37">
        <v>0</v>
      </c>
      <c r="W575" s="37">
        <v>0</v>
      </c>
      <c r="X575" s="37">
        <v>0</v>
      </c>
      <c r="Y575" s="36"/>
      <c r="Z575" s="38"/>
      <c r="AA575" s="39"/>
      <c r="AB575" s="39"/>
      <c r="AC575" s="40"/>
    </row>
    <row r="576" spans="1:29" ht="69.75" x14ac:dyDescent="0.25">
      <c r="A576" s="27" t="s">
        <v>1593</v>
      </c>
      <c r="B576" s="28" t="s">
        <v>1594</v>
      </c>
      <c r="C576" s="29" t="s">
        <v>1479</v>
      </c>
      <c r="D576" s="29" t="s">
        <v>1491</v>
      </c>
      <c r="E576" s="30">
        <f>SUM(E577:E579)+524848</f>
        <v>524848</v>
      </c>
      <c r="F576" s="30">
        <f t="shared" ref="F576:K576" si="460">SUM(F577:F579)</f>
        <v>0</v>
      </c>
      <c r="G576" s="30">
        <f t="shared" si="460"/>
        <v>0</v>
      </c>
      <c r="H576" s="30">
        <f t="shared" si="460"/>
        <v>0</v>
      </c>
      <c r="I576" s="30">
        <f t="shared" si="460"/>
        <v>0</v>
      </c>
      <c r="J576" s="30">
        <f t="shared" si="460"/>
        <v>0</v>
      </c>
      <c r="K576" s="30">
        <f t="shared" si="460"/>
        <v>0</v>
      </c>
      <c r="L576" s="30">
        <f>SUM(L577:L579)+524848</f>
        <v>524848</v>
      </c>
      <c r="M576" s="30">
        <f>SUM(M577:M579)</f>
        <v>0</v>
      </c>
      <c r="N576" s="30">
        <f>SUM(N577:N579)</f>
        <v>0</v>
      </c>
      <c r="O576" s="30">
        <f>SUM(O577:O579)+524841.06</f>
        <v>524841.06000000006</v>
      </c>
      <c r="P576" s="30">
        <f t="shared" ref="P576:X576" si="461">SUM(P577:P579)</f>
        <v>0</v>
      </c>
      <c r="Q576" s="30">
        <f t="shared" si="461"/>
        <v>0</v>
      </c>
      <c r="R576" s="30">
        <f t="shared" si="461"/>
        <v>0</v>
      </c>
      <c r="S576" s="30">
        <f t="shared" si="461"/>
        <v>0</v>
      </c>
      <c r="T576" s="30">
        <f t="shared" si="461"/>
        <v>0</v>
      </c>
      <c r="U576" s="30">
        <f t="shared" si="461"/>
        <v>0</v>
      </c>
      <c r="V576" s="30">
        <f t="shared" si="461"/>
        <v>0</v>
      </c>
      <c r="W576" s="30">
        <f t="shared" si="461"/>
        <v>0</v>
      </c>
      <c r="X576" s="30">
        <f t="shared" si="461"/>
        <v>0</v>
      </c>
      <c r="Y576" s="29" t="s">
        <v>1595</v>
      </c>
      <c r="Z576" s="31" t="s">
        <v>40</v>
      </c>
      <c r="AA576" s="32" t="s">
        <v>1286</v>
      </c>
      <c r="AB576" s="32" t="s">
        <v>1596</v>
      </c>
      <c r="AC576" s="33" t="s">
        <v>1597</v>
      </c>
    </row>
    <row r="577" spans="1:29" ht="69.75" x14ac:dyDescent="0.25">
      <c r="A577" s="34" t="s">
        <v>1598</v>
      </c>
      <c r="B577" s="35" t="s">
        <v>1599</v>
      </c>
      <c r="C577" s="36"/>
      <c r="D577" s="36"/>
      <c r="E577" s="37">
        <v>0</v>
      </c>
      <c r="F577" s="37">
        <v>0</v>
      </c>
      <c r="G577" s="37">
        <v>0</v>
      </c>
      <c r="H577" s="37">
        <v>0</v>
      </c>
      <c r="I577" s="37">
        <v>0</v>
      </c>
      <c r="J577" s="37">
        <v>0</v>
      </c>
      <c r="K577" s="37">
        <v>0</v>
      </c>
      <c r="L577" s="37">
        <v>0</v>
      </c>
      <c r="M577" s="37">
        <v>0</v>
      </c>
      <c r="N577" s="37">
        <v>0</v>
      </c>
      <c r="O577" s="37">
        <v>0</v>
      </c>
      <c r="P577" s="37">
        <v>0</v>
      </c>
      <c r="Q577" s="37">
        <v>0</v>
      </c>
      <c r="R577" s="37">
        <v>0</v>
      </c>
      <c r="S577" s="37">
        <v>0</v>
      </c>
      <c r="T577" s="37">
        <v>0</v>
      </c>
      <c r="U577" s="37">
        <v>0</v>
      </c>
      <c r="V577" s="37">
        <v>0</v>
      </c>
      <c r="W577" s="37">
        <v>0</v>
      </c>
      <c r="X577" s="37">
        <v>0</v>
      </c>
      <c r="Y577" s="36"/>
      <c r="Z577" s="38"/>
      <c r="AA577" s="39"/>
      <c r="AB577" s="39"/>
      <c r="AC577" s="40"/>
    </row>
    <row r="578" spans="1:29" ht="69.75" x14ac:dyDescent="0.25">
      <c r="A578" s="34" t="s">
        <v>1600</v>
      </c>
      <c r="B578" s="35" t="s">
        <v>1601</v>
      </c>
      <c r="C578" s="36"/>
      <c r="D578" s="36"/>
      <c r="E578" s="37">
        <v>0</v>
      </c>
      <c r="F578" s="37">
        <v>0</v>
      </c>
      <c r="G578" s="37">
        <v>0</v>
      </c>
      <c r="H578" s="37">
        <v>0</v>
      </c>
      <c r="I578" s="37">
        <v>0</v>
      </c>
      <c r="J578" s="37">
        <v>0</v>
      </c>
      <c r="K578" s="37">
        <v>0</v>
      </c>
      <c r="L578" s="37">
        <v>0</v>
      </c>
      <c r="M578" s="37">
        <v>0</v>
      </c>
      <c r="N578" s="37">
        <v>0</v>
      </c>
      <c r="O578" s="37">
        <v>0</v>
      </c>
      <c r="P578" s="37">
        <v>0</v>
      </c>
      <c r="Q578" s="37">
        <v>0</v>
      </c>
      <c r="R578" s="37">
        <v>0</v>
      </c>
      <c r="S578" s="37">
        <v>0</v>
      </c>
      <c r="T578" s="37">
        <v>0</v>
      </c>
      <c r="U578" s="37">
        <v>0</v>
      </c>
      <c r="V578" s="37">
        <v>0</v>
      </c>
      <c r="W578" s="37">
        <v>0</v>
      </c>
      <c r="X578" s="37">
        <v>0</v>
      </c>
      <c r="Y578" s="36"/>
      <c r="Z578" s="38"/>
      <c r="AA578" s="39"/>
      <c r="AB578" s="39"/>
      <c r="AC578" s="40"/>
    </row>
    <row r="579" spans="1:29" ht="69.75" x14ac:dyDescent="0.25">
      <c r="A579" s="34" t="s">
        <v>1602</v>
      </c>
      <c r="B579" s="35" t="s">
        <v>1603</v>
      </c>
      <c r="C579" s="36"/>
      <c r="D579" s="36"/>
      <c r="E579" s="37">
        <v>0</v>
      </c>
      <c r="F579" s="37">
        <v>0</v>
      </c>
      <c r="G579" s="37">
        <v>0</v>
      </c>
      <c r="H579" s="37">
        <v>0</v>
      </c>
      <c r="I579" s="37">
        <v>0</v>
      </c>
      <c r="J579" s="37">
        <v>0</v>
      </c>
      <c r="K579" s="37">
        <v>0</v>
      </c>
      <c r="L579" s="37">
        <v>0</v>
      </c>
      <c r="M579" s="37">
        <v>0</v>
      </c>
      <c r="N579" s="37">
        <v>0</v>
      </c>
      <c r="O579" s="37">
        <v>0</v>
      </c>
      <c r="P579" s="37">
        <v>0</v>
      </c>
      <c r="Q579" s="37">
        <v>0</v>
      </c>
      <c r="R579" s="37">
        <v>0</v>
      </c>
      <c r="S579" s="37">
        <v>0</v>
      </c>
      <c r="T579" s="37">
        <v>0</v>
      </c>
      <c r="U579" s="37">
        <v>0</v>
      </c>
      <c r="V579" s="37">
        <v>0</v>
      </c>
      <c r="W579" s="37">
        <v>0</v>
      </c>
      <c r="X579" s="37">
        <v>0</v>
      </c>
      <c r="Y579" s="36"/>
      <c r="Z579" s="38"/>
      <c r="AA579" s="39"/>
      <c r="AB579" s="39"/>
      <c r="AC579" s="40"/>
    </row>
    <row r="580" spans="1:29" ht="69.75" x14ac:dyDescent="0.25">
      <c r="A580" s="27" t="s">
        <v>1604</v>
      </c>
      <c r="B580" s="28" t="s">
        <v>1605</v>
      </c>
      <c r="C580" s="29" t="s">
        <v>1479</v>
      </c>
      <c r="D580" s="29" t="s">
        <v>1491</v>
      </c>
      <c r="E580" s="30">
        <f>SUM(E581:E581)+10497</f>
        <v>10497</v>
      </c>
      <c r="F580" s="30">
        <f t="shared" ref="F580:K580" si="462">SUM(F581:F581)</f>
        <v>0</v>
      </c>
      <c r="G580" s="30">
        <f t="shared" si="462"/>
        <v>0</v>
      </c>
      <c r="H580" s="30">
        <f t="shared" si="462"/>
        <v>0</v>
      </c>
      <c r="I580" s="30">
        <f t="shared" si="462"/>
        <v>0</v>
      </c>
      <c r="J580" s="30">
        <f t="shared" si="462"/>
        <v>0</v>
      </c>
      <c r="K580" s="30">
        <f t="shared" si="462"/>
        <v>0</v>
      </c>
      <c r="L580" s="30">
        <f>SUM(L581:L581)+10497</f>
        <v>10497</v>
      </c>
      <c r="M580" s="30">
        <f>SUM(M581:M581)</f>
        <v>0</v>
      </c>
      <c r="N580" s="30">
        <f>SUM(N581:N581)</f>
        <v>0</v>
      </c>
      <c r="O580" s="30">
        <f>SUM(O581:O581)+10268.11</f>
        <v>10268.11</v>
      </c>
      <c r="P580" s="30">
        <f t="shared" ref="P580:X580" si="463">SUM(P581:P581)</f>
        <v>0</v>
      </c>
      <c r="Q580" s="30">
        <f t="shared" si="463"/>
        <v>0</v>
      </c>
      <c r="R580" s="30">
        <f t="shared" si="463"/>
        <v>0</v>
      </c>
      <c r="S580" s="30">
        <f t="shared" si="463"/>
        <v>0</v>
      </c>
      <c r="T580" s="30">
        <f t="shared" si="463"/>
        <v>0</v>
      </c>
      <c r="U580" s="30">
        <f t="shared" si="463"/>
        <v>0</v>
      </c>
      <c r="V580" s="30">
        <f t="shared" si="463"/>
        <v>0</v>
      </c>
      <c r="W580" s="30">
        <f t="shared" si="463"/>
        <v>0</v>
      </c>
      <c r="X580" s="30">
        <f t="shared" si="463"/>
        <v>0</v>
      </c>
      <c r="Y580" s="29" t="s">
        <v>1606</v>
      </c>
      <c r="Z580" s="31" t="s">
        <v>40</v>
      </c>
      <c r="AA580" s="32" t="s">
        <v>370</v>
      </c>
      <c r="AB580" s="32" t="s">
        <v>370</v>
      </c>
      <c r="AC580" s="33"/>
    </row>
    <row r="581" spans="1:29" ht="69.75" x14ac:dyDescent="0.25">
      <c r="A581" s="34" t="s">
        <v>1607</v>
      </c>
      <c r="B581" s="35" t="s">
        <v>1608</v>
      </c>
      <c r="C581" s="36"/>
      <c r="D581" s="36"/>
      <c r="E581" s="37">
        <v>0</v>
      </c>
      <c r="F581" s="37">
        <v>0</v>
      </c>
      <c r="G581" s="37">
        <v>0</v>
      </c>
      <c r="H581" s="37">
        <v>0</v>
      </c>
      <c r="I581" s="37">
        <v>0</v>
      </c>
      <c r="J581" s="37">
        <v>0</v>
      </c>
      <c r="K581" s="37">
        <v>0</v>
      </c>
      <c r="L581" s="37">
        <v>0</v>
      </c>
      <c r="M581" s="37">
        <v>0</v>
      </c>
      <c r="N581" s="37">
        <v>0</v>
      </c>
      <c r="O581" s="37">
        <v>0</v>
      </c>
      <c r="P581" s="37">
        <v>0</v>
      </c>
      <c r="Q581" s="37">
        <v>0</v>
      </c>
      <c r="R581" s="37">
        <v>0</v>
      </c>
      <c r="S581" s="37">
        <v>0</v>
      </c>
      <c r="T581" s="37">
        <v>0</v>
      </c>
      <c r="U581" s="37">
        <v>0</v>
      </c>
      <c r="V581" s="37">
        <v>0</v>
      </c>
      <c r="W581" s="37">
        <v>0</v>
      </c>
      <c r="X581" s="37">
        <v>0</v>
      </c>
      <c r="Y581" s="36"/>
      <c r="Z581" s="38"/>
      <c r="AA581" s="39"/>
      <c r="AB581" s="39"/>
      <c r="AC581" s="40"/>
    </row>
    <row r="582" spans="1:29" ht="69.75" x14ac:dyDescent="0.25">
      <c r="A582" s="27" t="s">
        <v>1609</v>
      </c>
      <c r="B582" s="28" t="s">
        <v>1610</v>
      </c>
      <c r="C582" s="29" t="s">
        <v>1479</v>
      </c>
      <c r="D582" s="29" t="s">
        <v>1553</v>
      </c>
      <c r="E582" s="30">
        <f>SUM(E583:E583)+3200</f>
        <v>3200</v>
      </c>
      <c r="F582" s="30">
        <f>SUM(F583:F583)</f>
        <v>0</v>
      </c>
      <c r="G582" s="30">
        <f>SUM(G583:G583)</f>
        <v>0</v>
      </c>
      <c r="H582" s="30">
        <f>SUM(H583:H583)</f>
        <v>0</v>
      </c>
      <c r="I582" s="30">
        <f>SUM(I583:I583)+3200</f>
        <v>3200</v>
      </c>
      <c r="J582" s="30">
        <f>SUM(J583:J583)</f>
        <v>0</v>
      </c>
      <c r="K582" s="30">
        <f>SUM(K583:K583)</f>
        <v>0</v>
      </c>
      <c r="L582" s="30">
        <f>SUM(L583:L583)</f>
        <v>0</v>
      </c>
      <c r="M582" s="30">
        <f>SUM(M583:M583)</f>
        <v>0</v>
      </c>
      <c r="N582" s="30">
        <f>SUM(N583:N583)</f>
        <v>0</v>
      </c>
      <c r="O582" s="30">
        <f>SUM(O583:O583)+3200</f>
        <v>3200</v>
      </c>
      <c r="P582" s="30">
        <f t="shared" ref="P582:X582" si="464">SUM(P583:P583)</f>
        <v>0</v>
      </c>
      <c r="Q582" s="30">
        <f t="shared" si="464"/>
        <v>0</v>
      </c>
      <c r="R582" s="30">
        <f t="shared" si="464"/>
        <v>0</v>
      </c>
      <c r="S582" s="30">
        <f t="shared" si="464"/>
        <v>0</v>
      </c>
      <c r="T582" s="30">
        <f t="shared" si="464"/>
        <v>0</v>
      </c>
      <c r="U582" s="30">
        <f t="shared" si="464"/>
        <v>0</v>
      </c>
      <c r="V582" s="30">
        <f t="shared" si="464"/>
        <v>0</v>
      </c>
      <c r="W582" s="30">
        <f t="shared" si="464"/>
        <v>0</v>
      </c>
      <c r="X582" s="30">
        <f t="shared" si="464"/>
        <v>0</v>
      </c>
      <c r="Y582" s="29" t="s">
        <v>1611</v>
      </c>
      <c r="Z582" s="31" t="s">
        <v>40</v>
      </c>
      <c r="AA582" s="32" t="s">
        <v>176</v>
      </c>
      <c r="AB582" s="32" t="s">
        <v>176</v>
      </c>
      <c r="AC582" s="33"/>
    </row>
    <row r="583" spans="1:29" ht="69.75" x14ac:dyDescent="0.25">
      <c r="A583" s="34" t="s">
        <v>1612</v>
      </c>
      <c r="B583" s="35" t="s">
        <v>1613</v>
      </c>
      <c r="C583" s="36"/>
      <c r="D583" s="36"/>
      <c r="E583" s="37">
        <v>0</v>
      </c>
      <c r="F583" s="37">
        <v>0</v>
      </c>
      <c r="G583" s="37">
        <v>0</v>
      </c>
      <c r="H583" s="37">
        <v>0</v>
      </c>
      <c r="I583" s="37">
        <v>0</v>
      </c>
      <c r="J583" s="37">
        <v>0</v>
      </c>
      <c r="K583" s="37">
        <v>0</v>
      </c>
      <c r="L583" s="37">
        <v>0</v>
      </c>
      <c r="M583" s="37">
        <v>0</v>
      </c>
      <c r="N583" s="37">
        <v>0</v>
      </c>
      <c r="O583" s="37">
        <v>0</v>
      </c>
      <c r="P583" s="37">
        <v>0</v>
      </c>
      <c r="Q583" s="37">
        <v>0</v>
      </c>
      <c r="R583" s="37">
        <v>0</v>
      </c>
      <c r="S583" s="37">
        <v>0</v>
      </c>
      <c r="T583" s="37">
        <v>0</v>
      </c>
      <c r="U583" s="37">
        <v>0</v>
      </c>
      <c r="V583" s="37">
        <v>0</v>
      </c>
      <c r="W583" s="37">
        <v>0</v>
      </c>
      <c r="X583" s="37">
        <v>0</v>
      </c>
      <c r="Y583" s="36"/>
      <c r="Z583" s="38"/>
      <c r="AA583" s="39"/>
      <c r="AB583" s="39"/>
      <c r="AC583" s="40"/>
    </row>
    <row r="584" spans="1:29" ht="45" x14ac:dyDescent="0.25">
      <c r="A584" s="20" t="s">
        <v>1614</v>
      </c>
      <c r="B584" s="21" t="s">
        <v>1615</v>
      </c>
      <c r="C584" s="22" t="s">
        <v>1479</v>
      </c>
      <c r="D584" s="22" t="s">
        <v>1482</v>
      </c>
      <c r="E584" s="23">
        <f t="shared" ref="E584:X584" si="465">SUM(E585:E585)</f>
        <v>15000</v>
      </c>
      <c r="F584" s="23">
        <f t="shared" si="465"/>
        <v>15000</v>
      </c>
      <c r="G584" s="23">
        <f t="shared" si="465"/>
        <v>0</v>
      </c>
      <c r="H584" s="23">
        <f t="shared" si="465"/>
        <v>0</v>
      </c>
      <c r="I584" s="23">
        <f t="shared" si="465"/>
        <v>0</v>
      </c>
      <c r="J584" s="23">
        <f t="shared" si="465"/>
        <v>0</v>
      </c>
      <c r="K584" s="23">
        <f t="shared" si="465"/>
        <v>0</v>
      </c>
      <c r="L584" s="23">
        <f t="shared" si="465"/>
        <v>0</v>
      </c>
      <c r="M584" s="23">
        <f t="shared" si="465"/>
        <v>0</v>
      </c>
      <c r="N584" s="23">
        <f t="shared" si="465"/>
        <v>0</v>
      </c>
      <c r="O584" s="23">
        <f t="shared" si="465"/>
        <v>13790.24</v>
      </c>
      <c r="P584" s="23">
        <f t="shared" si="465"/>
        <v>13790.24</v>
      </c>
      <c r="Q584" s="23">
        <f t="shared" si="465"/>
        <v>0</v>
      </c>
      <c r="R584" s="23">
        <f t="shared" si="465"/>
        <v>0</v>
      </c>
      <c r="S584" s="23">
        <f t="shared" si="465"/>
        <v>0</v>
      </c>
      <c r="T584" s="23">
        <f t="shared" si="465"/>
        <v>0</v>
      </c>
      <c r="U584" s="23">
        <f t="shared" si="465"/>
        <v>0</v>
      </c>
      <c r="V584" s="23">
        <f t="shared" si="465"/>
        <v>0</v>
      </c>
      <c r="W584" s="23">
        <f t="shared" si="465"/>
        <v>0</v>
      </c>
      <c r="X584" s="23">
        <f t="shared" si="465"/>
        <v>0</v>
      </c>
      <c r="Y584" s="22" t="s">
        <v>1616</v>
      </c>
      <c r="Z584" s="24" t="s">
        <v>40</v>
      </c>
      <c r="AA584" s="25" t="s">
        <v>1617</v>
      </c>
      <c r="AB584" s="25" t="s">
        <v>1618</v>
      </c>
      <c r="AC584" s="26" t="s">
        <v>1619</v>
      </c>
    </row>
    <row r="585" spans="1:29" ht="93" x14ac:dyDescent="0.25">
      <c r="A585" s="27" t="s">
        <v>1620</v>
      </c>
      <c r="B585" s="28" t="s">
        <v>1621</v>
      </c>
      <c r="C585" s="29" t="s">
        <v>1479</v>
      </c>
      <c r="D585" s="29" t="s">
        <v>1622</v>
      </c>
      <c r="E585" s="30">
        <f>SUM(E586:E586)+15000</f>
        <v>15000</v>
      </c>
      <c r="F585" s="30">
        <f>SUM(F586:F586)+15000</f>
        <v>15000</v>
      </c>
      <c r="G585" s="30">
        <f t="shared" ref="G585:N585" si="466">SUM(G586:G586)</f>
        <v>0</v>
      </c>
      <c r="H585" s="30">
        <f t="shared" si="466"/>
        <v>0</v>
      </c>
      <c r="I585" s="30">
        <f t="shared" si="466"/>
        <v>0</v>
      </c>
      <c r="J585" s="30">
        <f t="shared" si="466"/>
        <v>0</v>
      </c>
      <c r="K585" s="30">
        <f t="shared" si="466"/>
        <v>0</v>
      </c>
      <c r="L585" s="30">
        <f t="shared" si="466"/>
        <v>0</v>
      </c>
      <c r="M585" s="30">
        <f t="shared" si="466"/>
        <v>0</v>
      </c>
      <c r="N585" s="30">
        <f t="shared" si="466"/>
        <v>0</v>
      </c>
      <c r="O585" s="30">
        <f>SUM(O586:O586)+13790.24</f>
        <v>13790.24</v>
      </c>
      <c r="P585" s="30">
        <f>SUM(P586:P586)+13790.24</f>
        <v>13790.24</v>
      </c>
      <c r="Q585" s="30">
        <f t="shared" ref="Q585:X585" si="467">SUM(Q586:Q586)</f>
        <v>0</v>
      </c>
      <c r="R585" s="30">
        <f t="shared" si="467"/>
        <v>0</v>
      </c>
      <c r="S585" s="30">
        <f t="shared" si="467"/>
        <v>0</v>
      </c>
      <c r="T585" s="30">
        <f t="shared" si="467"/>
        <v>0</v>
      </c>
      <c r="U585" s="30">
        <f t="shared" si="467"/>
        <v>0</v>
      </c>
      <c r="V585" s="30">
        <f t="shared" si="467"/>
        <v>0</v>
      </c>
      <c r="W585" s="30">
        <f t="shared" si="467"/>
        <v>0</v>
      </c>
      <c r="X585" s="30">
        <f t="shared" si="467"/>
        <v>0</v>
      </c>
      <c r="Y585" s="29" t="s">
        <v>1623</v>
      </c>
      <c r="Z585" s="31" t="s">
        <v>40</v>
      </c>
      <c r="AA585" s="32" t="s">
        <v>67</v>
      </c>
      <c r="AB585" s="32" t="s">
        <v>1624</v>
      </c>
      <c r="AC585" s="33" t="s">
        <v>1619</v>
      </c>
    </row>
    <row r="586" spans="1:29" ht="46.5" x14ac:dyDescent="0.25">
      <c r="A586" s="34" t="s">
        <v>1625</v>
      </c>
      <c r="B586" s="35" t="s">
        <v>1626</v>
      </c>
      <c r="C586" s="36"/>
      <c r="D586" s="36"/>
      <c r="E586" s="37">
        <v>0</v>
      </c>
      <c r="F586" s="37">
        <v>0</v>
      </c>
      <c r="G586" s="37">
        <v>0</v>
      </c>
      <c r="H586" s="37">
        <v>0</v>
      </c>
      <c r="I586" s="37">
        <v>0</v>
      </c>
      <c r="J586" s="37">
        <v>0</v>
      </c>
      <c r="K586" s="37">
        <v>0</v>
      </c>
      <c r="L586" s="37">
        <v>0</v>
      </c>
      <c r="M586" s="37">
        <v>0</v>
      </c>
      <c r="N586" s="37">
        <v>0</v>
      </c>
      <c r="O586" s="37">
        <v>0</v>
      </c>
      <c r="P586" s="37">
        <v>0</v>
      </c>
      <c r="Q586" s="37">
        <v>0</v>
      </c>
      <c r="R586" s="37">
        <v>0</v>
      </c>
      <c r="S586" s="37">
        <v>0</v>
      </c>
      <c r="T586" s="37">
        <v>0</v>
      </c>
      <c r="U586" s="37">
        <v>0</v>
      </c>
      <c r="V586" s="37">
        <v>0</v>
      </c>
      <c r="W586" s="37">
        <v>0</v>
      </c>
      <c r="X586" s="37">
        <v>0</v>
      </c>
      <c r="Y586" s="36"/>
      <c r="Z586" s="38"/>
      <c r="AA586" s="39"/>
      <c r="AB586" s="39"/>
      <c r="AC586" s="40"/>
    </row>
    <row r="587" spans="1:29" ht="45" x14ac:dyDescent="0.25">
      <c r="A587" s="13" t="s">
        <v>1627</v>
      </c>
      <c r="B587" s="14" t="s">
        <v>1628</v>
      </c>
      <c r="C587" s="15" t="s">
        <v>1479</v>
      </c>
      <c r="D587" s="15" t="s">
        <v>1482</v>
      </c>
      <c r="E587" s="16">
        <f t="shared" ref="E587:X587" si="468">E588+E596+E599+E602+E693+E696</f>
        <v>15326433.280000001</v>
      </c>
      <c r="F587" s="16">
        <f t="shared" si="468"/>
        <v>3118439.57</v>
      </c>
      <c r="G587" s="16">
        <f t="shared" si="468"/>
        <v>127698.81</v>
      </c>
      <c r="H587" s="16">
        <f t="shared" si="468"/>
        <v>0</v>
      </c>
      <c r="I587" s="16">
        <f t="shared" si="468"/>
        <v>694940</v>
      </c>
      <c r="J587" s="16">
        <f t="shared" si="468"/>
        <v>0</v>
      </c>
      <c r="K587" s="16">
        <f t="shared" si="468"/>
        <v>235980.90999999997</v>
      </c>
      <c r="L587" s="16">
        <f t="shared" si="468"/>
        <v>10913121.99</v>
      </c>
      <c r="M587" s="16">
        <f t="shared" si="468"/>
        <v>0</v>
      </c>
      <c r="N587" s="16">
        <f t="shared" si="468"/>
        <v>0</v>
      </c>
      <c r="O587" s="16">
        <f t="shared" si="468"/>
        <v>15124679.359999998</v>
      </c>
      <c r="P587" s="16">
        <f t="shared" si="468"/>
        <v>2485365.9000000004</v>
      </c>
      <c r="Q587" s="16">
        <f t="shared" si="468"/>
        <v>67172.180000000008</v>
      </c>
      <c r="R587" s="16">
        <f t="shared" si="468"/>
        <v>0</v>
      </c>
      <c r="S587" s="16">
        <f t="shared" si="468"/>
        <v>0</v>
      </c>
      <c r="T587" s="16">
        <f t="shared" si="468"/>
        <v>0</v>
      </c>
      <c r="U587" s="16">
        <f t="shared" si="468"/>
        <v>0</v>
      </c>
      <c r="V587" s="16">
        <f t="shared" si="468"/>
        <v>10834122.970000001</v>
      </c>
      <c r="W587" s="16">
        <f t="shared" si="468"/>
        <v>0</v>
      </c>
      <c r="X587" s="16">
        <f t="shared" si="468"/>
        <v>0</v>
      </c>
      <c r="Y587" s="15" t="s">
        <v>1629</v>
      </c>
      <c r="Z587" s="17" t="s">
        <v>34</v>
      </c>
      <c r="AA587" s="18" t="s">
        <v>67</v>
      </c>
      <c r="AB587" s="18" t="s">
        <v>67</v>
      </c>
      <c r="AC587" s="19"/>
    </row>
    <row r="588" spans="1:29" ht="67.5" x14ac:dyDescent="0.25">
      <c r="A588" s="20" t="s">
        <v>1630</v>
      </c>
      <c r="B588" s="21" t="s">
        <v>1631</v>
      </c>
      <c r="C588" s="22" t="s">
        <v>1632</v>
      </c>
      <c r="D588" s="22" t="s">
        <v>1633</v>
      </c>
      <c r="E588" s="23">
        <f t="shared" ref="E588:X588" si="469">E589+E590+E592+E594</f>
        <v>314278.39999999997</v>
      </c>
      <c r="F588" s="23">
        <f t="shared" si="469"/>
        <v>18571</v>
      </c>
      <c r="G588" s="23">
        <f t="shared" si="469"/>
        <v>0</v>
      </c>
      <c r="H588" s="23">
        <f t="shared" si="469"/>
        <v>0</v>
      </c>
      <c r="I588" s="23">
        <f t="shared" si="469"/>
        <v>0</v>
      </c>
      <c r="J588" s="23">
        <f t="shared" si="469"/>
        <v>0</v>
      </c>
      <c r="K588" s="23">
        <f t="shared" si="469"/>
        <v>235980.90999999997</v>
      </c>
      <c r="L588" s="23">
        <f t="shared" si="469"/>
        <v>55726.49</v>
      </c>
      <c r="M588" s="23">
        <f t="shared" si="469"/>
        <v>0</v>
      </c>
      <c r="N588" s="23">
        <f t="shared" si="469"/>
        <v>0</v>
      </c>
      <c r="O588" s="23">
        <f t="shared" si="469"/>
        <v>299204.05</v>
      </c>
      <c r="P588" s="23">
        <f t="shared" si="469"/>
        <v>18571</v>
      </c>
      <c r="Q588" s="23">
        <f t="shared" si="469"/>
        <v>0</v>
      </c>
      <c r="R588" s="23">
        <f t="shared" si="469"/>
        <v>0</v>
      </c>
      <c r="S588" s="23">
        <f t="shared" si="469"/>
        <v>0</v>
      </c>
      <c r="T588" s="23">
        <f t="shared" si="469"/>
        <v>0</v>
      </c>
      <c r="U588" s="23">
        <f t="shared" si="469"/>
        <v>0</v>
      </c>
      <c r="V588" s="23">
        <f t="shared" si="469"/>
        <v>53013.11</v>
      </c>
      <c r="W588" s="23">
        <f t="shared" si="469"/>
        <v>0</v>
      </c>
      <c r="X588" s="23">
        <f t="shared" si="469"/>
        <v>0</v>
      </c>
      <c r="Y588" s="22" t="s">
        <v>1634</v>
      </c>
      <c r="Z588" s="24" t="s">
        <v>40</v>
      </c>
      <c r="AA588" s="25" t="s">
        <v>54</v>
      </c>
      <c r="AB588" s="25" t="s">
        <v>54</v>
      </c>
      <c r="AC588" s="26"/>
    </row>
    <row r="589" spans="1:29" ht="69.75" x14ac:dyDescent="0.25">
      <c r="A589" s="41"/>
      <c r="B589" s="42"/>
      <c r="C589" s="43"/>
      <c r="D589" s="43"/>
      <c r="E589" s="44">
        <v>0</v>
      </c>
      <c r="F589" s="44">
        <v>0</v>
      </c>
      <c r="G589" s="44">
        <v>0</v>
      </c>
      <c r="H589" s="44">
        <v>0</v>
      </c>
      <c r="I589" s="44">
        <v>0</v>
      </c>
      <c r="J589" s="44">
        <v>0</v>
      </c>
      <c r="K589" s="44">
        <v>0</v>
      </c>
      <c r="L589" s="44">
        <v>0</v>
      </c>
      <c r="M589" s="44">
        <v>0</v>
      </c>
      <c r="N589" s="44">
        <v>0</v>
      </c>
      <c r="O589" s="44">
        <v>0</v>
      </c>
      <c r="P589" s="44">
        <v>0</v>
      </c>
      <c r="Q589" s="44">
        <v>0</v>
      </c>
      <c r="R589" s="44">
        <v>0</v>
      </c>
      <c r="S589" s="44">
        <v>0</v>
      </c>
      <c r="T589" s="44">
        <v>0</v>
      </c>
      <c r="U589" s="44">
        <v>0</v>
      </c>
      <c r="V589" s="44">
        <v>0</v>
      </c>
      <c r="W589" s="44">
        <v>0</v>
      </c>
      <c r="X589" s="44">
        <v>0</v>
      </c>
      <c r="Y589" s="43" t="s">
        <v>1635</v>
      </c>
      <c r="Z589" s="45" t="s">
        <v>40</v>
      </c>
      <c r="AA589" s="46" t="s">
        <v>54</v>
      </c>
      <c r="AB589" s="46" t="s">
        <v>54</v>
      </c>
      <c r="AC589" s="47"/>
    </row>
    <row r="590" spans="1:29" ht="93" x14ac:dyDescent="0.25">
      <c r="A590" s="27" t="s">
        <v>1636</v>
      </c>
      <c r="B590" s="28" t="s">
        <v>1637</v>
      </c>
      <c r="C590" s="29" t="s">
        <v>279</v>
      </c>
      <c r="D590" s="29" t="s">
        <v>290</v>
      </c>
      <c r="E590" s="30">
        <f>SUM(E591:E591)+16178.11</f>
        <v>16178.11</v>
      </c>
      <c r="F590" s="30">
        <f>SUM(F591:F591)</f>
        <v>0</v>
      </c>
      <c r="G590" s="30">
        <f>SUM(G591:G591)</f>
        <v>0</v>
      </c>
      <c r="H590" s="30">
        <f>SUM(H591:H591)</f>
        <v>0</v>
      </c>
      <c r="I590" s="30">
        <f>SUM(I591:I591)</f>
        <v>0</v>
      </c>
      <c r="J590" s="30">
        <f>SUM(J591:J591)</f>
        <v>0</v>
      </c>
      <c r="K590" s="30">
        <f>SUM(K591:K591)+16178.11</f>
        <v>16178.11</v>
      </c>
      <c r="L590" s="30">
        <f>SUM(L591:L591)</f>
        <v>0</v>
      </c>
      <c r="M590" s="30">
        <f>SUM(M591:M591)</f>
        <v>0</v>
      </c>
      <c r="N590" s="30">
        <f>SUM(N591:N591)</f>
        <v>0</v>
      </c>
      <c r="O590" s="30">
        <f>SUM(O591:O591)+16178.11</f>
        <v>16178.11</v>
      </c>
      <c r="P590" s="30">
        <f t="shared" ref="P590:X590" si="470">SUM(P591:P591)</f>
        <v>0</v>
      </c>
      <c r="Q590" s="30">
        <f t="shared" si="470"/>
        <v>0</v>
      </c>
      <c r="R590" s="30">
        <f t="shared" si="470"/>
        <v>0</v>
      </c>
      <c r="S590" s="30">
        <f t="shared" si="470"/>
        <v>0</v>
      </c>
      <c r="T590" s="30">
        <f t="shared" si="470"/>
        <v>0</v>
      </c>
      <c r="U590" s="30">
        <f t="shared" si="470"/>
        <v>0</v>
      </c>
      <c r="V590" s="30">
        <f t="shared" si="470"/>
        <v>0</v>
      </c>
      <c r="W590" s="30">
        <f t="shared" si="470"/>
        <v>0</v>
      </c>
      <c r="X590" s="30">
        <f t="shared" si="470"/>
        <v>0</v>
      </c>
      <c r="Y590" s="29" t="s">
        <v>1638</v>
      </c>
      <c r="Z590" s="31" t="s">
        <v>40</v>
      </c>
      <c r="AA590" s="32" t="s">
        <v>54</v>
      </c>
      <c r="AB590" s="32" t="s">
        <v>54</v>
      </c>
      <c r="AC590" s="33"/>
    </row>
    <row r="591" spans="1:29" ht="46.5" x14ac:dyDescent="0.25">
      <c r="A591" s="34" t="s">
        <v>1639</v>
      </c>
      <c r="B591" s="35" t="s">
        <v>1640</v>
      </c>
      <c r="C591" s="36"/>
      <c r="D591" s="36"/>
      <c r="E591" s="37">
        <v>0</v>
      </c>
      <c r="F591" s="37">
        <v>0</v>
      </c>
      <c r="G591" s="37">
        <v>0</v>
      </c>
      <c r="H591" s="37">
        <v>0</v>
      </c>
      <c r="I591" s="37">
        <v>0</v>
      </c>
      <c r="J591" s="37">
        <v>0</v>
      </c>
      <c r="K591" s="37">
        <v>0</v>
      </c>
      <c r="L591" s="37">
        <v>0</v>
      </c>
      <c r="M591" s="37">
        <v>0</v>
      </c>
      <c r="N591" s="37">
        <v>0</v>
      </c>
      <c r="O591" s="37">
        <v>0</v>
      </c>
      <c r="P591" s="37">
        <v>0</v>
      </c>
      <c r="Q591" s="37">
        <v>0</v>
      </c>
      <c r="R591" s="37">
        <v>0</v>
      </c>
      <c r="S591" s="37">
        <v>0</v>
      </c>
      <c r="T591" s="37">
        <v>0</v>
      </c>
      <c r="U591" s="37">
        <v>0</v>
      </c>
      <c r="V591" s="37">
        <v>0</v>
      </c>
      <c r="W591" s="37">
        <v>0</v>
      </c>
      <c r="X591" s="37">
        <v>0</v>
      </c>
      <c r="Y591" s="36"/>
      <c r="Z591" s="38"/>
      <c r="AA591" s="39"/>
      <c r="AB591" s="39"/>
      <c r="AC591" s="40"/>
    </row>
    <row r="592" spans="1:29" ht="116.25" x14ac:dyDescent="0.25">
      <c r="A592" s="27" t="s">
        <v>1641</v>
      </c>
      <c r="B592" s="28" t="s">
        <v>1642</v>
      </c>
      <c r="C592" s="29" t="s">
        <v>1632</v>
      </c>
      <c r="D592" s="29" t="s">
        <v>1633</v>
      </c>
      <c r="E592" s="30">
        <f>SUM(E593:E593)+282529.29</f>
        <v>282529.28999999998</v>
      </c>
      <c r="F592" s="30">
        <f>SUM(F593:F593)+7000</f>
        <v>7000</v>
      </c>
      <c r="G592" s="30">
        <f>SUM(G593:G593)</f>
        <v>0</v>
      </c>
      <c r="H592" s="30">
        <f>SUM(H593:H593)</f>
        <v>0</v>
      </c>
      <c r="I592" s="30">
        <f>SUM(I593:I593)</f>
        <v>0</v>
      </c>
      <c r="J592" s="30">
        <f>SUM(J593:J593)</f>
        <v>0</v>
      </c>
      <c r="K592" s="30">
        <f>SUM(K593:K593)+219802.8</f>
        <v>219802.8</v>
      </c>
      <c r="L592" s="30">
        <f>SUM(L593:L593)+55726.49</f>
        <v>55726.49</v>
      </c>
      <c r="M592" s="30">
        <f>SUM(M593:M593)</f>
        <v>0</v>
      </c>
      <c r="N592" s="30">
        <f>SUM(N593:N593)</f>
        <v>0</v>
      </c>
      <c r="O592" s="30">
        <f>SUM(O593:O593)+267454.94</f>
        <v>267454.94</v>
      </c>
      <c r="P592" s="30">
        <f>SUM(P593:P593)+7000</f>
        <v>7000</v>
      </c>
      <c r="Q592" s="30">
        <f>SUM(Q593:Q593)</f>
        <v>0</v>
      </c>
      <c r="R592" s="30">
        <f>SUM(R593:R593)</f>
        <v>0</v>
      </c>
      <c r="S592" s="30">
        <f>SUM(S593:S593)</f>
        <v>0</v>
      </c>
      <c r="T592" s="30">
        <f>SUM(T593:T593)</f>
        <v>0</v>
      </c>
      <c r="U592" s="30">
        <f>SUM(U593:U593)</f>
        <v>0</v>
      </c>
      <c r="V592" s="30">
        <f>SUM(V593:V593)+53013.11</f>
        <v>53013.11</v>
      </c>
      <c r="W592" s="30">
        <f>SUM(W593:W593)</f>
        <v>0</v>
      </c>
      <c r="X592" s="30">
        <f>SUM(X593:X593)</f>
        <v>0</v>
      </c>
      <c r="Y592" s="29" t="s">
        <v>1634</v>
      </c>
      <c r="Z592" s="31" t="s">
        <v>40</v>
      </c>
      <c r="AA592" s="32" t="s">
        <v>54</v>
      </c>
      <c r="AB592" s="32" t="s">
        <v>54</v>
      </c>
      <c r="AC592" s="33"/>
    </row>
    <row r="593" spans="1:29" ht="46.5" x14ac:dyDescent="0.25">
      <c r="A593" s="34" t="s">
        <v>1643</v>
      </c>
      <c r="B593" s="35" t="s">
        <v>1644</v>
      </c>
      <c r="C593" s="36"/>
      <c r="D593" s="36"/>
      <c r="E593" s="37">
        <v>0</v>
      </c>
      <c r="F593" s="37">
        <v>0</v>
      </c>
      <c r="G593" s="37">
        <v>0</v>
      </c>
      <c r="H593" s="37">
        <v>0</v>
      </c>
      <c r="I593" s="37">
        <v>0</v>
      </c>
      <c r="J593" s="37">
        <v>0</v>
      </c>
      <c r="K593" s="37">
        <v>0</v>
      </c>
      <c r="L593" s="37">
        <v>0</v>
      </c>
      <c r="M593" s="37">
        <v>0</v>
      </c>
      <c r="N593" s="37">
        <v>0</v>
      </c>
      <c r="O593" s="37">
        <v>0</v>
      </c>
      <c r="P593" s="37">
        <v>0</v>
      </c>
      <c r="Q593" s="37">
        <v>0</v>
      </c>
      <c r="R593" s="37">
        <v>0</v>
      </c>
      <c r="S593" s="37">
        <v>0</v>
      </c>
      <c r="T593" s="37">
        <v>0</v>
      </c>
      <c r="U593" s="37">
        <v>0</v>
      </c>
      <c r="V593" s="37">
        <v>0</v>
      </c>
      <c r="W593" s="37">
        <v>0</v>
      </c>
      <c r="X593" s="37">
        <v>0</v>
      </c>
      <c r="Y593" s="36"/>
      <c r="Z593" s="38"/>
      <c r="AA593" s="39"/>
      <c r="AB593" s="39"/>
      <c r="AC593" s="40"/>
    </row>
    <row r="594" spans="1:29" ht="162.75" x14ac:dyDescent="0.25">
      <c r="A594" s="27" t="s">
        <v>1645</v>
      </c>
      <c r="B594" s="28" t="s">
        <v>1646</v>
      </c>
      <c r="C594" s="29" t="s">
        <v>1479</v>
      </c>
      <c r="D594" s="29" t="s">
        <v>1491</v>
      </c>
      <c r="E594" s="30">
        <f>SUM(E595:E595)+15571</f>
        <v>15571</v>
      </c>
      <c r="F594" s="30">
        <f>SUM(F595:F595)+11571</f>
        <v>11571</v>
      </c>
      <c r="G594" s="30">
        <f t="shared" ref="G594:N594" si="471">SUM(G595:G595)</f>
        <v>0</v>
      </c>
      <c r="H594" s="30">
        <f t="shared" si="471"/>
        <v>0</v>
      </c>
      <c r="I594" s="30">
        <f t="shared" si="471"/>
        <v>0</v>
      </c>
      <c r="J594" s="30">
        <f t="shared" si="471"/>
        <v>0</v>
      </c>
      <c r="K594" s="30">
        <f t="shared" si="471"/>
        <v>0</v>
      </c>
      <c r="L594" s="30">
        <f t="shared" si="471"/>
        <v>0</v>
      </c>
      <c r="M594" s="30">
        <f t="shared" si="471"/>
        <v>0</v>
      </c>
      <c r="N594" s="30">
        <f t="shared" si="471"/>
        <v>0</v>
      </c>
      <c r="O594" s="30">
        <f>SUM(O595:O595)+15571</f>
        <v>15571</v>
      </c>
      <c r="P594" s="30">
        <f>SUM(P595:P595)+11571</f>
        <v>11571</v>
      </c>
      <c r="Q594" s="30">
        <f t="shared" ref="Q594:X594" si="472">SUM(Q595:Q595)</f>
        <v>0</v>
      </c>
      <c r="R594" s="30">
        <f t="shared" si="472"/>
        <v>0</v>
      </c>
      <c r="S594" s="30">
        <f t="shared" si="472"/>
        <v>0</v>
      </c>
      <c r="T594" s="30">
        <f t="shared" si="472"/>
        <v>0</v>
      </c>
      <c r="U594" s="30">
        <f t="shared" si="472"/>
        <v>0</v>
      </c>
      <c r="V594" s="30">
        <f t="shared" si="472"/>
        <v>0</v>
      </c>
      <c r="W594" s="30">
        <f t="shared" si="472"/>
        <v>0</v>
      </c>
      <c r="X594" s="30">
        <f t="shared" si="472"/>
        <v>0</v>
      </c>
      <c r="Y594" s="29" t="s">
        <v>1647</v>
      </c>
      <c r="Z594" s="31" t="s">
        <v>40</v>
      </c>
      <c r="AA594" s="32" t="s">
        <v>41</v>
      </c>
      <c r="AB594" s="32" t="s">
        <v>41</v>
      </c>
      <c r="AC594" s="33"/>
    </row>
    <row r="595" spans="1:29" ht="46.5" x14ac:dyDescent="0.25">
      <c r="A595" s="34" t="s">
        <v>1648</v>
      </c>
      <c r="B595" s="35" t="s">
        <v>1649</v>
      </c>
      <c r="C595" s="36"/>
      <c r="D595" s="36"/>
      <c r="E595" s="37">
        <v>0</v>
      </c>
      <c r="F595" s="37">
        <v>0</v>
      </c>
      <c r="G595" s="37">
        <v>0</v>
      </c>
      <c r="H595" s="37">
        <v>0</v>
      </c>
      <c r="I595" s="37">
        <v>0</v>
      </c>
      <c r="J595" s="37">
        <v>0</v>
      </c>
      <c r="K595" s="37">
        <v>0</v>
      </c>
      <c r="L595" s="37">
        <v>0</v>
      </c>
      <c r="M595" s="37">
        <v>0</v>
      </c>
      <c r="N595" s="37">
        <v>0</v>
      </c>
      <c r="O595" s="37">
        <v>0</v>
      </c>
      <c r="P595" s="37">
        <v>0</v>
      </c>
      <c r="Q595" s="37">
        <v>0</v>
      </c>
      <c r="R595" s="37">
        <v>0</v>
      </c>
      <c r="S595" s="37">
        <v>0</v>
      </c>
      <c r="T595" s="37">
        <v>0</v>
      </c>
      <c r="U595" s="37">
        <v>0</v>
      </c>
      <c r="V595" s="37">
        <v>0</v>
      </c>
      <c r="W595" s="37">
        <v>0</v>
      </c>
      <c r="X595" s="37">
        <v>0</v>
      </c>
      <c r="Y595" s="36"/>
      <c r="Z595" s="38"/>
      <c r="AA595" s="39"/>
      <c r="AB595" s="39"/>
      <c r="AC595" s="40"/>
    </row>
    <row r="596" spans="1:29" ht="90" x14ac:dyDescent="0.25">
      <c r="A596" s="20" t="s">
        <v>1650</v>
      </c>
      <c r="B596" s="21" t="s">
        <v>1651</v>
      </c>
      <c r="C596" s="22" t="s">
        <v>1479</v>
      </c>
      <c r="D596" s="22" t="s">
        <v>1482</v>
      </c>
      <c r="E596" s="23">
        <f t="shared" ref="E596:N597" si="473">SUM(E597:E597)</f>
        <v>0</v>
      </c>
      <c r="F596" s="23">
        <f t="shared" si="473"/>
        <v>0</v>
      </c>
      <c r="G596" s="23">
        <f t="shared" si="473"/>
        <v>0</v>
      </c>
      <c r="H596" s="23">
        <f t="shared" si="473"/>
        <v>0</v>
      </c>
      <c r="I596" s="23">
        <f t="shared" si="473"/>
        <v>0</v>
      </c>
      <c r="J596" s="23">
        <f t="shared" si="473"/>
        <v>0</v>
      </c>
      <c r="K596" s="23">
        <f t="shared" si="473"/>
        <v>0</v>
      </c>
      <c r="L596" s="23">
        <f t="shared" si="473"/>
        <v>0</v>
      </c>
      <c r="M596" s="23">
        <f t="shared" si="473"/>
        <v>0</v>
      </c>
      <c r="N596" s="23">
        <f t="shared" si="473"/>
        <v>0</v>
      </c>
      <c r="O596" s="23">
        <f t="shared" ref="O596:X597" si="474">SUM(O597:O597)</f>
        <v>0</v>
      </c>
      <c r="P596" s="23">
        <f t="shared" si="474"/>
        <v>0</v>
      </c>
      <c r="Q596" s="23">
        <f t="shared" si="474"/>
        <v>0</v>
      </c>
      <c r="R596" s="23">
        <f t="shared" si="474"/>
        <v>0</v>
      </c>
      <c r="S596" s="23">
        <f t="shared" si="474"/>
        <v>0</v>
      </c>
      <c r="T596" s="23">
        <f t="shared" si="474"/>
        <v>0</v>
      </c>
      <c r="U596" s="23">
        <f t="shared" si="474"/>
        <v>0</v>
      </c>
      <c r="V596" s="23">
        <f t="shared" si="474"/>
        <v>0</v>
      </c>
      <c r="W596" s="23">
        <f t="shared" si="474"/>
        <v>0</v>
      </c>
      <c r="X596" s="23">
        <f t="shared" si="474"/>
        <v>0</v>
      </c>
      <c r="Y596" s="22" t="s">
        <v>1652</v>
      </c>
      <c r="Z596" s="24" t="s">
        <v>40</v>
      </c>
      <c r="AA596" s="25" t="s">
        <v>54</v>
      </c>
      <c r="AB596" s="25" t="s">
        <v>47</v>
      </c>
      <c r="AC596" s="26" t="s">
        <v>1653</v>
      </c>
    </row>
    <row r="597" spans="1:29" ht="46.5" x14ac:dyDescent="0.25">
      <c r="A597" s="27" t="s">
        <v>1654</v>
      </c>
      <c r="B597" s="28" t="s">
        <v>1655</v>
      </c>
      <c r="C597" s="29" t="s">
        <v>1479</v>
      </c>
      <c r="D597" s="29" t="s">
        <v>1482</v>
      </c>
      <c r="E597" s="30">
        <f t="shared" si="473"/>
        <v>0</v>
      </c>
      <c r="F597" s="30">
        <f t="shared" si="473"/>
        <v>0</v>
      </c>
      <c r="G597" s="30">
        <f t="shared" si="473"/>
        <v>0</v>
      </c>
      <c r="H597" s="30">
        <f t="shared" si="473"/>
        <v>0</v>
      </c>
      <c r="I597" s="30">
        <f t="shared" si="473"/>
        <v>0</v>
      </c>
      <c r="J597" s="30">
        <f t="shared" si="473"/>
        <v>0</v>
      </c>
      <c r="K597" s="30">
        <f t="shared" si="473"/>
        <v>0</v>
      </c>
      <c r="L597" s="30">
        <f t="shared" si="473"/>
        <v>0</v>
      </c>
      <c r="M597" s="30">
        <f t="shared" si="473"/>
        <v>0</v>
      </c>
      <c r="N597" s="30">
        <f t="shared" si="473"/>
        <v>0</v>
      </c>
      <c r="O597" s="30">
        <f t="shared" si="474"/>
        <v>0</v>
      </c>
      <c r="P597" s="30">
        <f t="shared" si="474"/>
        <v>0</v>
      </c>
      <c r="Q597" s="30">
        <f t="shared" si="474"/>
        <v>0</v>
      </c>
      <c r="R597" s="30">
        <f t="shared" si="474"/>
        <v>0</v>
      </c>
      <c r="S597" s="30">
        <f t="shared" si="474"/>
        <v>0</v>
      </c>
      <c r="T597" s="30">
        <f t="shared" si="474"/>
        <v>0</v>
      </c>
      <c r="U597" s="30">
        <f t="shared" si="474"/>
        <v>0</v>
      </c>
      <c r="V597" s="30">
        <f t="shared" si="474"/>
        <v>0</v>
      </c>
      <c r="W597" s="30">
        <f t="shared" si="474"/>
        <v>0</v>
      </c>
      <c r="X597" s="30">
        <f t="shared" si="474"/>
        <v>0</v>
      </c>
      <c r="Y597" s="29" t="s">
        <v>1656</v>
      </c>
      <c r="Z597" s="31" t="s">
        <v>40</v>
      </c>
      <c r="AA597" s="32" t="s">
        <v>54</v>
      </c>
      <c r="AB597" s="32" t="s">
        <v>47</v>
      </c>
      <c r="AC597" s="33" t="s">
        <v>1653</v>
      </c>
    </row>
    <row r="598" spans="1:29" ht="46.5" x14ac:dyDescent="0.25">
      <c r="A598" s="34" t="s">
        <v>1657</v>
      </c>
      <c r="B598" s="35" t="s">
        <v>1658</v>
      </c>
      <c r="C598" s="36"/>
      <c r="D598" s="36"/>
      <c r="E598" s="37">
        <v>0</v>
      </c>
      <c r="F598" s="37">
        <v>0</v>
      </c>
      <c r="G598" s="37">
        <v>0</v>
      </c>
      <c r="H598" s="37">
        <v>0</v>
      </c>
      <c r="I598" s="37">
        <v>0</v>
      </c>
      <c r="J598" s="37">
        <v>0</v>
      </c>
      <c r="K598" s="37">
        <v>0</v>
      </c>
      <c r="L598" s="37">
        <v>0</v>
      </c>
      <c r="M598" s="37">
        <v>0</v>
      </c>
      <c r="N598" s="37">
        <v>0</v>
      </c>
      <c r="O598" s="37">
        <v>0</v>
      </c>
      <c r="P598" s="37">
        <v>0</v>
      </c>
      <c r="Q598" s="37">
        <v>0</v>
      </c>
      <c r="R598" s="37">
        <v>0</v>
      </c>
      <c r="S598" s="37">
        <v>0</v>
      </c>
      <c r="T598" s="37">
        <v>0</v>
      </c>
      <c r="U598" s="37">
        <v>0</v>
      </c>
      <c r="V598" s="37">
        <v>0</v>
      </c>
      <c r="W598" s="37">
        <v>0</v>
      </c>
      <c r="X598" s="37">
        <v>0</v>
      </c>
      <c r="Y598" s="36"/>
      <c r="Z598" s="38"/>
      <c r="AA598" s="39"/>
      <c r="AB598" s="39"/>
      <c r="AC598" s="40"/>
    </row>
    <row r="599" spans="1:29" ht="90" x14ac:dyDescent="0.25">
      <c r="A599" s="20" t="s">
        <v>1659</v>
      </c>
      <c r="B599" s="21" t="s">
        <v>1660</v>
      </c>
      <c r="C599" s="22" t="s">
        <v>1479</v>
      </c>
      <c r="D599" s="22" t="s">
        <v>1482</v>
      </c>
      <c r="E599" s="23">
        <f t="shared" ref="E599:X599" si="475">SUM(E600:E600)</f>
        <v>268858</v>
      </c>
      <c r="F599" s="23">
        <f t="shared" si="475"/>
        <v>268858</v>
      </c>
      <c r="G599" s="23">
        <f t="shared" si="475"/>
        <v>0</v>
      </c>
      <c r="H599" s="23">
        <f t="shared" si="475"/>
        <v>0</v>
      </c>
      <c r="I599" s="23">
        <f t="shared" si="475"/>
        <v>0</v>
      </c>
      <c r="J599" s="23">
        <f t="shared" si="475"/>
        <v>0</v>
      </c>
      <c r="K599" s="23">
        <f t="shared" si="475"/>
        <v>0</v>
      </c>
      <c r="L599" s="23">
        <f t="shared" si="475"/>
        <v>0</v>
      </c>
      <c r="M599" s="23">
        <f t="shared" si="475"/>
        <v>0</v>
      </c>
      <c r="N599" s="23">
        <f t="shared" si="475"/>
        <v>0</v>
      </c>
      <c r="O599" s="23">
        <f t="shared" si="475"/>
        <v>267749.34999999998</v>
      </c>
      <c r="P599" s="23">
        <f t="shared" si="475"/>
        <v>267749.34999999998</v>
      </c>
      <c r="Q599" s="23">
        <f t="shared" si="475"/>
        <v>0</v>
      </c>
      <c r="R599" s="23">
        <f t="shared" si="475"/>
        <v>0</v>
      </c>
      <c r="S599" s="23">
        <f t="shared" si="475"/>
        <v>0</v>
      </c>
      <c r="T599" s="23">
        <f t="shared" si="475"/>
        <v>0</v>
      </c>
      <c r="U599" s="23">
        <f t="shared" si="475"/>
        <v>0</v>
      </c>
      <c r="V599" s="23">
        <f t="shared" si="475"/>
        <v>0</v>
      </c>
      <c r="W599" s="23">
        <f t="shared" si="475"/>
        <v>0</v>
      </c>
      <c r="X599" s="23">
        <f t="shared" si="475"/>
        <v>0</v>
      </c>
      <c r="Y599" s="22" t="s">
        <v>1656</v>
      </c>
      <c r="Z599" s="24" t="s">
        <v>40</v>
      </c>
      <c r="AA599" s="25" t="s">
        <v>41</v>
      </c>
      <c r="AB599" s="25" t="s">
        <v>41</v>
      </c>
      <c r="AC599" s="26"/>
    </row>
    <row r="600" spans="1:29" ht="46.5" x14ac:dyDescent="0.25">
      <c r="A600" s="27" t="s">
        <v>1661</v>
      </c>
      <c r="B600" s="28" t="s">
        <v>1662</v>
      </c>
      <c r="C600" s="29" t="s">
        <v>1479</v>
      </c>
      <c r="D600" s="29" t="s">
        <v>1663</v>
      </c>
      <c r="E600" s="30">
        <f>SUM(E601:E601)+268858</f>
        <v>268858</v>
      </c>
      <c r="F600" s="30">
        <f>SUM(F601:F601)+268858</f>
        <v>268858</v>
      </c>
      <c r="G600" s="30">
        <f t="shared" ref="G600:N600" si="476">SUM(G601:G601)</f>
        <v>0</v>
      </c>
      <c r="H600" s="30">
        <f t="shared" si="476"/>
        <v>0</v>
      </c>
      <c r="I600" s="30">
        <f t="shared" si="476"/>
        <v>0</v>
      </c>
      <c r="J600" s="30">
        <f t="shared" si="476"/>
        <v>0</v>
      </c>
      <c r="K600" s="30">
        <f t="shared" si="476"/>
        <v>0</v>
      </c>
      <c r="L600" s="30">
        <f t="shared" si="476"/>
        <v>0</v>
      </c>
      <c r="M600" s="30">
        <f t="shared" si="476"/>
        <v>0</v>
      </c>
      <c r="N600" s="30">
        <f t="shared" si="476"/>
        <v>0</v>
      </c>
      <c r="O600" s="30">
        <f>SUM(O601:O601)+267749.35</f>
        <v>267749.34999999998</v>
      </c>
      <c r="P600" s="30">
        <f>SUM(P601:P601)+267749.35</f>
        <v>267749.34999999998</v>
      </c>
      <c r="Q600" s="30">
        <f t="shared" ref="Q600:X600" si="477">SUM(Q601:Q601)</f>
        <v>0</v>
      </c>
      <c r="R600" s="30">
        <f t="shared" si="477"/>
        <v>0</v>
      </c>
      <c r="S600" s="30">
        <f t="shared" si="477"/>
        <v>0</v>
      </c>
      <c r="T600" s="30">
        <f t="shared" si="477"/>
        <v>0</v>
      </c>
      <c r="U600" s="30">
        <f t="shared" si="477"/>
        <v>0</v>
      </c>
      <c r="V600" s="30">
        <f t="shared" si="477"/>
        <v>0</v>
      </c>
      <c r="W600" s="30">
        <f t="shared" si="477"/>
        <v>0</v>
      </c>
      <c r="X600" s="30">
        <f t="shared" si="477"/>
        <v>0</v>
      </c>
      <c r="Y600" s="29" t="s">
        <v>1664</v>
      </c>
      <c r="Z600" s="31" t="s">
        <v>40</v>
      </c>
      <c r="AA600" s="32" t="s">
        <v>69</v>
      </c>
      <c r="AB600" s="32" t="s">
        <v>41</v>
      </c>
      <c r="AC600" s="33"/>
    </row>
    <row r="601" spans="1:29" x14ac:dyDescent="0.25">
      <c r="A601" s="34" t="s">
        <v>1665</v>
      </c>
      <c r="B601" s="35" t="s">
        <v>1666</v>
      </c>
      <c r="C601" s="36"/>
      <c r="D601" s="36"/>
      <c r="E601" s="37">
        <v>0</v>
      </c>
      <c r="F601" s="37">
        <v>0</v>
      </c>
      <c r="G601" s="37">
        <v>0</v>
      </c>
      <c r="H601" s="37">
        <v>0</v>
      </c>
      <c r="I601" s="37">
        <v>0</v>
      </c>
      <c r="J601" s="37">
        <v>0</v>
      </c>
      <c r="K601" s="37">
        <v>0</v>
      </c>
      <c r="L601" s="37">
        <v>0</v>
      </c>
      <c r="M601" s="37">
        <v>0</v>
      </c>
      <c r="N601" s="37">
        <v>0</v>
      </c>
      <c r="O601" s="37">
        <v>0</v>
      </c>
      <c r="P601" s="37">
        <v>0</v>
      </c>
      <c r="Q601" s="37">
        <v>0</v>
      </c>
      <c r="R601" s="37">
        <v>0</v>
      </c>
      <c r="S601" s="37">
        <v>0</v>
      </c>
      <c r="T601" s="37">
        <v>0</v>
      </c>
      <c r="U601" s="37">
        <v>0</v>
      </c>
      <c r="V601" s="37">
        <v>0</v>
      </c>
      <c r="W601" s="37">
        <v>0</v>
      </c>
      <c r="X601" s="37">
        <v>0</v>
      </c>
      <c r="Y601" s="36"/>
      <c r="Z601" s="38"/>
      <c r="AA601" s="39"/>
      <c r="AB601" s="39"/>
      <c r="AC601" s="40"/>
    </row>
    <row r="602" spans="1:29" ht="67.5" x14ac:dyDescent="0.25">
      <c r="A602" s="20" t="s">
        <v>1667</v>
      </c>
      <c r="B602" s="21" t="s">
        <v>1668</v>
      </c>
      <c r="C602" s="22" t="s">
        <v>1479</v>
      </c>
      <c r="D602" s="22" t="s">
        <v>1482</v>
      </c>
      <c r="E602" s="23">
        <f t="shared" ref="E602:X602" si="478">E603+E605+E607+E609+E611+E613+E615+E618+E621+E623+E625+E627+E629+E631+E633+E635+E637+E639+E641+E643+E645+E647+E649+E651+E653+E655+E657+E659+E661+E663+E665+E667+E669+E671+E673+E675+E677+E679+E681+E683+E685+E687+E689+E691</f>
        <v>14565029.57</v>
      </c>
      <c r="F602" s="23">
        <f t="shared" si="478"/>
        <v>2781942.07</v>
      </c>
      <c r="G602" s="23">
        <f t="shared" si="478"/>
        <v>0</v>
      </c>
      <c r="H602" s="23">
        <f t="shared" si="478"/>
        <v>0</v>
      </c>
      <c r="I602" s="23">
        <f t="shared" si="478"/>
        <v>693440</v>
      </c>
      <c r="J602" s="23">
        <f t="shared" si="478"/>
        <v>0</v>
      </c>
      <c r="K602" s="23">
        <f t="shared" si="478"/>
        <v>0</v>
      </c>
      <c r="L602" s="23">
        <f t="shared" si="478"/>
        <v>10857395.5</v>
      </c>
      <c r="M602" s="23">
        <f t="shared" si="478"/>
        <v>0</v>
      </c>
      <c r="N602" s="23">
        <f t="shared" si="478"/>
        <v>0</v>
      </c>
      <c r="O602" s="23">
        <f t="shared" si="478"/>
        <v>14403707.279999997</v>
      </c>
      <c r="P602" s="23">
        <f t="shared" si="478"/>
        <v>2149977.6500000004</v>
      </c>
      <c r="Q602" s="23">
        <f t="shared" si="478"/>
        <v>0</v>
      </c>
      <c r="R602" s="23">
        <f t="shared" si="478"/>
        <v>0</v>
      </c>
      <c r="S602" s="23">
        <f t="shared" si="478"/>
        <v>0</v>
      </c>
      <c r="T602" s="23">
        <f t="shared" si="478"/>
        <v>0</v>
      </c>
      <c r="U602" s="23">
        <f t="shared" si="478"/>
        <v>0</v>
      </c>
      <c r="V602" s="23">
        <f t="shared" si="478"/>
        <v>10781109.860000001</v>
      </c>
      <c r="W602" s="23">
        <f t="shared" si="478"/>
        <v>0</v>
      </c>
      <c r="X602" s="23">
        <f t="shared" si="478"/>
        <v>0</v>
      </c>
      <c r="Y602" s="22" t="s">
        <v>1656</v>
      </c>
      <c r="Z602" s="24" t="s">
        <v>40</v>
      </c>
      <c r="AA602" s="25" t="s">
        <v>69</v>
      </c>
      <c r="AB602" s="25" t="s">
        <v>69</v>
      </c>
      <c r="AC602" s="26"/>
    </row>
    <row r="603" spans="1:29" ht="93" x14ac:dyDescent="0.25">
      <c r="A603" s="27" t="s">
        <v>1669</v>
      </c>
      <c r="B603" s="28" t="s">
        <v>1670</v>
      </c>
      <c r="C603" s="29" t="s">
        <v>1479</v>
      </c>
      <c r="D603" s="29" t="s">
        <v>1671</v>
      </c>
      <c r="E603" s="30">
        <f>SUM(E604:E604)+1538061.54</f>
        <v>1538061.54</v>
      </c>
      <c r="F603" s="30">
        <f>SUM(F604:F604)+1362798.18</f>
        <v>1362798.18</v>
      </c>
      <c r="G603" s="30">
        <f t="shared" ref="G603:N603" si="479">SUM(G604:G604)</f>
        <v>0</v>
      </c>
      <c r="H603" s="30">
        <f t="shared" si="479"/>
        <v>0</v>
      </c>
      <c r="I603" s="30">
        <f t="shared" si="479"/>
        <v>0</v>
      </c>
      <c r="J603" s="30">
        <f t="shared" si="479"/>
        <v>0</v>
      </c>
      <c r="K603" s="30">
        <f t="shared" si="479"/>
        <v>0</v>
      </c>
      <c r="L603" s="30">
        <f t="shared" si="479"/>
        <v>0</v>
      </c>
      <c r="M603" s="30">
        <f t="shared" si="479"/>
        <v>0</v>
      </c>
      <c r="N603" s="30">
        <f t="shared" si="479"/>
        <v>0</v>
      </c>
      <c r="O603" s="30">
        <f>SUM(O604:O604)+1521673.07</f>
        <v>1521673.07</v>
      </c>
      <c r="P603" s="30">
        <f>SUM(P604:P604)+1146409.71</f>
        <v>1146409.71</v>
      </c>
      <c r="Q603" s="30">
        <f t="shared" ref="Q603:X603" si="480">SUM(Q604:Q604)</f>
        <v>0</v>
      </c>
      <c r="R603" s="30">
        <f t="shared" si="480"/>
        <v>0</v>
      </c>
      <c r="S603" s="30">
        <f t="shared" si="480"/>
        <v>0</v>
      </c>
      <c r="T603" s="30">
        <f t="shared" si="480"/>
        <v>0</v>
      </c>
      <c r="U603" s="30">
        <f t="shared" si="480"/>
        <v>0</v>
      </c>
      <c r="V603" s="30">
        <f t="shared" si="480"/>
        <v>0</v>
      </c>
      <c r="W603" s="30">
        <f t="shared" si="480"/>
        <v>0</v>
      </c>
      <c r="X603" s="30">
        <f t="shared" si="480"/>
        <v>0</v>
      </c>
      <c r="Y603" s="29" t="s">
        <v>1672</v>
      </c>
      <c r="Z603" s="31" t="s">
        <v>40</v>
      </c>
      <c r="AA603" s="32" t="s">
        <v>1673</v>
      </c>
      <c r="AB603" s="32" t="s">
        <v>1674</v>
      </c>
      <c r="AC603" s="33"/>
    </row>
    <row r="604" spans="1:29" ht="46.5" x14ac:dyDescent="0.25">
      <c r="A604" s="34" t="s">
        <v>1675</v>
      </c>
      <c r="B604" s="35" t="s">
        <v>1676</v>
      </c>
      <c r="C604" s="36"/>
      <c r="D604" s="36"/>
      <c r="E604" s="37">
        <v>0</v>
      </c>
      <c r="F604" s="37">
        <v>0</v>
      </c>
      <c r="G604" s="37">
        <v>0</v>
      </c>
      <c r="H604" s="37">
        <v>0</v>
      </c>
      <c r="I604" s="37">
        <v>0</v>
      </c>
      <c r="J604" s="37">
        <v>0</v>
      </c>
      <c r="K604" s="37">
        <v>0</v>
      </c>
      <c r="L604" s="37">
        <v>0</v>
      </c>
      <c r="M604" s="37">
        <v>0</v>
      </c>
      <c r="N604" s="37">
        <v>0</v>
      </c>
      <c r="O604" s="37">
        <v>0</v>
      </c>
      <c r="P604" s="37">
        <v>0</v>
      </c>
      <c r="Q604" s="37">
        <v>0</v>
      </c>
      <c r="R604" s="37">
        <v>0</v>
      </c>
      <c r="S604" s="37">
        <v>0</v>
      </c>
      <c r="T604" s="37">
        <v>0</v>
      </c>
      <c r="U604" s="37">
        <v>0</v>
      </c>
      <c r="V604" s="37">
        <v>0</v>
      </c>
      <c r="W604" s="37">
        <v>0</v>
      </c>
      <c r="X604" s="37">
        <v>0</v>
      </c>
      <c r="Y604" s="36"/>
      <c r="Z604" s="38"/>
      <c r="AA604" s="39"/>
      <c r="AB604" s="39"/>
      <c r="AC604" s="40"/>
    </row>
    <row r="605" spans="1:29" ht="93" x14ac:dyDescent="0.25">
      <c r="A605" s="27" t="s">
        <v>1677</v>
      </c>
      <c r="B605" s="28" t="s">
        <v>1678</v>
      </c>
      <c r="C605" s="29" t="s">
        <v>1479</v>
      </c>
      <c r="D605" s="29" t="s">
        <v>1679</v>
      </c>
      <c r="E605" s="30">
        <f>SUM(E606:E606)+132782.89</f>
        <v>132782.89000000001</v>
      </c>
      <c r="F605" s="30">
        <f>SUM(F606:F606)+132782.89</f>
        <v>132782.89000000001</v>
      </c>
      <c r="G605" s="30">
        <f t="shared" ref="G605:N605" si="481">SUM(G606:G606)</f>
        <v>0</v>
      </c>
      <c r="H605" s="30">
        <f t="shared" si="481"/>
        <v>0</v>
      </c>
      <c r="I605" s="30">
        <f t="shared" si="481"/>
        <v>0</v>
      </c>
      <c r="J605" s="30">
        <f t="shared" si="481"/>
        <v>0</v>
      </c>
      <c r="K605" s="30">
        <f t="shared" si="481"/>
        <v>0</v>
      </c>
      <c r="L605" s="30">
        <f t="shared" si="481"/>
        <v>0</v>
      </c>
      <c r="M605" s="30">
        <f t="shared" si="481"/>
        <v>0</v>
      </c>
      <c r="N605" s="30">
        <f t="shared" si="481"/>
        <v>0</v>
      </c>
      <c r="O605" s="30">
        <f>SUM(O606:O606)+132196.89</f>
        <v>132196.89000000001</v>
      </c>
      <c r="P605" s="30">
        <f>SUM(P606:P606)+102196.89</f>
        <v>102196.89</v>
      </c>
      <c r="Q605" s="30">
        <f t="shared" ref="Q605:X605" si="482">SUM(Q606:Q606)</f>
        <v>0</v>
      </c>
      <c r="R605" s="30">
        <f t="shared" si="482"/>
        <v>0</v>
      </c>
      <c r="S605" s="30">
        <f t="shared" si="482"/>
        <v>0</v>
      </c>
      <c r="T605" s="30">
        <f t="shared" si="482"/>
        <v>0</v>
      </c>
      <c r="U605" s="30">
        <f t="shared" si="482"/>
        <v>0</v>
      </c>
      <c r="V605" s="30">
        <f t="shared" si="482"/>
        <v>0</v>
      </c>
      <c r="W605" s="30">
        <f t="shared" si="482"/>
        <v>0</v>
      </c>
      <c r="X605" s="30">
        <f t="shared" si="482"/>
        <v>0</v>
      </c>
      <c r="Y605" s="29" t="s">
        <v>1680</v>
      </c>
      <c r="Z605" s="31" t="s">
        <v>40</v>
      </c>
      <c r="AA605" s="32" t="s">
        <v>1681</v>
      </c>
      <c r="AB605" s="32" t="s">
        <v>1682</v>
      </c>
      <c r="AC605" s="33" t="s">
        <v>1683</v>
      </c>
    </row>
    <row r="606" spans="1:29" ht="69.75" x14ac:dyDescent="0.25">
      <c r="A606" s="34" t="s">
        <v>1684</v>
      </c>
      <c r="B606" s="35" t="s">
        <v>1685</v>
      </c>
      <c r="C606" s="36"/>
      <c r="D606" s="36"/>
      <c r="E606" s="37">
        <v>0</v>
      </c>
      <c r="F606" s="37">
        <v>0</v>
      </c>
      <c r="G606" s="37">
        <v>0</v>
      </c>
      <c r="H606" s="37">
        <v>0</v>
      </c>
      <c r="I606" s="37">
        <v>0</v>
      </c>
      <c r="J606" s="37">
        <v>0</v>
      </c>
      <c r="K606" s="37">
        <v>0</v>
      </c>
      <c r="L606" s="37">
        <v>0</v>
      </c>
      <c r="M606" s="37">
        <v>0</v>
      </c>
      <c r="N606" s="37">
        <v>0</v>
      </c>
      <c r="O606" s="37">
        <v>0</v>
      </c>
      <c r="P606" s="37">
        <v>0</v>
      </c>
      <c r="Q606" s="37">
        <v>0</v>
      </c>
      <c r="R606" s="37">
        <v>0</v>
      </c>
      <c r="S606" s="37">
        <v>0</v>
      </c>
      <c r="T606" s="37">
        <v>0</v>
      </c>
      <c r="U606" s="37">
        <v>0</v>
      </c>
      <c r="V606" s="37">
        <v>0</v>
      </c>
      <c r="W606" s="37">
        <v>0</v>
      </c>
      <c r="X606" s="37">
        <v>0</v>
      </c>
      <c r="Y606" s="36"/>
      <c r="Z606" s="38"/>
      <c r="AA606" s="39"/>
      <c r="AB606" s="39"/>
      <c r="AC606" s="40"/>
    </row>
    <row r="607" spans="1:29" ht="69.75" x14ac:dyDescent="0.25">
      <c r="A607" s="27" t="s">
        <v>1686</v>
      </c>
      <c r="B607" s="28" t="s">
        <v>1687</v>
      </c>
      <c r="C607" s="29" t="s">
        <v>1479</v>
      </c>
      <c r="D607" s="29" t="s">
        <v>1679</v>
      </c>
      <c r="E607" s="30">
        <f>SUM(E608:E608)+50600</f>
        <v>50600</v>
      </c>
      <c r="F607" s="30">
        <f>SUM(F608:F608)+50600</f>
        <v>50600</v>
      </c>
      <c r="G607" s="30">
        <f t="shared" ref="G607:N607" si="483">SUM(G608:G608)</f>
        <v>0</v>
      </c>
      <c r="H607" s="30">
        <f t="shared" si="483"/>
        <v>0</v>
      </c>
      <c r="I607" s="30">
        <f t="shared" si="483"/>
        <v>0</v>
      </c>
      <c r="J607" s="30">
        <f t="shared" si="483"/>
        <v>0</v>
      </c>
      <c r="K607" s="30">
        <f t="shared" si="483"/>
        <v>0</v>
      </c>
      <c r="L607" s="30">
        <f t="shared" si="483"/>
        <v>0</v>
      </c>
      <c r="M607" s="30">
        <f t="shared" si="483"/>
        <v>0</v>
      </c>
      <c r="N607" s="30">
        <f t="shared" si="483"/>
        <v>0</v>
      </c>
      <c r="O607" s="30">
        <f>SUM(O608:O608)+49500</f>
        <v>49500</v>
      </c>
      <c r="P607" s="30">
        <f>SUM(P608:P608)+45090</f>
        <v>45090</v>
      </c>
      <c r="Q607" s="30">
        <f t="shared" ref="Q607:X607" si="484">SUM(Q608:Q608)</f>
        <v>0</v>
      </c>
      <c r="R607" s="30">
        <f t="shared" si="484"/>
        <v>0</v>
      </c>
      <c r="S607" s="30">
        <f t="shared" si="484"/>
        <v>0</v>
      </c>
      <c r="T607" s="30">
        <f t="shared" si="484"/>
        <v>0</v>
      </c>
      <c r="U607" s="30">
        <f t="shared" si="484"/>
        <v>0</v>
      </c>
      <c r="V607" s="30">
        <f t="shared" si="484"/>
        <v>0</v>
      </c>
      <c r="W607" s="30">
        <f t="shared" si="484"/>
        <v>0</v>
      </c>
      <c r="X607" s="30">
        <f t="shared" si="484"/>
        <v>0</v>
      </c>
      <c r="Y607" s="29" t="s">
        <v>1688</v>
      </c>
      <c r="Z607" s="31" t="s">
        <v>40</v>
      </c>
      <c r="AA607" s="32" t="s">
        <v>1689</v>
      </c>
      <c r="AB607" s="32" t="s">
        <v>149</v>
      </c>
      <c r="AC607" s="33" t="s">
        <v>1683</v>
      </c>
    </row>
    <row r="608" spans="1:29" ht="69.75" x14ac:dyDescent="0.25">
      <c r="A608" s="34" t="s">
        <v>1690</v>
      </c>
      <c r="B608" s="35" t="s">
        <v>1691</v>
      </c>
      <c r="C608" s="36"/>
      <c r="D608" s="36"/>
      <c r="E608" s="37">
        <v>0</v>
      </c>
      <c r="F608" s="37">
        <v>0</v>
      </c>
      <c r="G608" s="37">
        <v>0</v>
      </c>
      <c r="H608" s="37">
        <v>0</v>
      </c>
      <c r="I608" s="37">
        <v>0</v>
      </c>
      <c r="J608" s="37">
        <v>0</v>
      </c>
      <c r="K608" s="37">
        <v>0</v>
      </c>
      <c r="L608" s="37">
        <v>0</v>
      </c>
      <c r="M608" s="37">
        <v>0</v>
      </c>
      <c r="N608" s="37">
        <v>0</v>
      </c>
      <c r="O608" s="37">
        <v>0</v>
      </c>
      <c r="P608" s="37">
        <v>0</v>
      </c>
      <c r="Q608" s="37">
        <v>0</v>
      </c>
      <c r="R608" s="37">
        <v>0</v>
      </c>
      <c r="S608" s="37">
        <v>0</v>
      </c>
      <c r="T608" s="37">
        <v>0</v>
      </c>
      <c r="U608" s="37">
        <v>0</v>
      </c>
      <c r="V608" s="37">
        <v>0</v>
      </c>
      <c r="W608" s="37">
        <v>0</v>
      </c>
      <c r="X608" s="37">
        <v>0</v>
      </c>
      <c r="Y608" s="36"/>
      <c r="Z608" s="38"/>
      <c r="AA608" s="39"/>
      <c r="AB608" s="39"/>
      <c r="AC608" s="40"/>
    </row>
    <row r="609" spans="1:29" ht="93" x14ac:dyDescent="0.25">
      <c r="A609" s="27" t="s">
        <v>1692</v>
      </c>
      <c r="B609" s="28" t="s">
        <v>1693</v>
      </c>
      <c r="C609" s="29" t="s">
        <v>1479</v>
      </c>
      <c r="D609" s="29" t="s">
        <v>1679</v>
      </c>
      <c r="E609" s="30">
        <f>SUM(E610:E610)+2112</f>
        <v>2112</v>
      </c>
      <c r="F609" s="30">
        <f>SUM(F610:F610)+2112</f>
        <v>2112</v>
      </c>
      <c r="G609" s="30">
        <f t="shared" ref="G609:N609" si="485">SUM(G610:G610)</f>
        <v>0</v>
      </c>
      <c r="H609" s="30">
        <f t="shared" si="485"/>
        <v>0</v>
      </c>
      <c r="I609" s="30">
        <f t="shared" si="485"/>
        <v>0</v>
      </c>
      <c r="J609" s="30">
        <f t="shared" si="485"/>
        <v>0</v>
      </c>
      <c r="K609" s="30">
        <f t="shared" si="485"/>
        <v>0</v>
      </c>
      <c r="L609" s="30">
        <f t="shared" si="485"/>
        <v>0</v>
      </c>
      <c r="M609" s="30">
        <f t="shared" si="485"/>
        <v>0</v>
      </c>
      <c r="N609" s="30">
        <f t="shared" si="485"/>
        <v>0</v>
      </c>
      <c r="O609" s="30">
        <f>SUM(O610:O610)+1408</f>
        <v>1408</v>
      </c>
      <c r="P609" s="30">
        <f>SUM(P610:P610)+1408</f>
        <v>1408</v>
      </c>
      <c r="Q609" s="30">
        <f t="shared" ref="Q609:X609" si="486">SUM(Q610:Q610)</f>
        <v>0</v>
      </c>
      <c r="R609" s="30">
        <f t="shared" si="486"/>
        <v>0</v>
      </c>
      <c r="S609" s="30">
        <f t="shared" si="486"/>
        <v>0</v>
      </c>
      <c r="T609" s="30">
        <f t="shared" si="486"/>
        <v>0</v>
      </c>
      <c r="U609" s="30">
        <f t="shared" si="486"/>
        <v>0</v>
      </c>
      <c r="V609" s="30">
        <f t="shared" si="486"/>
        <v>0</v>
      </c>
      <c r="W609" s="30">
        <f t="shared" si="486"/>
        <v>0</v>
      </c>
      <c r="X609" s="30">
        <f t="shared" si="486"/>
        <v>0</v>
      </c>
      <c r="Y609" s="29" t="s">
        <v>1694</v>
      </c>
      <c r="Z609" s="31" t="s">
        <v>40</v>
      </c>
      <c r="AA609" s="32" t="s">
        <v>128</v>
      </c>
      <c r="AB609" s="32" t="s">
        <v>186</v>
      </c>
      <c r="AC609" s="33" t="s">
        <v>1695</v>
      </c>
    </row>
    <row r="610" spans="1:29" ht="69.75" x14ac:dyDescent="0.25">
      <c r="A610" s="34" t="s">
        <v>1696</v>
      </c>
      <c r="B610" s="35" t="s">
        <v>1697</v>
      </c>
      <c r="C610" s="36"/>
      <c r="D610" s="36"/>
      <c r="E610" s="37">
        <v>0</v>
      </c>
      <c r="F610" s="37">
        <v>0</v>
      </c>
      <c r="G610" s="37">
        <v>0</v>
      </c>
      <c r="H610" s="37">
        <v>0</v>
      </c>
      <c r="I610" s="37">
        <v>0</v>
      </c>
      <c r="J610" s="37">
        <v>0</v>
      </c>
      <c r="K610" s="37">
        <v>0</v>
      </c>
      <c r="L610" s="37">
        <v>0</v>
      </c>
      <c r="M610" s="37">
        <v>0</v>
      </c>
      <c r="N610" s="37">
        <v>0</v>
      </c>
      <c r="O610" s="37">
        <v>0</v>
      </c>
      <c r="P610" s="37">
        <v>0</v>
      </c>
      <c r="Q610" s="37">
        <v>0</v>
      </c>
      <c r="R610" s="37">
        <v>0</v>
      </c>
      <c r="S610" s="37">
        <v>0</v>
      </c>
      <c r="T610" s="37">
        <v>0</v>
      </c>
      <c r="U610" s="37">
        <v>0</v>
      </c>
      <c r="V610" s="37">
        <v>0</v>
      </c>
      <c r="W610" s="37">
        <v>0</v>
      </c>
      <c r="X610" s="37">
        <v>0</v>
      </c>
      <c r="Y610" s="36"/>
      <c r="Z610" s="38"/>
      <c r="AA610" s="39"/>
      <c r="AB610" s="39"/>
      <c r="AC610" s="40"/>
    </row>
    <row r="611" spans="1:29" ht="69.75" x14ac:dyDescent="0.25">
      <c r="A611" s="27" t="s">
        <v>1698</v>
      </c>
      <c r="B611" s="28" t="s">
        <v>1699</v>
      </c>
      <c r="C611" s="29" t="s">
        <v>1479</v>
      </c>
      <c r="D611" s="29" t="s">
        <v>1482</v>
      </c>
      <c r="E611" s="30">
        <f>SUM(E612:E612)+37500</f>
        <v>37500</v>
      </c>
      <c r="F611" s="30">
        <f>SUM(F612:F612)+37500</f>
        <v>37500</v>
      </c>
      <c r="G611" s="30">
        <f t="shared" ref="G611:N611" si="487">SUM(G612:G612)</f>
        <v>0</v>
      </c>
      <c r="H611" s="30">
        <f t="shared" si="487"/>
        <v>0</v>
      </c>
      <c r="I611" s="30">
        <f t="shared" si="487"/>
        <v>0</v>
      </c>
      <c r="J611" s="30">
        <f t="shared" si="487"/>
        <v>0</v>
      </c>
      <c r="K611" s="30">
        <f t="shared" si="487"/>
        <v>0</v>
      </c>
      <c r="L611" s="30">
        <f t="shared" si="487"/>
        <v>0</v>
      </c>
      <c r="M611" s="30">
        <f t="shared" si="487"/>
        <v>0</v>
      </c>
      <c r="N611" s="30">
        <f t="shared" si="487"/>
        <v>0</v>
      </c>
      <c r="O611" s="30">
        <f>SUM(O612:O612)+34285.6</f>
        <v>34285.599999999999</v>
      </c>
      <c r="P611" s="30">
        <f>SUM(P612:P612)+34285.6</f>
        <v>34285.599999999999</v>
      </c>
      <c r="Q611" s="30">
        <f t="shared" ref="Q611:X611" si="488">SUM(Q612:Q612)</f>
        <v>0</v>
      </c>
      <c r="R611" s="30">
        <f t="shared" si="488"/>
        <v>0</v>
      </c>
      <c r="S611" s="30">
        <f t="shared" si="488"/>
        <v>0</v>
      </c>
      <c r="T611" s="30">
        <f t="shared" si="488"/>
        <v>0</v>
      </c>
      <c r="U611" s="30">
        <f t="shared" si="488"/>
        <v>0</v>
      </c>
      <c r="V611" s="30">
        <f t="shared" si="488"/>
        <v>0</v>
      </c>
      <c r="W611" s="30">
        <f t="shared" si="488"/>
        <v>0</v>
      </c>
      <c r="X611" s="30">
        <f t="shared" si="488"/>
        <v>0</v>
      </c>
      <c r="Y611" s="29" t="s">
        <v>1700</v>
      </c>
      <c r="Z611" s="31" t="s">
        <v>40</v>
      </c>
      <c r="AA611" s="32" t="s">
        <v>1701</v>
      </c>
      <c r="AB611" s="32" t="s">
        <v>1702</v>
      </c>
      <c r="AC611" s="33" t="s">
        <v>1703</v>
      </c>
    </row>
    <row r="612" spans="1:29" ht="69.75" x14ac:dyDescent="0.25">
      <c r="A612" s="34" t="s">
        <v>1704</v>
      </c>
      <c r="B612" s="35" t="s">
        <v>1705</v>
      </c>
      <c r="C612" s="36"/>
      <c r="D612" s="36"/>
      <c r="E612" s="37">
        <v>0</v>
      </c>
      <c r="F612" s="37">
        <v>0</v>
      </c>
      <c r="G612" s="37">
        <v>0</v>
      </c>
      <c r="H612" s="37">
        <v>0</v>
      </c>
      <c r="I612" s="37">
        <v>0</v>
      </c>
      <c r="J612" s="37">
        <v>0</v>
      </c>
      <c r="K612" s="37">
        <v>0</v>
      </c>
      <c r="L612" s="37">
        <v>0</v>
      </c>
      <c r="M612" s="37">
        <v>0</v>
      </c>
      <c r="N612" s="37">
        <v>0</v>
      </c>
      <c r="O612" s="37">
        <v>0</v>
      </c>
      <c r="P612" s="37">
        <v>0</v>
      </c>
      <c r="Q612" s="37">
        <v>0</v>
      </c>
      <c r="R612" s="37">
        <v>0</v>
      </c>
      <c r="S612" s="37">
        <v>0</v>
      </c>
      <c r="T612" s="37">
        <v>0</v>
      </c>
      <c r="U612" s="37">
        <v>0</v>
      </c>
      <c r="V612" s="37">
        <v>0</v>
      </c>
      <c r="W612" s="37">
        <v>0</v>
      </c>
      <c r="X612" s="37">
        <v>0</v>
      </c>
      <c r="Y612" s="36"/>
      <c r="Z612" s="38"/>
      <c r="AA612" s="39"/>
      <c r="AB612" s="39"/>
      <c r="AC612" s="40"/>
    </row>
    <row r="613" spans="1:29" ht="69.75" x14ac:dyDescent="0.25">
      <c r="A613" s="27" t="s">
        <v>1706</v>
      </c>
      <c r="B613" s="28" t="s">
        <v>1707</v>
      </c>
      <c r="C613" s="29" t="s">
        <v>1479</v>
      </c>
      <c r="D613" s="29" t="s">
        <v>1482</v>
      </c>
      <c r="E613" s="30">
        <f>SUM(E614:E614)+24500</f>
        <v>24500</v>
      </c>
      <c r="F613" s="30">
        <f>SUM(F614:F614)+24500</f>
        <v>24500</v>
      </c>
      <c r="G613" s="30">
        <f t="shared" ref="G613:N613" si="489">SUM(G614:G614)</f>
        <v>0</v>
      </c>
      <c r="H613" s="30">
        <f t="shared" si="489"/>
        <v>0</v>
      </c>
      <c r="I613" s="30">
        <f t="shared" si="489"/>
        <v>0</v>
      </c>
      <c r="J613" s="30">
        <f t="shared" si="489"/>
        <v>0</v>
      </c>
      <c r="K613" s="30">
        <f t="shared" si="489"/>
        <v>0</v>
      </c>
      <c r="L613" s="30">
        <f t="shared" si="489"/>
        <v>0</v>
      </c>
      <c r="M613" s="30">
        <f t="shared" si="489"/>
        <v>0</v>
      </c>
      <c r="N613" s="30">
        <f t="shared" si="489"/>
        <v>0</v>
      </c>
      <c r="O613" s="30">
        <f>SUM(O614:O614)+22992.72</f>
        <v>22992.720000000001</v>
      </c>
      <c r="P613" s="30">
        <f>SUM(P614:P614)+22992.72</f>
        <v>22992.720000000001</v>
      </c>
      <c r="Q613" s="30">
        <f t="shared" ref="Q613:X613" si="490">SUM(Q614:Q614)</f>
        <v>0</v>
      </c>
      <c r="R613" s="30">
        <f t="shared" si="490"/>
        <v>0</v>
      </c>
      <c r="S613" s="30">
        <f t="shared" si="490"/>
        <v>0</v>
      </c>
      <c r="T613" s="30">
        <f t="shared" si="490"/>
        <v>0</v>
      </c>
      <c r="U613" s="30">
        <f t="shared" si="490"/>
        <v>0</v>
      </c>
      <c r="V613" s="30">
        <f t="shared" si="490"/>
        <v>0</v>
      </c>
      <c r="W613" s="30">
        <f t="shared" si="490"/>
        <v>0</v>
      </c>
      <c r="X613" s="30">
        <f t="shared" si="490"/>
        <v>0</v>
      </c>
      <c r="Y613" s="29" t="s">
        <v>1708</v>
      </c>
      <c r="Z613" s="31" t="s">
        <v>40</v>
      </c>
      <c r="AA613" s="32" t="s">
        <v>1709</v>
      </c>
      <c r="AB613" s="32" t="s">
        <v>1710</v>
      </c>
      <c r="AC613" s="33" t="s">
        <v>1703</v>
      </c>
    </row>
    <row r="614" spans="1:29" ht="69.75" x14ac:dyDescent="0.25">
      <c r="A614" s="34" t="s">
        <v>1711</v>
      </c>
      <c r="B614" s="35" t="s">
        <v>1712</v>
      </c>
      <c r="C614" s="36"/>
      <c r="D614" s="36"/>
      <c r="E614" s="37">
        <v>0</v>
      </c>
      <c r="F614" s="37">
        <v>0</v>
      </c>
      <c r="G614" s="37">
        <v>0</v>
      </c>
      <c r="H614" s="37">
        <v>0</v>
      </c>
      <c r="I614" s="37">
        <v>0</v>
      </c>
      <c r="J614" s="37">
        <v>0</v>
      </c>
      <c r="K614" s="37">
        <v>0</v>
      </c>
      <c r="L614" s="37">
        <v>0</v>
      </c>
      <c r="M614" s="37">
        <v>0</v>
      </c>
      <c r="N614" s="37">
        <v>0</v>
      </c>
      <c r="O614" s="37">
        <v>0</v>
      </c>
      <c r="P614" s="37">
        <v>0</v>
      </c>
      <c r="Q614" s="37">
        <v>0</v>
      </c>
      <c r="R614" s="37">
        <v>0</v>
      </c>
      <c r="S614" s="37">
        <v>0</v>
      </c>
      <c r="T614" s="37">
        <v>0</v>
      </c>
      <c r="U614" s="37">
        <v>0</v>
      </c>
      <c r="V614" s="37">
        <v>0</v>
      </c>
      <c r="W614" s="37">
        <v>0</v>
      </c>
      <c r="X614" s="37">
        <v>0</v>
      </c>
      <c r="Y614" s="36"/>
      <c r="Z614" s="38"/>
      <c r="AA614" s="39"/>
      <c r="AB614" s="39"/>
      <c r="AC614" s="40"/>
    </row>
    <row r="615" spans="1:29" ht="69.75" x14ac:dyDescent="0.25">
      <c r="A615" s="27" t="s">
        <v>1713</v>
      </c>
      <c r="B615" s="28" t="s">
        <v>1714</v>
      </c>
      <c r="C615" s="29" t="s">
        <v>1479</v>
      </c>
      <c r="D615" s="29" t="s">
        <v>1715</v>
      </c>
      <c r="E615" s="30">
        <f>SUM(E616:E617)+498800</f>
        <v>498800</v>
      </c>
      <c r="F615" s="30">
        <f>SUM(F616:F617)</f>
        <v>0</v>
      </c>
      <c r="G615" s="30">
        <f>SUM(G616:G617)</f>
        <v>0</v>
      </c>
      <c r="H615" s="30">
        <f>SUM(H616:H617)</f>
        <v>0</v>
      </c>
      <c r="I615" s="30">
        <f>SUM(I616:I617)+484468</f>
        <v>484468</v>
      </c>
      <c r="J615" s="30">
        <f>SUM(J616:J617)</f>
        <v>0</v>
      </c>
      <c r="K615" s="30">
        <f>SUM(K616:K617)</f>
        <v>0</v>
      </c>
      <c r="L615" s="30">
        <f>SUM(L616:L617)</f>
        <v>0</v>
      </c>
      <c r="M615" s="30">
        <f>SUM(M616:M617)</f>
        <v>0</v>
      </c>
      <c r="N615" s="30">
        <f>SUM(N616:N617)</f>
        <v>0</v>
      </c>
      <c r="O615" s="30">
        <f>SUM(O616:O617)+467684.95</f>
        <v>467684.95</v>
      </c>
      <c r="P615" s="30">
        <f t="shared" ref="P615:X615" si="491">SUM(P616:P617)</f>
        <v>0</v>
      </c>
      <c r="Q615" s="30">
        <f t="shared" si="491"/>
        <v>0</v>
      </c>
      <c r="R615" s="30">
        <f t="shared" si="491"/>
        <v>0</v>
      </c>
      <c r="S615" s="30">
        <f t="shared" si="491"/>
        <v>0</v>
      </c>
      <c r="T615" s="30">
        <f t="shared" si="491"/>
        <v>0</v>
      </c>
      <c r="U615" s="30">
        <f t="shared" si="491"/>
        <v>0</v>
      </c>
      <c r="V615" s="30">
        <f t="shared" si="491"/>
        <v>0</v>
      </c>
      <c r="W615" s="30">
        <f t="shared" si="491"/>
        <v>0</v>
      </c>
      <c r="X615" s="30">
        <f t="shared" si="491"/>
        <v>0</v>
      </c>
      <c r="Y615" s="29" t="s">
        <v>1716</v>
      </c>
      <c r="Z615" s="31" t="s">
        <v>40</v>
      </c>
      <c r="AA615" s="32" t="s">
        <v>1717</v>
      </c>
      <c r="AB615" s="32" t="s">
        <v>1718</v>
      </c>
      <c r="AC615" s="33" t="s">
        <v>1719</v>
      </c>
    </row>
    <row r="616" spans="1:29" ht="69.75" x14ac:dyDescent="0.25">
      <c r="A616" s="41"/>
      <c r="B616" s="42"/>
      <c r="C616" s="43"/>
      <c r="D616" s="43"/>
      <c r="E616" s="44">
        <v>0</v>
      </c>
      <c r="F616" s="44">
        <v>0</v>
      </c>
      <c r="G616" s="44">
        <v>0</v>
      </c>
      <c r="H616" s="44">
        <v>0</v>
      </c>
      <c r="I616" s="44">
        <v>0</v>
      </c>
      <c r="J616" s="44">
        <v>0</v>
      </c>
      <c r="K616" s="44">
        <v>0</v>
      </c>
      <c r="L616" s="44">
        <v>0</v>
      </c>
      <c r="M616" s="44">
        <v>0</v>
      </c>
      <c r="N616" s="44">
        <v>0</v>
      </c>
      <c r="O616" s="44">
        <v>0</v>
      </c>
      <c r="P616" s="44">
        <v>0</v>
      </c>
      <c r="Q616" s="44">
        <v>0</v>
      </c>
      <c r="R616" s="44">
        <v>0</v>
      </c>
      <c r="S616" s="44">
        <v>0</v>
      </c>
      <c r="T616" s="44">
        <v>0</v>
      </c>
      <c r="U616" s="44">
        <v>0</v>
      </c>
      <c r="V616" s="44">
        <v>0</v>
      </c>
      <c r="W616" s="44">
        <v>0</v>
      </c>
      <c r="X616" s="44">
        <v>0</v>
      </c>
      <c r="Y616" s="43" t="s">
        <v>1720</v>
      </c>
      <c r="Z616" s="45" t="s">
        <v>40</v>
      </c>
      <c r="AA616" s="46" t="s">
        <v>1721</v>
      </c>
      <c r="AB616" s="46" t="s">
        <v>1722</v>
      </c>
      <c r="AC616" s="47" t="s">
        <v>1723</v>
      </c>
    </row>
    <row r="617" spans="1:29" ht="93" x14ac:dyDescent="0.25">
      <c r="A617" s="34" t="s">
        <v>1724</v>
      </c>
      <c r="B617" s="35" t="s">
        <v>1725</v>
      </c>
      <c r="C617" s="36"/>
      <c r="D617" s="36"/>
      <c r="E617" s="37">
        <v>0</v>
      </c>
      <c r="F617" s="37">
        <v>0</v>
      </c>
      <c r="G617" s="37">
        <v>0</v>
      </c>
      <c r="H617" s="37">
        <v>0</v>
      </c>
      <c r="I617" s="37">
        <v>0</v>
      </c>
      <c r="J617" s="37">
        <v>0</v>
      </c>
      <c r="K617" s="37">
        <v>0</v>
      </c>
      <c r="L617" s="37">
        <v>0</v>
      </c>
      <c r="M617" s="37">
        <v>0</v>
      </c>
      <c r="N617" s="37">
        <v>0</v>
      </c>
      <c r="O617" s="37">
        <v>0</v>
      </c>
      <c r="P617" s="37">
        <v>0</v>
      </c>
      <c r="Q617" s="37">
        <v>0</v>
      </c>
      <c r="R617" s="37">
        <v>0</v>
      </c>
      <c r="S617" s="37">
        <v>0</v>
      </c>
      <c r="T617" s="37">
        <v>0</v>
      </c>
      <c r="U617" s="37">
        <v>0</v>
      </c>
      <c r="V617" s="37">
        <v>0</v>
      </c>
      <c r="W617" s="37">
        <v>0</v>
      </c>
      <c r="X617" s="37">
        <v>0</v>
      </c>
      <c r="Y617" s="36"/>
      <c r="Z617" s="38"/>
      <c r="AA617" s="39"/>
      <c r="AB617" s="39"/>
      <c r="AC617" s="40"/>
    </row>
    <row r="618" spans="1:29" ht="69.75" x14ac:dyDescent="0.25">
      <c r="A618" s="27" t="s">
        <v>1726</v>
      </c>
      <c r="B618" s="28" t="s">
        <v>1727</v>
      </c>
      <c r="C618" s="29" t="s">
        <v>1479</v>
      </c>
      <c r="D618" s="29" t="s">
        <v>1715</v>
      </c>
      <c r="E618" s="30">
        <f>SUM(E619:E620)+3432</f>
        <v>3432</v>
      </c>
      <c r="F618" s="30">
        <f>SUM(F619:F620)</f>
        <v>0</v>
      </c>
      <c r="G618" s="30">
        <f>SUM(G619:G620)</f>
        <v>0</v>
      </c>
      <c r="H618" s="30">
        <f>SUM(H619:H620)</f>
        <v>0</v>
      </c>
      <c r="I618" s="30">
        <f>SUM(I619:I620)+3432</f>
        <v>3432</v>
      </c>
      <c r="J618" s="30">
        <f>SUM(J619:J620)</f>
        <v>0</v>
      </c>
      <c r="K618" s="30">
        <f>SUM(K619:K620)</f>
        <v>0</v>
      </c>
      <c r="L618" s="30">
        <f>SUM(L619:L620)</f>
        <v>0</v>
      </c>
      <c r="M618" s="30">
        <f>SUM(M619:M620)</f>
        <v>0</v>
      </c>
      <c r="N618" s="30">
        <f>SUM(N619:N620)</f>
        <v>0</v>
      </c>
      <c r="O618" s="30">
        <f>SUM(O619:O620)+3058.82</f>
        <v>3058.82</v>
      </c>
      <c r="P618" s="30">
        <f t="shared" ref="P618:X618" si="492">SUM(P619:P620)</f>
        <v>0</v>
      </c>
      <c r="Q618" s="30">
        <f t="shared" si="492"/>
        <v>0</v>
      </c>
      <c r="R618" s="30">
        <f t="shared" si="492"/>
        <v>0</v>
      </c>
      <c r="S618" s="30">
        <f t="shared" si="492"/>
        <v>0</v>
      </c>
      <c r="T618" s="30">
        <f t="shared" si="492"/>
        <v>0</v>
      </c>
      <c r="U618" s="30">
        <f t="shared" si="492"/>
        <v>0</v>
      </c>
      <c r="V618" s="30">
        <f t="shared" si="492"/>
        <v>0</v>
      </c>
      <c r="W618" s="30">
        <f t="shared" si="492"/>
        <v>0</v>
      </c>
      <c r="X618" s="30">
        <f t="shared" si="492"/>
        <v>0</v>
      </c>
      <c r="Y618" s="29" t="s">
        <v>1728</v>
      </c>
      <c r="Z618" s="31" t="s">
        <v>40</v>
      </c>
      <c r="AA618" s="32" t="s">
        <v>100</v>
      </c>
      <c r="AB618" s="32" t="s">
        <v>370</v>
      </c>
      <c r="AC618" s="33" t="s">
        <v>1719</v>
      </c>
    </row>
    <row r="619" spans="1:29" ht="69.75" x14ac:dyDescent="0.25">
      <c r="A619" s="41"/>
      <c r="B619" s="42"/>
      <c r="C619" s="43"/>
      <c r="D619" s="43"/>
      <c r="E619" s="44">
        <v>0</v>
      </c>
      <c r="F619" s="44">
        <v>0</v>
      </c>
      <c r="G619" s="44">
        <v>0</v>
      </c>
      <c r="H619" s="44">
        <v>0</v>
      </c>
      <c r="I619" s="44">
        <v>0</v>
      </c>
      <c r="J619" s="44">
        <v>0</v>
      </c>
      <c r="K619" s="44">
        <v>0</v>
      </c>
      <c r="L619" s="44">
        <v>0</v>
      </c>
      <c r="M619" s="44">
        <v>0</v>
      </c>
      <c r="N619" s="44">
        <v>0</v>
      </c>
      <c r="O619" s="44">
        <v>0</v>
      </c>
      <c r="P619" s="44">
        <v>0</v>
      </c>
      <c r="Q619" s="44">
        <v>0</v>
      </c>
      <c r="R619" s="44">
        <v>0</v>
      </c>
      <c r="S619" s="44">
        <v>0</v>
      </c>
      <c r="T619" s="44">
        <v>0</v>
      </c>
      <c r="U619" s="44">
        <v>0</v>
      </c>
      <c r="V619" s="44">
        <v>0</v>
      </c>
      <c r="W619" s="44">
        <v>0</v>
      </c>
      <c r="X619" s="44">
        <v>0</v>
      </c>
      <c r="Y619" s="43" t="s">
        <v>1729</v>
      </c>
      <c r="Z619" s="45" t="s">
        <v>40</v>
      </c>
      <c r="AA619" s="46" t="s">
        <v>690</v>
      </c>
      <c r="AB619" s="46" t="s">
        <v>177</v>
      </c>
      <c r="AC619" s="47" t="s">
        <v>1730</v>
      </c>
    </row>
    <row r="620" spans="1:29" ht="116.25" x14ac:dyDescent="0.25">
      <c r="A620" s="34" t="s">
        <v>1731</v>
      </c>
      <c r="B620" s="35" t="s">
        <v>1732</v>
      </c>
      <c r="C620" s="36"/>
      <c r="D620" s="36"/>
      <c r="E620" s="37">
        <v>0</v>
      </c>
      <c r="F620" s="37">
        <v>0</v>
      </c>
      <c r="G620" s="37">
        <v>0</v>
      </c>
      <c r="H620" s="37">
        <v>0</v>
      </c>
      <c r="I620" s="37">
        <v>0</v>
      </c>
      <c r="J620" s="37">
        <v>0</v>
      </c>
      <c r="K620" s="37">
        <v>0</v>
      </c>
      <c r="L620" s="37">
        <v>0</v>
      </c>
      <c r="M620" s="37">
        <v>0</v>
      </c>
      <c r="N620" s="37">
        <v>0</v>
      </c>
      <c r="O620" s="37">
        <v>0</v>
      </c>
      <c r="P620" s="37">
        <v>0</v>
      </c>
      <c r="Q620" s="37">
        <v>0</v>
      </c>
      <c r="R620" s="37">
        <v>0</v>
      </c>
      <c r="S620" s="37">
        <v>0</v>
      </c>
      <c r="T620" s="37">
        <v>0</v>
      </c>
      <c r="U620" s="37">
        <v>0</v>
      </c>
      <c r="V620" s="37">
        <v>0</v>
      </c>
      <c r="W620" s="37">
        <v>0</v>
      </c>
      <c r="X620" s="37">
        <v>0</v>
      </c>
      <c r="Y620" s="36"/>
      <c r="Z620" s="38"/>
      <c r="AA620" s="39"/>
      <c r="AB620" s="39"/>
      <c r="AC620" s="40"/>
    </row>
    <row r="621" spans="1:29" ht="69.75" x14ac:dyDescent="0.25">
      <c r="A621" s="27" t="s">
        <v>1733</v>
      </c>
      <c r="B621" s="28" t="s">
        <v>1734</v>
      </c>
      <c r="C621" s="29" t="s">
        <v>1479</v>
      </c>
      <c r="D621" s="29" t="s">
        <v>1622</v>
      </c>
      <c r="E621" s="30">
        <f>SUM(E622:E622)+205540</f>
        <v>205540</v>
      </c>
      <c r="F621" s="30">
        <f>SUM(F622:F622)</f>
        <v>0</v>
      </c>
      <c r="G621" s="30">
        <f>SUM(G622:G622)</f>
        <v>0</v>
      </c>
      <c r="H621" s="30">
        <f>SUM(H622:H622)</f>
        <v>0</v>
      </c>
      <c r="I621" s="30">
        <f>SUM(I622:I622)+205540</f>
        <v>205540</v>
      </c>
      <c r="J621" s="30">
        <f>SUM(J622:J622)</f>
        <v>0</v>
      </c>
      <c r="K621" s="30">
        <f>SUM(K622:K622)</f>
        <v>0</v>
      </c>
      <c r="L621" s="30">
        <f>SUM(L622:L622)</f>
        <v>0</v>
      </c>
      <c r="M621" s="30">
        <f>SUM(M622:M622)</f>
        <v>0</v>
      </c>
      <c r="N621" s="30">
        <f>SUM(N622:N622)</f>
        <v>0</v>
      </c>
      <c r="O621" s="30">
        <f>SUM(O622:O622)+193546</f>
        <v>193546</v>
      </c>
      <c r="P621" s="30">
        <f t="shared" ref="P621:X621" si="493">SUM(P622:P622)</f>
        <v>0</v>
      </c>
      <c r="Q621" s="30">
        <f t="shared" si="493"/>
        <v>0</v>
      </c>
      <c r="R621" s="30">
        <f t="shared" si="493"/>
        <v>0</v>
      </c>
      <c r="S621" s="30">
        <f t="shared" si="493"/>
        <v>0</v>
      </c>
      <c r="T621" s="30">
        <f t="shared" si="493"/>
        <v>0</v>
      </c>
      <c r="U621" s="30">
        <f t="shared" si="493"/>
        <v>0</v>
      </c>
      <c r="V621" s="30">
        <f t="shared" si="493"/>
        <v>0</v>
      </c>
      <c r="W621" s="30">
        <f t="shared" si="493"/>
        <v>0</v>
      </c>
      <c r="X621" s="30">
        <f t="shared" si="493"/>
        <v>0</v>
      </c>
      <c r="Y621" s="29" t="s">
        <v>1735</v>
      </c>
      <c r="Z621" s="31" t="s">
        <v>40</v>
      </c>
      <c r="AA621" s="32" t="s">
        <v>1736</v>
      </c>
      <c r="AB621" s="32" t="s">
        <v>1737</v>
      </c>
      <c r="AC621" s="33" t="s">
        <v>1738</v>
      </c>
    </row>
    <row r="622" spans="1:29" ht="46.5" x14ac:dyDescent="0.25">
      <c r="A622" s="34" t="s">
        <v>1739</v>
      </c>
      <c r="B622" s="35" t="s">
        <v>1740</v>
      </c>
      <c r="C622" s="36"/>
      <c r="D622" s="36"/>
      <c r="E622" s="37">
        <v>0</v>
      </c>
      <c r="F622" s="37">
        <v>0</v>
      </c>
      <c r="G622" s="37">
        <v>0</v>
      </c>
      <c r="H622" s="37">
        <v>0</v>
      </c>
      <c r="I622" s="37">
        <v>0</v>
      </c>
      <c r="J622" s="37">
        <v>0</v>
      </c>
      <c r="K622" s="37">
        <v>0</v>
      </c>
      <c r="L622" s="37">
        <v>0</v>
      </c>
      <c r="M622" s="37">
        <v>0</v>
      </c>
      <c r="N622" s="37">
        <v>0</v>
      </c>
      <c r="O622" s="37">
        <v>0</v>
      </c>
      <c r="P622" s="37">
        <v>0</v>
      </c>
      <c r="Q622" s="37">
        <v>0</v>
      </c>
      <c r="R622" s="37">
        <v>0</v>
      </c>
      <c r="S622" s="37">
        <v>0</v>
      </c>
      <c r="T622" s="37">
        <v>0</v>
      </c>
      <c r="U622" s="37">
        <v>0</v>
      </c>
      <c r="V622" s="37">
        <v>0</v>
      </c>
      <c r="W622" s="37">
        <v>0</v>
      </c>
      <c r="X622" s="37">
        <v>0</v>
      </c>
      <c r="Y622" s="36"/>
      <c r="Z622" s="38"/>
      <c r="AA622" s="39"/>
      <c r="AB622" s="39"/>
      <c r="AC622" s="40"/>
    </row>
    <row r="623" spans="1:29" ht="93" x14ac:dyDescent="0.25">
      <c r="A623" s="27" t="s">
        <v>1741</v>
      </c>
      <c r="B623" s="28" t="s">
        <v>1742</v>
      </c>
      <c r="C623" s="29" t="s">
        <v>1479</v>
      </c>
      <c r="D623" s="29" t="s">
        <v>1671</v>
      </c>
      <c r="E623" s="30">
        <f>SUM(E624:E624)+211000</f>
        <v>211000</v>
      </c>
      <c r="F623" s="30">
        <f>SUM(F624:F624)+211000</f>
        <v>211000</v>
      </c>
      <c r="G623" s="30">
        <f t="shared" ref="G623:N623" si="494">SUM(G624:G624)</f>
        <v>0</v>
      </c>
      <c r="H623" s="30">
        <f t="shared" si="494"/>
        <v>0</v>
      </c>
      <c r="I623" s="30">
        <f t="shared" si="494"/>
        <v>0</v>
      </c>
      <c r="J623" s="30">
        <f t="shared" si="494"/>
        <v>0</v>
      </c>
      <c r="K623" s="30">
        <f t="shared" si="494"/>
        <v>0</v>
      </c>
      <c r="L623" s="30">
        <f t="shared" si="494"/>
        <v>0</v>
      </c>
      <c r="M623" s="30">
        <f t="shared" si="494"/>
        <v>0</v>
      </c>
      <c r="N623" s="30">
        <f t="shared" si="494"/>
        <v>0</v>
      </c>
      <c r="O623" s="30">
        <f>SUM(O624:O624)+209982.56</f>
        <v>209982.56</v>
      </c>
      <c r="P623" s="30">
        <f>SUM(P624:P624)+189982.56</f>
        <v>189982.56</v>
      </c>
      <c r="Q623" s="30">
        <f t="shared" ref="Q623:X623" si="495">SUM(Q624:Q624)</f>
        <v>0</v>
      </c>
      <c r="R623" s="30">
        <f t="shared" si="495"/>
        <v>0</v>
      </c>
      <c r="S623" s="30">
        <f t="shared" si="495"/>
        <v>0</v>
      </c>
      <c r="T623" s="30">
        <f t="shared" si="495"/>
        <v>0</v>
      </c>
      <c r="U623" s="30">
        <f t="shared" si="495"/>
        <v>0</v>
      </c>
      <c r="V623" s="30">
        <f t="shared" si="495"/>
        <v>0</v>
      </c>
      <c r="W623" s="30">
        <f t="shared" si="495"/>
        <v>0</v>
      </c>
      <c r="X623" s="30">
        <f t="shared" si="495"/>
        <v>0</v>
      </c>
      <c r="Y623" s="29" t="s">
        <v>1743</v>
      </c>
      <c r="Z623" s="31" t="s">
        <v>40</v>
      </c>
      <c r="AA623" s="32" t="s">
        <v>1744</v>
      </c>
      <c r="AB623" s="32" t="s">
        <v>1745</v>
      </c>
      <c r="AC623" s="33"/>
    </row>
    <row r="624" spans="1:29" ht="69.75" x14ac:dyDescent="0.25">
      <c r="A624" s="34" t="s">
        <v>1746</v>
      </c>
      <c r="B624" s="35" t="s">
        <v>1747</v>
      </c>
      <c r="C624" s="36"/>
      <c r="D624" s="36"/>
      <c r="E624" s="37">
        <v>0</v>
      </c>
      <c r="F624" s="37">
        <v>0</v>
      </c>
      <c r="G624" s="37">
        <v>0</v>
      </c>
      <c r="H624" s="37">
        <v>0</v>
      </c>
      <c r="I624" s="37">
        <v>0</v>
      </c>
      <c r="J624" s="37">
        <v>0</v>
      </c>
      <c r="K624" s="37">
        <v>0</v>
      </c>
      <c r="L624" s="37">
        <v>0</v>
      </c>
      <c r="M624" s="37">
        <v>0</v>
      </c>
      <c r="N624" s="37">
        <v>0</v>
      </c>
      <c r="O624" s="37">
        <v>0</v>
      </c>
      <c r="P624" s="37">
        <v>0</v>
      </c>
      <c r="Q624" s="37">
        <v>0</v>
      </c>
      <c r="R624" s="37">
        <v>0</v>
      </c>
      <c r="S624" s="37">
        <v>0</v>
      </c>
      <c r="T624" s="37">
        <v>0</v>
      </c>
      <c r="U624" s="37">
        <v>0</v>
      </c>
      <c r="V624" s="37">
        <v>0</v>
      </c>
      <c r="W624" s="37">
        <v>0</v>
      </c>
      <c r="X624" s="37">
        <v>0</v>
      </c>
      <c r="Y624" s="36"/>
      <c r="Z624" s="38"/>
      <c r="AA624" s="39"/>
      <c r="AB624" s="39"/>
      <c r="AC624" s="40"/>
    </row>
    <row r="625" spans="1:29" ht="93" x14ac:dyDescent="0.25">
      <c r="A625" s="27" t="s">
        <v>1748</v>
      </c>
      <c r="B625" s="28" t="s">
        <v>1749</v>
      </c>
      <c r="C625" s="29" t="s">
        <v>1479</v>
      </c>
      <c r="D625" s="29" t="s">
        <v>1671</v>
      </c>
      <c r="E625" s="30">
        <f>SUM(E626:E626)+23000</f>
        <v>23000</v>
      </c>
      <c r="F625" s="30">
        <f>SUM(F626:F626)+23000</f>
        <v>23000</v>
      </c>
      <c r="G625" s="30">
        <f t="shared" ref="G625:N625" si="496">SUM(G626:G626)</f>
        <v>0</v>
      </c>
      <c r="H625" s="30">
        <f t="shared" si="496"/>
        <v>0</v>
      </c>
      <c r="I625" s="30">
        <f t="shared" si="496"/>
        <v>0</v>
      </c>
      <c r="J625" s="30">
        <f t="shared" si="496"/>
        <v>0</v>
      </c>
      <c r="K625" s="30">
        <f t="shared" si="496"/>
        <v>0</v>
      </c>
      <c r="L625" s="30">
        <f t="shared" si="496"/>
        <v>0</v>
      </c>
      <c r="M625" s="30">
        <f t="shared" si="496"/>
        <v>0</v>
      </c>
      <c r="N625" s="30">
        <f t="shared" si="496"/>
        <v>0</v>
      </c>
      <c r="O625" s="30">
        <f>SUM(O626:O626)+17957.95</f>
        <v>17957.95</v>
      </c>
      <c r="P625" s="30">
        <f>SUM(P626:P626)+17957.95</f>
        <v>17957.95</v>
      </c>
      <c r="Q625" s="30">
        <f t="shared" ref="Q625:X625" si="497">SUM(Q626:Q626)</f>
        <v>0</v>
      </c>
      <c r="R625" s="30">
        <f t="shared" si="497"/>
        <v>0</v>
      </c>
      <c r="S625" s="30">
        <f t="shared" si="497"/>
        <v>0</v>
      </c>
      <c r="T625" s="30">
        <f t="shared" si="497"/>
        <v>0</v>
      </c>
      <c r="U625" s="30">
        <f t="shared" si="497"/>
        <v>0</v>
      </c>
      <c r="V625" s="30">
        <f t="shared" si="497"/>
        <v>0</v>
      </c>
      <c r="W625" s="30">
        <f t="shared" si="497"/>
        <v>0</v>
      </c>
      <c r="X625" s="30">
        <f t="shared" si="497"/>
        <v>0</v>
      </c>
      <c r="Y625" s="29" t="s">
        <v>1750</v>
      </c>
      <c r="Z625" s="31" t="s">
        <v>40</v>
      </c>
      <c r="AA625" s="32" t="s">
        <v>1751</v>
      </c>
      <c r="AB625" s="32" t="s">
        <v>1752</v>
      </c>
      <c r="AC625" s="33"/>
    </row>
    <row r="626" spans="1:29" ht="69.75" x14ac:dyDescent="0.25">
      <c r="A626" s="34" t="s">
        <v>1753</v>
      </c>
      <c r="B626" s="35" t="s">
        <v>1754</v>
      </c>
      <c r="C626" s="36"/>
      <c r="D626" s="36"/>
      <c r="E626" s="37">
        <v>0</v>
      </c>
      <c r="F626" s="37">
        <v>0</v>
      </c>
      <c r="G626" s="37">
        <v>0</v>
      </c>
      <c r="H626" s="37">
        <v>0</v>
      </c>
      <c r="I626" s="37">
        <v>0</v>
      </c>
      <c r="J626" s="37">
        <v>0</v>
      </c>
      <c r="K626" s="37">
        <v>0</v>
      </c>
      <c r="L626" s="37">
        <v>0</v>
      </c>
      <c r="M626" s="37">
        <v>0</v>
      </c>
      <c r="N626" s="37">
        <v>0</v>
      </c>
      <c r="O626" s="37">
        <v>0</v>
      </c>
      <c r="P626" s="37">
        <v>0</v>
      </c>
      <c r="Q626" s="37">
        <v>0</v>
      </c>
      <c r="R626" s="37">
        <v>0</v>
      </c>
      <c r="S626" s="37">
        <v>0</v>
      </c>
      <c r="T626" s="37">
        <v>0</v>
      </c>
      <c r="U626" s="37">
        <v>0</v>
      </c>
      <c r="V626" s="37">
        <v>0</v>
      </c>
      <c r="W626" s="37">
        <v>0</v>
      </c>
      <c r="X626" s="37">
        <v>0</v>
      </c>
      <c r="Y626" s="36"/>
      <c r="Z626" s="38"/>
      <c r="AA626" s="39"/>
      <c r="AB626" s="39"/>
      <c r="AC626" s="40"/>
    </row>
    <row r="627" spans="1:29" ht="93" x14ac:dyDescent="0.25">
      <c r="A627" s="27" t="s">
        <v>1755</v>
      </c>
      <c r="B627" s="28" t="s">
        <v>1756</v>
      </c>
      <c r="C627" s="29" t="s">
        <v>1479</v>
      </c>
      <c r="D627" s="29" t="s">
        <v>1671</v>
      </c>
      <c r="E627" s="30">
        <f>SUM(E628:E628)+16000</f>
        <v>16000</v>
      </c>
      <c r="F627" s="30">
        <f>SUM(F628:F628)+16000</f>
        <v>16000</v>
      </c>
      <c r="G627" s="30">
        <f t="shared" ref="G627:N627" si="498">SUM(G628:G628)</f>
        <v>0</v>
      </c>
      <c r="H627" s="30">
        <f t="shared" si="498"/>
        <v>0</v>
      </c>
      <c r="I627" s="30">
        <f t="shared" si="498"/>
        <v>0</v>
      </c>
      <c r="J627" s="30">
        <f t="shared" si="498"/>
        <v>0</v>
      </c>
      <c r="K627" s="30">
        <f t="shared" si="498"/>
        <v>0</v>
      </c>
      <c r="L627" s="30">
        <f t="shared" si="498"/>
        <v>0</v>
      </c>
      <c r="M627" s="30">
        <f t="shared" si="498"/>
        <v>0</v>
      </c>
      <c r="N627" s="30">
        <f t="shared" si="498"/>
        <v>0</v>
      </c>
      <c r="O627" s="30">
        <f>SUM(O628:O628)+5564.64</f>
        <v>5564.64</v>
      </c>
      <c r="P627" s="30">
        <f>SUM(P628:P628)+4564.64</f>
        <v>4564.6400000000003</v>
      </c>
      <c r="Q627" s="30">
        <f t="shared" ref="Q627:X627" si="499">SUM(Q628:Q628)</f>
        <v>0</v>
      </c>
      <c r="R627" s="30">
        <f t="shared" si="499"/>
        <v>0</v>
      </c>
      <c r="S627" s="30">
        <f t="shared" si="499"/>
        <v>0</v>
      </c>
      <c r="T627" s="30">
        <f t="shared" si="499"/>
        <v>0</v>
      </c>
      <c r="U627" s="30">
        <f t="shared" si="499"/>
        <v>0</v>
      </c>
      <c r="V627" s="30">
        <f t="shared" si="499"/>
        <v>0</v>
      </c>
      <c r="W627" s="30">
        <f t="shared" si="499"/>
        <v>0</v>
      </c>
      <c r="X627" s="30">
        <f t="shared" si="499"/>
        <v>0</v>
      </c>
      <c r="Y627" s="29" t="s">
        <v>1757</v>
      </c>
      <c r="Z627" s="31" t="s">
        <v>40</v>
      </c>
      <c r="AA627" s="32" t="s">
        <v>1758</v>
      </c>
      <c r="AB627" s="32" t="s">
        <v>1759</v>
      </c>
      <c r="AC627" s="33" t="s">
        <v>1760</v>
      </c>
    </row>
    <row r="628" spans="1:29" ht="46.5" x14ac:dyDescent="0.25">
      <c r="A628" s="34" t="s">
        <v>1761</v>
      </c>
      <c r="B628" s="35" t="s">
        <v>1762</v>
      </c>
      <c r="C628" s="36"/>
      <c r="D628" s="36"/>
      <c r="E628" s="37">
        <v>0</v>
      </c>
      <c r="F628" s="37">
        <v>0</v>
      </c>
      <c r="G628" s="37">
        <v>0</v>
      </c>
      <c r="H628" s="37">
        <v>0</v>
      </c>
      <c r="I628" s="37">
        <v>0</v>
      </c>
      <c r="J628" s="37">
        <v>0</v>
      </c>
      <c r="K628" s="37">
        <v>0</v>
      </c>
      <c r="L628" s="37">
        <v>0</v>
      </c>
      <c r="M628" s="37">
        <v>0</v>
      </c>
      <c r="N628" s="37">
        <v>0</v>
      </c>
      <c r="O628" s="37">
        <v>0</v>
      </c>
      <c r="P628" s="37">
        <v>0</v>
      </c>
      <c r="Q628" s="37">
        <v>0</v>
      </c>
      <c r="R628" s="37">
        <v>0</v>
      </c>
      <c r="S628" s="37">
        <v>0</v>
      </c>
      <c r="T628" s="37">
        <v>0</v>
      </c>
      <c r="U628" s="37">
        <v>0</v>
      </c>
      <c r="V628" s="37">
        <v>0</v>
      </c>
      <c r="W628" s="37">
        <v>0</v>
      </c>
      <c r="X628" s="37">
        <v>0</v>
      </c>
      <c r="Y628" s="36"/>
      <c r="Z628" s="38"/>
      <c r="AA628" s="39"/>
      <c r="AB628" s="39"/>
      <c r="AC628" s="40"/>
    </row>
    <row r="629" spans="1:29" ht="116.25" x14ac:dyDescent="0.25">
      <c r="A629" s="27" t="s">
        <v>1763</v>
      </c>
      <c r="B629" s="28" t="s">
        <v>1764</v>
      </c>
      <c r="C629" s="29" t="s">
        <v>1479</v>
      </c>
      <c r="D629" s="29" t="s">
        <v>1765</v>
      </c>
      <c r="E629" s="30">
        <f>SUM(E630:E630)+162000</f>
        <v>162000</v>
      </c>
      <c r="F629" s="30">
        <f>SUM(F630:F630)+150000</f>
        <v>150000</v>
      </c>
      <c r="G629" s="30">
        <f t="shared" ref="G629:N629" si="500">SUM(G630:G630)</f>
        <v>0</v>
      </c>
      <c r="H629" s="30">
        <f t="shared" si="500"/>
        <v>0</v>
      </c>
      <c r="I629" s="30">
        <f t="shared" si="500"/>
        <v>0</v>
      </c>
      <c r="J629" s="30">
        <f t="shared" si="500"/>
        <v>0</v>
      </c>
      <c r="K629" s="30">
        <f t="shared" si="500"/>
        <v>0</v>
      </c>
      <c r="L629" s="30">
        <f t="shared" si="500"/>
        <v>0</v>
      </c>
      <c r="M629" s="30">
        <f t="shared" si="500"/>
        <v>0</v>
      </c>
      <c r="N629" s="30">
        <f t="shared" si="500"/>
        <v>0</v>
      </c>
      <c r="O629" s="30">
        <f>SUM(O630:O630)+161129.87</f>
        <v>161129.87</v>
      </c>
      <c r="P629" s="30">
        <f>SUM(P630:P630)+114129.87</f>
        <v>114129.87</v>
      </c>
      <c r="Q629" s="30">
        <f t="shared" ref="Q629:X629" si="501">SUM(Q630:Q630)</f>
        <v>0</v>
      </c>
      <c r="R629" s="30">
        <f t="shared" si="501"/>
        <v>0</v>
      </c>
      <c r="S629" s="30">
        <f t="shared" si="501"/>
        <v>0</v>
      </c>
      <c r="T629" s="30">
        <f t="shared" si="501"/>
        <v>0</v>
      </c>
      <c r="U629" s="30">
        <f t="shared" si="501"/>
        <v>0</v>
      </c>
      <c r="V629" s="30">
        <f t="shared" si="501"/>
        <v>0</v>
      </c>
      <c r="W629" s="30">
        <f t="shared" si="501"/>
        <v>0</v>
      </c>
      <c r="X629" s="30">
        <f t="shared" si="501"/>
        <v>0</v>
      </c>
      <c r="Y629" s="29" t="s">
        <v>1766</v>
      </c>
      <c r="Z629" s="31" t="s">
        <v>40</v>
      </c>
      <c r="AA629" s="32" t="s">
        <v>1767</v>
      </c>
      <c r="AB629" s="32" t="s">
        <v>1768</v>
      </c>
      <c r="AC629" s="33" t="s">
        <v>1760</v>
      </c>
    </row>
    <row r="630" spans="1:29" ht="116.25" x14ac:dyDescent="0.25">
      <c r="A630" s="34" t="s">
        <v>1769</v>
      </c>
      <c r="B630" s="35" t="s">
        <v>1770</v>
      </c>
      <c r="C630" s="36"/>
      <c r="D630" s="36"/>
      <c r="E630" s="37">
        <v>0</v>
      </c>
      <c r="F630" s="37">
        <v>0</v>
      </c>
      <c r="G630" s="37">
        <v>0</v>
      </c>
      <c r="H630" s="37">
        <v>0</v>
      </c>
      <c r="I630" s="37">
        <v>0</v>
      </c>
      <c r="J630" s="37">
        <v>0</v>
      </c>
      <c r="K630" s="37">
        <v>0</v>
      </c>
      <c r="L630" s="37">
        <v>0</v>
      </c>
      <c r="M630" s="37">
        <v>0</v>
      </c>
      <c r="N630" s="37">
        <v>0</v>
      </c>
      <c r="O630" s="37">
        <v>0</v>
      </c>
      <c r="P630" s="37">
        <v>0</v>
      </c>
      <c r="Q630" s="37">
        <v>0</v>
      </c>
      <c r="R630" s="37">
        <v>0</v>
      </c>
      <c r="S630" s="37">
        <v>0</v>
      </c>
      <c r="T630" s="37">
        <v>0</v>
      </c>
      <c r="U630" s="37">
        <v>0</v>
      </c>
      <c r="V630" s="37">
        <v>0</v>
      </c>
      <c r="W630" s="37">
        <v>0</v>
      </c>
      <c r="X630" s="37">
        <v>0</v>
      </c>
      <c r="Y630" s="36"/>
      <c r="Z630" s="38"/>
      <c r="AA630" s="39"/>
      <c r="AB630" s="39"/>
      <c r="AC630" s="40"/>
    </row>
    <row r="631" spans="1:29" ht="93" x14ac:dyDescent="0.25">
      <c r="A631" s="27" t="s">
        <v>1771</v>
      </c>
      <c r="B631" s="28" t="s">
        <v>1772</v>
      </c>
      <c r="C631" s="29" t="s">
        <v>1479</v>
      </c>
      <c r="D631" s="29" t="s">
        <v>1671</v>
      </c>
      <c r="E631" s="30">
        <f>SUM(E632:E632)+771656.64</f>
        <v>771656.64</v>
      </c>
      <c r="F631" s="30">
        <f>SUM(F632:F632)+741000</f>
        <v>741000</v>
      </c>
      <c r="G631" s="30">
        <f t="shared" ref="G631:N631" si="502">SUM(G632:G632)</f>
        <v>0</v>
      </c>
      <c r="H631" s="30">
        <f t="shared" si="502"/>
        <v>0</v>
      </c>
      <c r="I631" s="30">
        <f t="shared" si="502"/>
        <v>0</v>
      </c>
      <c r="J631" s="30">
        <f t="shared" si="502"/>
        <v>0</v>
      </c>
      <c r="K631" s="30">
        <f t="shared" si="502"/>
        <v>0</v>
      </c>
      <c r="L631" s="30">
        <f t="shared" si="502"/>
        <v>0</v>
      </c>
      <c r="M631" s="30">
        <f t="shared" si="502"/>
        <v>0</v>
      </c>
      <c r="N631" s="30">
        <f t="shared" si="502"/>
        <v>0</v>
      </c>
      <c r="O631" s="30">
        <f>SUM(O632:O632)+770973.32</f>
        <v>770973.32</v>
      </c>
      <c r="P631" s="30">
        <f>SUM(P632:P632)+440316.68</f>
        <v>440316.68</v>
      </c>
      <c r="Q631" s="30">
        <f t="shared" ref="Q631:X631" si="503">SUM(Q632:Q632)</f>
        <v>0</v>
      </c>
      <c r="R631" s="30">
        <f t="shared" si="503"/>
        <v>0</v>
      </c>
      <c r="S631" s="30">
        <f t="shared" si="503"/>
        <v>0</v>
      </c>
      <c r="T631" s="30">
        <f t="shared" si="503"/>
        <v>0</v>
      </c>
      <c r="U631" s="30">
        <f t="shared" si="503"/>
        <v>0</v>
      </c>
      <c r="V631" s="30">
        <f t="shared" si="503"/>
        <v>0</v>
      </c>
      <c r="W631" s="30">
        <f t="shared" si="503"/>
        <v>0</v>
      </c>
      <c r="X631" s="30">
        <f t="shared" si="503"/>
        <v>0</v>
      </c>
      <c r="Y631" s="29" t="s">
        <v>1773</v>
      </c>
      <c r="Z631" s="31" t="s">
        <v>40</v>
      </c>
      <c r="AA631" s="32" t="s">
        <v>1774</v>
      </c>
      <c r="AB631" s="32" t="s">
        <v>1775</v>
      </c>
      <c r="AC631" s="33"/>
    </row>
    <row r="632" spans="1:29" ht="46.5" x14ac:dyDescent="0.25">
      <c r="A632" s="34" t="s">
        <v>1776</v>
      </c>
      <c r="B632" s="35" t="s">
        <v>1777</v>
      </c>
      <c r="C632" s="36"/>
      <c r="D632" s="36"/>
      <c r="E632" s="37">
        <v>0</v>
      </c>
      <c r="F632" s="37">
        <v>0</v>
      </c>
      <c r="G632" s="37">
        <v>0</v>
      </c>
      <c r="H632" s="37">
        <v>0</v>
      </c>
      <c r="I632" s="37">
        <v>0</v>
      </c>
      <c r="J632" s="37">
        <v>0</v>
      </c>
      <c r="K632" s="37">
        <v>0</v>
      </c>
      <c r="L632" s="37">
        <v>0</v>
      </c>
      <c r="M632" s="37">
        <v>0</v>
      </c>
      <c r="N632" s="37">
        <v>0</v>
      </c>
      <c r="O632" s="37">
        <v>0</v>
      </c>
      <c r="P632" s="37">
        <v>0</v>
      </c>
      <c r="Q632" s="37">
        <v>0</v>
      </c>
      <c r="R632" s="37">
        <v>0</v>
      </c>
      <c r="S632" s="37">
        <v>0</v>
      </c>
      <c r="T632" s="37">
        <v>0</v>
      </c>
      <c r="U632" s="37">
        <v>0</v>
      </c>
      <c r="V632" s="37">
        <v>0</v>
      </c>
      <c r="W632" s="37">
        <v>0</v>
      </c>
      <c r="X632" s="37">
        <v>0</v>
      </c>
      <c r="Y632" s="36"/>
      <c r="Z632" s="38"/>
      <c r="AA632" s="39"/>
      <c r="AB632" s="39"/>
      <c r="AC632" s="40"/>
    </row>
    <row r="633" spans="1:29" ht="93" x14ac:dyDescent="0.25">
      <c r="A633" s="27" t="s">
        <v>1778</v>
      </c>
      <c r="B633" s="28" t="s">
        <v>1779</v>
      </c>
      <c r="C633" s="29" t="s">
        <v>1479</v>
      </c>
      <c r="D633" s="29" t="s">
        <v>1671</v>
      </c>
      <c r="E633" s="30">
        <f>SUM(E634:E634)+83000</f>
        <v>83000</v>
      </c>
      <c r="F633" s="30">
        <f t="shared" ref="F633:K633" si="504">SUM(F634:F634)</f>
        <v>0</v>
      </c>
      <c r="G633" s="30">
        <f t="shared" si="504"/>
        <v>0</v>
      </c>
      <c r="H633" s="30">
        <f t="shared" si="504"/>
        <v>0</v>
      </c>
      <c r="I633" s="30">
        <f t="shared" si="504"/>
        <v>0</v>
      </c>
      <c r="J633" s="30">
        <f t="shared" si="504"/>
        <v>0</v>
      </c>
      <c r="K633" s="30">
        <f t="shared" si="504"/>
        <v>0</v>
      </c>
      <c r="L633" s="30">
        <f>SUM(L634:L634)+83000</f>
        <v>83000</v>
      </c>
      <c r="M633" s="30">
        <f>SUM(M634:M634)</f>
        <v>0</v>
      </c>
      <c r="N633" s="30">
        <f>SUM(N634:N634)</f>
        <v>0</v>
      </c>
      <c r="O633" s="30">
        <f>SUM(O634:O634)+76846</f>
        <v>76846</v>
      </c>
      <c r="P633" s="30">
        <f t="shared" ref="P633:U633" si="505">SUM(P634:P634)</f>
        <v>0</v>
      </c>
      <c r="Q633" s="30">
        <f t="shared" si="505"/>
        <v>0</v>
      </c>
      <c r="R633" s="30">
        <f t="shared" si="505"/>
        <v>0</v>
      </c>
      <c r="S633" s="30">
        <f t="shared" si="505"/>
        <v>0</v>
      </c>
      <c r="T633" s="30">
        <f t="shared" si="505"/>
        <v>0</v>
      </c>
      <c r="U633" s="30">
        <f t="shared" si="505"/>
        <v>0</v>
      </c>
      <c r="V633" s="30">
        <f>SUM(V634:V634)+76846</f>
        <v>76846</v>
      </c>
      <c r="W633" s="30">
        <f>SUM(W634:W634)</f>
        <v>0</v>
      </c>
      <c r="X633" s="30">
        <f>SUM(X634:X634)</f>
        <v>0</v>
      </c>
      <c r="Y633" s="29" t="s">
        <v>1780</v>
      </c>
      <c r="Z633" s="31" t="s">
        <v>40</v>
      </c>
      <c r="AA633" s="32" t="s">
        <v>923</v>
      </c>
      <c r="AB633" s="32" t="s">
        <v>1532</v>
      </c>
      <c r="AC633" s="33" t="s">
        <v>1683</v>
      </c>
    </row>
    <row r="634" spans="1:29" ht="46.5" x14ac:dyDescent="0.25">
      <c r="A634" s="34" t="s">
        <v>1781</v>
      </c>
      <c r="B634" s="35" t="s">
        <v>1782</v>
      </c>
      <c r="C634" s="36"/>
      <c r="D634" s="36"/>
      <c r="E634" s="37">
        <v>0</v>
      </c>
      <c r="F634" s="37">
        <v>0</v>
      </c>
      <c r="G634" s="37">
        <v>0</v>
      </c>
      <c r="H634" s="37">
        <v>0</v>
      </c>
      <c r="I634" s="37">
        <v>0</v>
      </c>
      <c r="J634" s="37">
        <v>0</v>
      </c>
      <c r="K634" s="37">
        <v>0</v>
      </c>
      <c r="L634" s="37">
        <v>0</v>
      </c>
      <c r="M634" s="37">
        <v>0</v>
      </c>
      <c r="N634" s="37">
        <v>0</v>
      </c>
      <c r="O634" s="37">
        <v>0</v>
      </c>
      <c r="P634" s="37">
        <v>0</v>
      </c>
      <c r="Q634" s="37">
        <v>0</v>
      </c>
      <c r="R634" s="37">
        <v>0</v>
      </c>
      <c r="S634" s="37">
        <v>0</v>
      </c>
      <c r="T634" s="37">
        <v>0</v>
      </c>
      <c r="U634" s="37">
        <v>0</v>
      </c>
      <c r="V634" s="37">
        <v>0</v>
      </c>
      <c r="W634" s="37">
        <v>0</v>
      </c>
      <c r="X634" s="37">
        <v>0</v>
      </c>
      <c r="Y634" s="36"/>
      <c r="Z634" s="38"/>
      <c r="AA634" s="39"/>
      <c r="AB634" s="39"/>
      <c r="AC634" s="40"/>
    </row>
    <row r="635" spans="1:29" ht="93" x14ac:dyDescent="0.25">
      <c r="A635" s="27" t="s">
        <v>1783</v>
      </c>
      <c r="B635" s="28" t="s">
        <v>1784</v>
      </c>
      <c r="C635" s="29" t="s">
        <v>1479</v>
      </c>
      <c r="D635" s="29" t="s">
        <v>1671</v>
      </c>
      <c r="E635" s="30">
        <f>SUM(E636:E636)+5977153.4</f>
        <v>5977153.4000000004</v>
      </c>
      <c r="F635" s="30">
        <f t="shared" ref="F635:K635" si="506">SUM(F636:F636)</f>
        <v>0</v>
      </c>
      <c r="G635" s="30">
        <f t="shared" si="506"/>
        <v>0</v>
      </c>
      <c r="H635" s="30">
        <f t="shared" si="506"/>
        <v>0</v>
      </c>
      <c r="I635" s="30">
        <f t="shared" si="506"/>
        <v>0</v>
      </c>
      <c r="J635" s="30">
        <f t="shared" si="506"/>
        <v>0</v>
      </c>
      <c r="K635" s="30">
        <f t="shared" si="506"/>
        <v>0</v>
      </c>
      <c r="L635" s="30">
        <f>SUM(L636:L636)+5977153.4</f>
        <v>5977153.4000000004</v>
      </c>
      <c r="M635" s="30">
        <f>SUM(M636:M636)</f>
        <v>0</v>
      </c>
      <c r="N635" s="30">
        <f>SUM(N636:N636)</f>
        <v>0</v>
      </c>
      <c r="O635" s="30">
        <f>SUM(O636:O636)+5951306.4</f>
        <v>5951306.4000000004</v>
      </c>
      <c r="P635" s="30">
        <f t="shared" ref="P635:U635" si="507">SUM(P636:P636)</f>
        <v>0</v>
      </c>
      <c r="Q635" s="30">
        <f t="shared" si="507"/>
        <v>0</v>
      </c>
      <c r="R635" s="30">
        <f t="shared" si="507"/>
        <v>0</v>
      </c>
      <c r="S635" s="30">
        <f t="shared" si="507"/>
        <v>0</v>
      </c>
      <c r="T635" s="30">
        <f t="shared" si="507"/>
        <v>0</v>
      </c>
      <c r="U635" s="30">
        <f t="shared" si="507"/>
        <v>0</v>
      </c>
      <c r="V635" s="30">
        <f>SUM(V636:V636)+5951306.4</f>
        <v>5951306.4000000004</v>
      </c>
      <c r="W635" s="30">
        <f>SUM(W636:W636)</f>
        <v>0</v>
      </c>
      <c r="X635" s="30">
        <f>SUM(X636:X636)</f>
        <v>0</v>
      </c>
      <c r="Y635" s="29" t="s">
        <v>1785</v>
      </c>
      <c r="Z635" s="31" t="s">
        <v>40</v>
      </c>
      <c r="AA635" s="32" t="s">
        <v>1786</v>
      </c>
      <c r="AB635" s="32" t="s">
        <v>1787</v>
      </c>
      <c r="AC635" s="33" t="s">
        <v>1788</v>
      </c>
    </row>
    <row r="636" spans="1:29" ht="46.5" x14ac:dyDescent="0.25">
      <c r="A636" s="34" t="s">
        <v>1789</v>
      </c>
      <c r="B636" s="35" t="s">
        <v>1790</v>
      </c>
      <c r="C636" s="36"/>
      <c r="D636" s="36"/>
      <c r="E636" s="37">
        <v>0</v>
      </c>
      <c r="F636" s="37">
        <v>0</v>
      </c>
      <c r="G636" s="37">
        <v>0</v>
      </c>
      <c r="H636" s="37">
        <v>0</v>
      </c>
      <c r="I636" s="37">
        <v>0</v>
      </c>
      <c r="J636" s="37">
        <v>0</v>
      </c>
      <c r="K636" s="37">
        <v>0</v>
      </c>
      <c r="L636" s="37">
        <v>0</v>
      </c>
      <c r="M636" s="37">
        <v>0</v>
      </c>
      <c r="N636" s="37">
        <v>0</v>
      </c>
      <c r="O636" s="37">
        <v>0</v>
      </c>
      <c r="P636" s="37">
        <v>0</v>
      </c>
      <c r="Q636" s="37">
        <v>0</v>
      </c>
      <c r="R636" s="37">
        <v>0</v>
      </c>
      <c r="S636" s="37">
        <v>0</v>
      </c>
      <c r="T636" s="37">
        <v>0</v>
      </c>
      <c r="U636" s="37">
        <v>0</v>
      </c>
      <c r="V636" s="37">
        <v>0</v>
      </c>
      <c r="W636" s="37">
        <v>0</v>
      </c>
      <c r="X636" s="37">
        <v>0</v>
      </c>
      <c r="Y636" s="36"/>
      <c r="Z636" s="38"/>
      <c r="AA636" s="39"/>
      <c r="AB636" s="39"/>
      <c r="AC636" s="40"/>
    </row>
    <row r="637" spans="1:29" ht="93" x14ac:dyDescent="0.25">
      <c r="A637" s="27" t="s">
        <v>1791</v>
      </c>
      <c r="B637" s="28" t="s">
        <v>1792</v>
      </c>
      <c r="C637" s="29" t="s">
        <v>1479</v>
      </c>
      <c r="D637" s="29" t="s">
        <v>1671</v>
      </c>
      <c r="E637" s="30">
        <f>SUM(E638:E638)+8000</f>
        <v>8000</v>
      </c>
      <c r="F637" s="30">
        <f t="shared" ref="F637:K637" si="508">SUM(F638:F638)</f>
        <v>0</v>
      </c>
      <c r="G637" s="30">
        <f t="shared" si="508"/>
        <v>0</v>
      </c>
      <c r="H637" s="30">
        <f t="shared" si="508"/>
        <v>0</v>
      </c>
      <c r="I637" s="30">
        <f t="shared" si="508"/>
        <v>0</v>
      </c>
      <c r="J637" s="30">
        <f t="shared" si="508"/>
        <v>0</v>
      </c>
      <c r="K637" s="30">
        <f t="shared" si="508"/>
        <v>0</v>
      </c>
      <c r="L637" s="30">
        <f>SUM(L638:L638)+8000</f>
        <v>8000</v>
      </c>
      <c r="M637" s="30">
        <f>SUM(M638:M638)</f>
        <v>0</v>
      </c>
      <c r="N637" s="30">
        <f>SUM(N638:N638)</f>
        <v>0</v>
      </c>
      <c r="O637" s="30">
        <f>SUM(O638:O638)+7186.92</f>
        <v>7186.92</v>
      </c>
      <c r="P637" s="30">
        <f t="shared" ref="P637:U637" si="509">SUM(P638:P638)</f>
        <v>0</v>
      </c>
      <c r="Q637" s="30">
        <f t="shared" si="509"/>
        <v>0</v>
      </c>
      <c r="R637" s="30">
        <f t="shared" si="509"/>
        <v>0</v>
      </c>
      <c r="S637" s="30">
        <f t="shared" si="509"/>
        <v>0</v>
      </c>
      <c r="T637" s="30">
        <f t="shared" si="509"/>
        <v>0</v>
      </c>
      <c r="U637" s="30">
        <f t="shared" si="509"/>
        <v>0</v>
      </c>
      <c r="V637" s="30">
        <f>SUM(V638:V638)+7186.92</f>
        <v>7186.92</v>
      </c>
      <c r="W637" s="30">
        <f>SUM(W638:W638)</f>
        <v>0</v>
      </c>
      <c r="X637" s="30">
        <f>SUM(X638:X638)</f>
        <v>0</v>
      </c>
      <c r="Y637" s="29" t="s">
        <v>1793</v>
      </c>
      <c r="Z637" s="31" t="s">
        <v>40</v>
      </c>
      <c r="AA637" s="32" t="s">
        <v>690</v>
      </c>
      <c r="AB637" s="32" t="s">
        <v>186</v>
      </c>
      <c r="AC637" s="33" t="s">
        <v>1683</v>
      </c>
    </row>
    <row r="638" spans="1:29" ht="69.75" x14ac:dyDescent="0.25">
      <c r="A638" s="34" t="s">
        <v>1794</v>
      </c>
      <c r="B638" s="35" t="s">
        <v>1795</v>
      </c>
      <c r="C638" s="36"/>
      <c r="D638" s="36"/>
      <c r="E638" s="37">
        <v>0</v>
      </c>
      <c r="F638" s="37">
        <v>0</v>
      </c>
      <c r="G638" s="37">
        <v>0</v>
      </c>
      <c r="H638" s="37">
        <v>0</v>
      </c>
      <c r="I638" s="37">
        <v>0</v>
      </c>
      <c r="J638" s="37">
        <v>0</v>
      </c>
      <c r="K638" s="37">
        <v>0</v>
      </c>
      <c r="L638" s="37">
        <v>0</v>
      </c>
      <c r="M638" s="37">
        <v>0</v>
      </c>
      <c r="N638" s="37">
        <v>0</v>
      </c>
      <c r="O638" s="37">
        <v>0</v>
      </c>
      <c r="P638" s="37">
        <v>0</v>
      </c>
      <c r="Q638" s="37">
        <v>0</v>
      </c>
      <c r="R638" s="37">
        <v>0</v>
      </c>
      <c r="S638" s="37">
        <v>0</v>
      </c>
      <c r="T638" s="37">
        <v>0</v>
      </c>
      <c r="U638" s="37">
        <v>0</v>
      </c>
      <c r="V638" s="37">
        <v>0</v>
      </c>
      <c r="W638" s="37">
        <v>0</v>
      </c>
      <c r="X638" s="37">
        <v>0</v>
      </c>
      <c r="Y638" s="36"/>
      <c r="Z638" s="38"/>
      <c r="AA638" s="39"/>
      <c r="AB638" s="39"/>
      <c r="AC638" s="40"/>
    </row>
    <row r="639" spans="1:29" ht="93" x14ac:dyDescent="0.25">
      <c r="A639" s="27" t="s">
        <v>1796</v>
      </c>
      <c r="B639" s="28" t="s">
        <v>1797</v>
      </c>
      <c r="C639" s="29" t="s">
        <v>1479</v>
      </c>
      <c r="D639" s="29" t="s">
        <v>1671</v>
      </c>
      <c r="E639" s="30">
        <f>SUM(E640:E640)+1100</f>
        <v>1100</v>
      </c>
      <c r="F639" s="30">
        <f t="shared" ref="F639:K639" si="510">SUM(F640:F640)</f>
        <v>0</v>
      </c>
      <c r="G639" s="30">
        <f t="shared" si="510"/>
        <v>0</v>
      </c>
      <c r="H639" s="30">
        <f t="shared" si="510"/>
        <v>0</v>
      </c>
      <c r="I639" s="30">
        <f t="shared" si="510"/>
        <v>0</v>
      </c>
      <c r="J639" s="30">
        <f t="shared" si="510"/>
        <v>0</v>
      </c>
      <c r="K639" s="30">
        <f t="shared" si="510"/>
        <v>0</v>
      </c>
      <c r="L639" s="30">
        <f>SUM(L640:L640)+1100</f>
        <v>1100</v>
      </c>
      <c r="M639" s="30">
        <f>SUM(M640:M640)</f>
        <v>0</v>
      </c>
      <c r="N639" s="30">
        <f>SUM(N640:N640)</f>
        <v>0</v>
      </c>
      <c r="O639" s="30">
        <f>SUM(O640:O640)+707.4</f>
        <v>707.4</v>
      </c>
      <c r="P639" s="30">
        <f t="shared" ref="P639:U639" si="511">SUM(P640:P640)</f>
        <v>0</v>
      </c>
      <c r="Q639" s="30">
        <f t="shared" si="511"/>
        <v>0</v>
      </c>
      <c r="R639" s="30">
        <f t="shared" si="511"/>
        <v>0</v>
      </c>
      <c r="S639" s="30">
        <f t="shared" si="511"/>
        <v>0</v>
      </c>
      <c r="T639" s="30">
        <f t="shared" si="511"/>
        <v>0</v>
      </c>
      <c r="U639" s="30">
        <f t="shared" si="511"/>
        <v>0</v>
      </c>
      <c r="V639" s="30">
        <f>SUM(V640:V640)+707.4</f>
        <v>707.4</v>
      </c>
      <c r="W639" s="30">
        <f>SUM(W640:W640)</f>
        <v>0</v>
      </c>
      <c r="X639" s="30">
        <f>SUM(X640:X640)</f>
        <v>0</v>
      </c>
      <c r="Y639" s="29" t="s">
        <v>1798</v>
      </c>
      <c r="Z639" s="31" t="s">
        <v>40</v>
      </c>
      <c r="AA639" s="32" t="s">
        <v>54</v>
      </c>
      <c r="AB639" s="32" t="s">
        <v>54</v>
      </c>
      <c r="AC639" s="33"/>
    </row>
    <row r="640" spans="1:29" ht="69.75" x14ac:dyDescent="0.25">
      <c r="A640" s="34" t="s">
        <v>1799</v>
      </c>
      <c r="B640" s="35" t="s">
        <v>1800</v>
      </c>
      <c r="C640" s="36"/>
      <c r="D640" s="36"/>
      <c r="E640" s="37">
        <v>0</v>
      </c>
      <c r="F640" s="37">
        <v>0</v>
      </c>
      <c r="G640" s="37">
        <v>0</v>
      </c>
      <c r="H640" s="37">
        <v>0</v>
      </c>
      <c r="I640" s="37">
        <v>0</v>
      </c>
      <c r="J640" s="37">
        <v>0</v>
      </c>
      <c r="K640" s="37">
        <v>0</v>
      </c>
      <c r="L640" s="37">
        <v>0</v>
      </c>
      <c r="M640" s="37">
        <v>0</v>
      </c>
      <c r="N640" s="37">
        <v>0</v>
      </c>
      <c r="O640" s="37">
        <v>0</v>
      </c>
      <c r="P640" s="37">
        <v>0</v>
      </c>
      <c r="Q640" s="37">
        <v>0</v>
      </c>
      <c r="R640" s="37">
        <v>0</v>
      </c>
      <c r="S640" s="37">
        <v>0</v>
      </c>
      <c r="T640" s="37">
        <v>0</v>
      </c>
      <c r="U640" s="37">
        <v>0</v>
      </c>
      <c r="V640" s="37">
        <v>0</v>
      </c>
      <c r="W640" s="37">
        <v>0</v>
      </c>
      <c r="X640" s="37">
        <v>0</v>
      </c>
      <c r="Y640" s="36"/>
      <c r="Z640" s="38"/>
      <c r="AA640" s="39"/>
      <c r="AB640" s="39"/>
      <c r="AC640" s="40"/>
    </row>
    <row r="641" spans="1:29" ht="93" x14ac:dyDescent="0.25">
      <c r="A641" s="27" t="s">
        <v>1801</v>
      </c>
      <c r="B641" s="28" t="s">
        <v>1802</v>
      </c>
      <c r="C641" s="29" t="s">
        <v>1479</v>
      </c>
      <c r="D641" s="29" t="s">
        <v>1671</v>
      </c>
      <c r="E641" s="30">
        <f>SUM(E642:E642)+47000</f>
        <v>47000</v>
      </c>
      <c r="F641" s="30">
        <f t="shared" ref="F641:K641" si="512">SUM(F642:F642)</f>
        <v>0</v>
      </c>
      <c r="G641" s="30">
        <f t="shared" si="512"/>
        <v>0</v>
      </c>
      <c r="H641" s="30">
        <f t="shared" si="512"/>
        <v>0</v>
      </c>
      <c r="I641" s="30">
        <f t="shared" si="512"/>
        <v>0</v>
      </c>
      <c r="J641" s="30">
        <f t="shared" si="512"/>
        <v>0</v>
      </c>
      <c r="K641" s="30">
        <f t="shared" si="512"/>
        <v>0</v>
      </c>
      <c r="L641" s="30">
        <f>SUM(L642:L642)+47000</f>
        <v>47000</v>
      </c>
      <c r="M641" s="30">
        <f>SUM(M642:M642)</f>
        <v>0</v>
      </c>
      <c r="N641" s="30">
        <f>SUM(N642:N642)</f>
        <v>0</v>
      </c>
      <c r="O641" s="30">
        <f>SUM(O642:O642)+45477.61</f>
        <v>45477.61</v>
      </c>
      <c r="P641" s="30">
        <f t="shared" ref="P641:U641" si="513">SUM(P642:P642)</f>
        <v>0</v>
      </c>
      <c r="Q641" s="30">
        <f t="shared" si="513"/>
        <v>0</v>
      </c>
      <c r="R641" s="30">
        <f t="shared" si="513"/>
        <v>0</v>
      </c>
      <c r="S641" s="30">
        <f t="shared" si="513"/>
        <v>0</v>
      </c>
      <c r="T641" s="30">
        <f t="shared" si="513"/>
        <v>0</v>
      </c>
      <c r="U641" s="30">
        <f t="shared" si="513"/>
        <v>0</v>
      </c>
      <c r="V641" s="30">
        <f>SUM(V642:V642)+45477.61</f>
        <v>45477.61</v>
      </c>
      <c r="W641" s="30">
        <f>SUM(W642:W642)</f>
        <v>0</v>
      </c>
      <c r="X641" s="30">
        <f>SUM(X642:X642)</f>
        <v>0</v>
      </c>
      <c r="Y641" s="29" t="s">
        <v>1803</v>
      </c>
      <c r="Z641" s="31" t="s">
        <v>40</v>
      </c>
      <c r="AA641" s="32" t="s">
        <v>1804</v>
      </c>
      <c r="AB641" s="32" t="s">
        <v>1099</v>
      </c>
      <c r="AC641" s="33" t="s">
        <v>1683</v>
      </c>
    </row>
    <row r="642" spans="1:29" ht="69.75" x14ac:dyDescent="0.25">
      <c r="A642" s="34" t="s">
        <v>1805</v>
      </c>
      <c r="B642" s="35" t="s">
        <v>1806</v>
      </c>
      <c r="C642" s="36"/>
      <c r="D642" s="36"/>
      <c r="E642" s="37">
        <v>0</v>
      </c>
      <c r="F642" s="37">
        <v>0</v>
      </c>
      <c r="G642" s="37">
        <v>0</v>
      </c>
      <c r="H642" s="37">
        <v>0</v>
      </c>
      <c r="I642" s="37">
        <v>0</v>
      </c>
      <c r="J642" s="37">
        <v>0</v>
      </c>
      <c r="K642" s="37">
        <v>0</v>
      </c>
      <c r="L642" s="37">
        <v>0</v>
      </c>
      <c r="M642" s="37">
        <v>0</v>
      </c>
      <c r="N642" s="37">
        <v>0</v>
      </c>
      <c r="O642" s="37">
        <v>0</v>
      </c>
      <c r="P642" s="37">
        <v>0</v>
      </c>
      <c r="Q642" s="37">
        <v>0</v>
      </c>
      <c r="R642" s="37">
        <v>0</v>
      </c>
      <c r="S642" s="37">
        <v>0</v>
      </c>
      <c r="T642" s="37">
        <v>0</v>
      </c>
      <c r="U642" s="37">
        <v>0</v>
      </c>
      <c r="V642" s="37">
        <v>0</v>
      </c>
      <c r="W642" s="37">
        <v>0</v>
      </c>
      <c r="X642" s="37">
        <v>0</v>
      </c>
      <c r="Y642" s="36"/>
      <c r="Z642" s="38"/>
      <c r="AA642" s="39"/>
      <c r="AB642" s="39"/>
      <c r="AC642" s="40"/>
    </row>
    <row r="643" spans="1:29" ht="69.75" x14ac:dyDescent="0.25">
      <c r="A643" s="27" t="s">
        <v>1807</v>
      </c>
      <c r="B643" s="28" t="s">
        <v>1808</v>
      </c>
      <c r="C643" s="29" t="s">
        <v>1479</v>
      </c>
      <c r="D643" s="29" t="s">
        <v>1622</v>
      </c>
      <c r="E643" s="30">
        <f>SUM(E644:E644)+16000</f>
        <v>16000</v>
      </c>
      <c r="F643" s="30">
        <f t="shared" ref="F643:K643" si="514">SUM(F644:F644)</f>
        <v>0</v>
      </c>
      <c r="G643" s="30">
        <f t="shared" si="514"/>
        <v>0</v>
      </c>
      <c r="H643" s="30">
        <f t="shared" si="514"/>
        <v>0</v>
      </c>
      <c r="I643" s="30">
        <f t="shared" si="514"/>
        <v>0</v>
      </c>
      <c r="J643" s="30">
        <f t="shared" si="514"/>
        <v>0</v>
      </c>
      <c r="K643" s="30">
        <f t="shared" si="514"/>
        <v>0</v>
      </c>
      <c r="L643" s="30">
        <f>SUM(L644:L644)+16000</f>
        <v>16000</v>
      </c>
      <c r="M643" s="30">
        <f>SUM(M644:M644)</f>
        <v>0</v>
      </c>
      <c r="N643" s="30">
        <f>SUM(N644:N644)</f>
        <v>0</v>
      </c>
      <c r="O643" s="30">
        <f>SUM(O644:O644)+14814.72</f>
        <v>14814.72</v>
      </c>
      <c r="P643" s="30">
        <f t="shared" ref="P643:U643" si="515">SUM(P644:P644)</f>
        <v>0</v>
      </c>
      <c r="Q643" s="30">
        <f t="shared" si="515"/>
        <v>0</v>
      </c>
      <c r="R643" s="30">
        <f t="shared" si="515"/>
        <v>0</v>
      </c>
      <c r="S643" s="30">
        <f t="shared" si="515"/>
        <v>0</v>
      </c>
      <c r="T643" s="30">
        <f t="shared" si="515"/>
        <v>0</v>
      </c>
      <c r="U643" s="30">
        <f t="shared" si="515"/>
        <v>0</v>
      </c>
      <c r="V643" s="30">
        <f>SUM(V644:V644)+14814.72</f>
        <v>14814.72</v>
      </c>
      <c r="W643" s="30">
        <f>SUM(W644:W644)</f>
        <v>0</v>
      </c>
      <c r="X643" s="30">
        <f>SUM(X644:X644)</f>
        <v>0</v>
      </c>
      <c r="Y643" s="29" t="s">
        <v>1809</v>
      </c>
      <c r="Z643" s="31" t="s">
        <v>40</v>
      </c>
      <c r="AA643" s="32" t="s">
        <v>1810</v>
      </c>
      <c r="AB643" s="32" t="s">
        <v>1811</v>
      </c>
      <c r="AC643" s="33" t="s">
        <v>1788</v>
      </c>
    </row>
    <row r="644" spans="1:29" ht="69.75" x14ac:dyDescent="0.25">
      <c r="A644" s="34" t="s">
        <v>1812</v>
      </c>
      <c r="B644" s="35" t="s">
        <v>1813</v>
      </c>
      <c r="C644" s="36"/>
      <c r="D644" s="36"/>
      <c r="E644" s="37">
        <v>0</v>
      </c>
      <c r="F644" s="37">
        <v>0</v>
      </c>
      <c r="G644" s="37">
        <v>0</v>
      </c>
      <c r="H644" s="37">
        <v>0</v>
      </c>
      <c r="I644" s="37">
        <v>0</v>
      </c>
      <c r="J644" s="37">
        <v>0</v>
      </c>
      <c r="K644" s="37">
        <v>0</v>
      </c>
      <c r="L644" s="37">
        <v>0</v>
      </c>
      <c r="M644" s="37">
        <v>0</v>
      </c>
      <c r="N644" s="37">
        <v>0</v>
      </c>
      <c r="O644" s="37">
        <v>0</v>
      </c>
      <c r="P644" s="37">
        <v>0</v>
      </c>
      <c r="Q644" s="37">
        <v>0</v>
      </c>
      <c r="R644" s="37">
        <v>0</v>
      </c>
      <c r="S644" s="37">
        <v>0</v>
      </c>
      <c r="T644" s="37">
        <v>0</v>
      </c>
      <c r="U644" s="37">
        <v>0</v>
      </c>
      <c r="V644" s="37">
        <v>0</v>
      </c>
      <c r="W644" s="37">
        <v>0</v>
      </c>
      <c r="X644" s="37">
        <v>0</v>
      </c>
      <c r="Y644" s="36"/>
      <c r="Z644" s="38"/>
      <c r="AA644" s="39"/>
      <c r="AB644" s="39"/>
      <c r="AC644" s="40"/>
    </row>
    <row r="645" spans="1:29" ht="93" x14ac:dyDescent="0.25">
      <c r="A645" s="27" t="s">
        <v>1814</v>
      </c>
      <c r="B645" s="28" t="s">
        <v>1815</v>
      </c>
      <c r="C645" s="29" t="s">
        <v>1479</v>
      </c>
      <c r="D645" s="29" t="s">
        <v>1671</v>
      </c>
      <c r="E645" s="30">
        <f>SUM(E646:E646)+285000</f>
        <v>285000</v>
      </c>
      <c r="F645" s="30">
        <f t="shared" ref="F645:K645" si="516">SUM(F646:F646)</f>
        <v>0</v>
      </c>
      <c r="G645" s="30">
        <f t="shared" si="516"/>
        <v>0</v>
      </c>
      <c r="H645" s="30">
        <f t="shared" si="516"/>
        <v>0</v>
      </c>
      <c r="I645" s="30">
        <f t="shared" si="516"/>
        <v>0</v>
      </c>
      <c r="J645" s="30">
        <f t="shared" si="516"/>
        <v>0</v>
      </c>
      <c r="K645" s="30">
        <f t="shared" si="516"/>
        <v>0</v>
      </c>
      <c r="L645" s="30">
        <f>SUM(L646:L646)+285000</f>
        <v>285000</v>
      </c>
      <c r="M645" s="30">
        <f>SUM(M646:M646)</f>
        <v>0</v>
      </c>
      <c r="N645" s="30">
        <f>SUM(N646:N646)</f>
        <v>0</v>
      </c>
      <c r="O645" s="30">
        <f>SUM(O646:O646)+278447.73</f>
        <v>278447.73</v>
      </c>
      <c r="P645" s="30">
        <f t="shared" ref="P645:U645" si="517">SUM(P646:P646)</f>
        <v>0</v>
      </c>
      <c r="Q645" s="30">
        <f t="shared" si="517"/>
        <v>0</v>
      </c>
      <c r="R645" s="30">
        <f t="shared" si="517"/>
        <v>0</v>
      </c>
      <c r="S645" s="30">
        <f t="shared" si="517"/>
        <v>0</v>
      </c>
      <c r="T645" s="30">
        <f t="shared" si="517"/>
        <v>0</v>
      </c>
      <c r="U645" s="30">
        <f t="shared" si="517"/>
        <v>0</v>
      </c>
      <c r="V645" s="30">
        <f>SUM(V646:V646)+278447.73</f>
        <v>278447.73</v>
      </c>
      <c r="W645" s="30">
        <f>SUM(W646:W646)</f>
        <v>0</v>
      </c>
      <c r="X645" s="30">
        <f>SUM(X646:X646)</f>
        <v>0</v>
      </c>
      <c r="Y645" s="29" t="s">
        <v>1816</v>
      </c>
      <c r="Z645" s="31" t="s">
        <v>40</v>
      </c>
      <c r="AA645" s="32" t="s">
        <v>1817</v>
      </c>
      <c r="AB645" s="32" t="s">
        <v>1818</v>
      </c>
      <c r="AC645" s="33" t="s">
        <v>1788</v>
      </c>
    </row>
    <row r="646" spans="1:29" ht="46.5" x14ac:dyDescent="0.25">
      <c r="A646" s="34" t="s">
        <v>1819</v>
      </c>
      <c r="B646" s="35" t="s">
        <v>1820</v>
      </c>
      <c r="C646" s="36"/>
      <c r="D646" s="36"/>
      <c r="E646" s="37">
        <v>0</v>
      </c>
      <c r="F646" s="37">
        <v>0</v>
      </c>
      <c r="G646" s="37">
        <v>0</v>
      </c>
      <c r="H646" s="37">
        <v>0</v>
      </c>
      <c r="I646" s="37">
        <v>0</v>
      </c>
      <c r="J646" s="37">
        <v>0</v>
      </c>
      <c r="K646" s="37">
        <v>0</v>
      </c>
      <c r="L646" s="37">
        <v>0</v>
      </c>
      <c r="M646" s="37">
        <v>0</v>
      </c>
      <c r="N646" s="37">
        <v>0</v>
      </c>
      <c r="O646" s="37">
        <v>0</v>
      </c>
      <c r="P646" s="37">
        <v>0</v>
      </c>
      <c r="Q646" s="37">
        <v>0</v>
      </c>
      <c r="R646" s="37">
        <v>0</v>
      </c>
      <c r="S646" s="37">
        <v>0</v>
      </c>
      <c r="T646" s="37">
        <v>0</v>
      </c>
      <c r="U646" s="37">
        <v>0</v>
      </c>
      <c r="V646" s="37">
        <v>0</v>
      </c>
      <c r="W646" s="37">
        <v>0</v>
      </c>
      <c r="X646" s="37">
        <v>0</v>
      </c>
      <c r="Y646" s="36"/>
      <c r="Z646" s="38"/>
      <c r="AA646" s="39"/>
      <c r="AB646" s="39"/>
      <c r="AC646" s="40"/>
    </row>
    <row r="647" spans="1:29" ht="93" x14ac:dyDescent="0.25">
      <c r="A647" s="27" t="s">
        <v>1821</v>
      </c>
      <c r="B647" s="28" t="s">
        <v>1822</v>
      </c>
      <c r="C647" s="29" t="s">
        <v>1479</v>
      </c>
      <c r="D647" s="29" t="s">
        <v>1671</v>
      </c>
      <c r="E647" s="30">
        <f>SUM(E648:E648)+188000</f>
        <v>188000</v>
      </c>
      <c r="F647" s="30">
        <f t="shared" ref="F647:K647" si="518">SUM(F648:F648)</f>
        <v>0</v>
      </c>
      <c r="G647" s="30">
        <f t="shared" si="518"/>
        <v>0</v>
      </c>
      <c r="H647" s="30">
        <f t="shared" si="518"/>
        <v>0</v>
      </c>
      <c r="I647" s="30">
        <f t="shared" si="518"/>
        <v>0</v>
      </c>
      <c r="J647" s="30">
        <f t="shared" si="518"/>
        <v>0</v>
      </c>
      <c r="K647" s="30">
        <f t="shared" si="518"/>
        <v>0</v>
      </c>
      <c r="L647" s="30">
        <f>SUM(L648:L648)+188000</f>
        <v>188000</v>
      </c>
      <c r="M647" s="30">
        <f>SUM(M648:M648)</f>
        <v>0</v>
      </c>
      <c r="N647" s="30">
        <f>SUM(N648:N648)</f>
        <v>0</v>
      </c>
      <c r="O647" s="30">
        <f>SUM(O648:O648)+184896.94</f>
        <v>184896.94</v>
      </c>
      <c r="P647" s="30">
        <f t="shared" ref="P647:U647" si="519">SUM(P648:P648)</f>
        <v>0</v>
      </c>
      <c r="Q647" s="30">
        <f t="shared" si="519"/>
        <v>0</v>
      </c>
      <c r="R647" s="30">
        <f t="shared" si="519"/>
        <v>0</v>
      </c>
      <c r="S647" s="30">
        <f t="shared" si="519"/>
        <v>0</v>
      </c>
      <c r="T647" s="30">
        <f t="shared" si="519"/>
        <v>0</v>
      </c>
      <c r="U647" s="30">
        <f t="shared" si="519"/>
        <v>0</v>
      </c>
      <c r="V647" s="30">
        <f>SUM(V648:V648)+184896.94</f>
        <v>184896.94</v>
      </c>
      <c r="W647" s="30">
        <f>SUM(W648:W648)</f>
        <v>0</v>
      </c>
      <c r="X647" s="30">
        <f>SUM(X648:X648)</f>
        <v>0</v>
      </c>
      <c r="Y647" s="29" t="s">
        <v>1823</v>
      </c>
      <c r="Z647" s="31" t="s">
        <v>40</v>
      </c>
      <c r="AA647" s="32" t="s">
        <v>1824</v>
      </c>
      <c r="AB647" s="32" t="s">
        <v>1825</v>
      </c>
      <c r="AC647" s="33" t="s">
        <v>1683</v>
      </c>
    </row>
    <row r="648" spans="1:29" ht="69.75" x14ac:dyDescent="0.25">
      <c r="A648" s="34" t="s">
        <v>1826</v>
      </c>
      <c r="B648" s="35" t="s">
        <v>1827</v>
      </c>
      <c r="C648" s="36"/>
      <c r="D648" s="36"/>
      <c r="E648" s="37">
        <v>0</v>
      </c>
      <c r="F648" s="37">
        <v>0</v>
      </c>
      <c r="G648" s="37">
        <v>0</v>
      </c>
      <c r="H648" s="37">
        <v>0</v>
      </c>
      <c r="I648" s="37">
        <v>0</v>
      </c>
      <c r="J648" s="37">
        <v>0</v>
      </c>
      <c r="K648" s="37">
        <v>0</v>
      </c>
      <c r="L648" s="37">
        <v>0</v>
      </c>
      <c r="M648" s="37">
        <v>0</v>
      </c>
      <c r="N648" s="37">
        <v>0</v>
      </c>
      <c r="O648" s="37">
        <v>0</v>
      </c>
      <c r="P648" s="37">
        <v>0</v>
      </c>
      <c r="Q648" s="37">
        <v>0</v>
      </c>
      <c r="R648" s="37">
        <v>0</v>
      </c>
      <c r="S648" s="37">
        <v>0</v>
      </c>
      <c r="T648" s="37">
        <v>0</v>
      </c>
      <c r="U648" s="37">
        <v>0</v>
      </c>
      <c r="V648" s="37">
        <v>0</v>
      </c>
      <c r="W648" s="37">
        <v>0</v>
      </c>
      <c r="X648" s="37">
        <v>0</v>
      </c>
      <c r="Y648" s="36"/>
      <c r="Z648" s="38"/>
      <c r="AA648" s="39"/>
      <c r="AB648" s="39"/>
      <c r="AC648" s="40"/>
    </row>
    <row r="649" spans="1:29" ht="93" x14ac:dyDescent="0.25">
      <c r="A649" s="27" t="s">
        <v>1828</v>
      </c>
      <c r="B649" s="28" t="s">
        <v>1829</v>
      </c>
      <c r="C649" s="29" t="s">
        <v>1479</v>
      </c>
      <c r="D649" s="29" t="s">
        <v>1671</v>
      </c>
      <c r="E649" s="30">
        <f>SUM(E650:E650)+16662.6</f>
        <v>16662.599999999999</v>
      </c>
      <c r="F649" s="30">
        <f t="shared" ref="F649:K649" si="520">SUM(F650:F650)</f>
        <v>0</v>
      </c>
      <c r="G649" s="30">
        <f t="shared" si="520"/>
        <v>0</v>
      </c>
      <c r="H649" s="30">
        <f t="shared" si="520"/>
        <v>0</v>
      </c>
      <c r="I649" s="30">
        <f t="shared" si="520"/>
        <v>0</v>
      </c>
      <c r="J649" s="30">
        <f t="shared" si="520"/>
        <v>0</v>
      </c>
      <c r="K649" s="30">
        <f t="shared" si="520"/>
        <v>0</v>
      </c>
      <c r="L649" s="30">
        <f>SUM(L650:L650)+16662.6</f>
        <v>16662.599999999999</v>
      </c>
      <c r="M649" s="30">
        <f>SUM(M650:M650)</f>
        <v>0</v>
      </c>
      <c r="N649" s="30">
        <f>SUM(N650:N650)</f>
        <v>0</v>
      </c>
      <c r="O649" s="30">
        <f>SUM(O650:O650)+14205.01</f>
        <v>14205.01</v>
      </c>
      <c r="P649" s="30">
        <f t="shared" ref="P649:U649" si="521">SUM(P650:P650)</f>
        <v>0</v>
      </c>
      <c r="Q649" s="30">
        <f t="shared" si="521"/>
        <v>0</v>
      </c>
      <c r="R649" s="30">
        <f t="shared" si="521"/>
        <v>0</v>
      </c>
      <c r="S649" s="30">
        <f t="shared" si="521"/>
        <v>0</v>
      </c>
      <c r="T649" s="30">
        <f t="shared" si="521"/>
        <v>0</v>
      </c>
      <c r="U649" s="30">
        <f t="shared" si="521"/>
        <v>0</v>
      </c>
      <c r="V649" s="30">
        <f>SUM(V650:V650)+14205.01</f>
        <v>14205.01</v>
      </c>
      <c r="W649" s="30">
        <f>SUM(W650:W650)</f>
        <v>0</v>
      </c>
      <c r="X649" s="30">
        <f>SUM(X650:X650)</f>
        <v>0</v>
      </c>
      <c r="Y649" s="29" t="s">
        <v>1830</v>
      </c>
      <c r="Z649" s="31" t="s">
        <v>40</v>
      </c>
      <c r="AA649" s="32" t="s">
        <v>263</v>
      </c>
      <c r="AB649" s="32" t="s">
        <v>263</v>
      </c>
      <c r="AC649" s="33"/>
    </row>
    <row r="650" spans="1:29" ht="69.75" x14ac:dyDescent="0.25">
      <c r="A650" s="34" t="s">
        <v>1831</v>
      </c>
      <c r="B650" s="35" t="s">
        <v>1832</v>
      </c>
      <c r="C650" s="36"/>
      <c r="D650" s="36"/>
      <c r="E650" s="37">
        <v>0</v>
      </c>
      <c r="F650" s="37">
        <v>0</v>
      </c>
      <c r="G650" s="37">
        <v>0</v>
      </c>
      <c r="H650" s="37">
        <v>0</v>
      </c>
      <c r="I650" s="37">
        <v>0</v>
      </c>
      <c r="J650" s="37">
        <v>0</v>
      </c>
      <c r="K650" s="37">
        <v>0</v>
      </c>
      <c r="L650" s="37">
        <v>0</v>
      </c>
      <c r="M650" s="37">
        <v>0</v>
      </c>
      <c r="N650" s="37">
        <v>0</v>
      </c>
      <c r="O650" s="37">
        <v>0</v>
      </c>
      <c r="P650" s="37">
        <v>0</v>
      </c>
      <c r="Q650" s="37">
        <v>0</v>
      </c>
      <c r="R650" s="37">
        <v>0</v>
      </c>
      <c r="S650" s="37">
        <v>0</v>
      </c>
      <c r="T650" s="37">
        <v>0</v>
      </c>
      <c r="U650" s="37">
        <v>0</v>
      </c>
      <c r="V650" s="37">
        <v>0</v>
      </c>
      <c r="W650" s="37">
        <v>0</v>
      </c>
      <c r="X650" s="37">
        <v>0</v>
      </c>
      <c r="Y650" s="36"/>
      <c r="Z650" s="38"/>
      <c r="AA650" s="39"/>
      <c r="AB650" s="39"/>
      <c r="AC650" s="40"/>
    </row>
    <row r="651" spans="1:29" ht="69.75" x14ac:dyDescent="0.25">
      <c r="A651" s="27" t="s">
        <v>1833</v>
      </c>
      <c r="B651" s="28" t="s">
        <v>1834</v>
      </c>
      <c r="C651" s="29" t="s">
        <v>1479</v>
      </c>
      <c r="D651" s="29" t="s">
        <v>1622</v>
      </c>
      <c r="E651" s="30">
        <f>SUM(E652:E652)+47000</f>
        <v>47000</v>
      </c>
      <c r="F651" s="30">
        <f t="shared" ref="F651:K651" si="522">SUM(F652:F652)</f>
        <v>0</v>
      </c>
      <c r="G651" s="30">
        <f t="shared" si="522"/>
        <v>0</v>
      </c>
      <c r="H651" s="30">
        <f t="shared" si="522"/>
        <v>0</v>
      </c>
      <c r="I651" s="30">
        <f t="shared" si="522"/>
        <v>0</v>
      </c>
      <c r="J651" s="30">
        <f t="shared" si="522"/>
        <v>0</v>
      </c>
      <c r="K651" s="30">
        <f t="shared" si="522"/>
        <v>0</v>
      </c>
      <c r="L651" s="30">
        <f>SUM(L652:L652)+47000</f>
        <v>47000</v>
      </c>
      <c r="M651" s="30">
        <f>SUM(M652:M652)</f>
        <v>0</v>
      </c>
      <c r="N651" s="30">
        <f>SUM(N652:N652)</f>
        <v>0</v>
      </c>
      <c r="O651" s="30">
        <f>SUM(O652:O652)+42373.62</f>
        <v>42373.62</v>
      </c>
      <c r="P651" s="30">
        <f t="shared" ref="P651:U651" si="523">SUM(P652:P652)</f>
        <v>0</v>
      </c>
      <c r="Q651" s="30">
        <f t="shared" si="523"/>
        <v>0</v>
      </c>
      <c r="R651" s="30">
        <f t="shared" si="523"/>
        <v>0</v>
      </c>
      <c r="S651" s="30">
        <f t="shared" si="523"/>
        <v>0</v>
      </c>
      <c r="T651" s="30">
        <f t="shared" si="523"/>
        <v>0</v>
      </c>
      <c r="U651" s="30">
        <f t="shared" si="523"/>
        <v>0</v>
      </c>
      <c r="V651" s="30">
        <f>SUM(V652:V652)+42373.62</f>
        <v>42373.62</v>
      </c>
      <c r="W651" s="30">
        <f>SUM(W652:W652)</f>
        <v>0</v>
      </c>
      <c r="X651" s="30">
        <f>SUM(X652:X652)</f>
        <v>0</v>
      </c>
      <c r="Y651" s="29" t="s">
        <v>1835</v>
      </c>
      <c r="Z651" s="31" t="s">
        <v>40</v>
      </c>
      <c r="AA651" s="32" t="s">
        <v>263</v>
      </c>
      <c r="AB651" s="32" t="s">
        <v>263</v>
      </c>
      <c r="AC651" s="33"/>
    </row>
    <row r="652" spans="1:29" ht="46.5" x14ac:dyDescent="0.25">
      <c r="A652" s="34" t="s">
        <v>1836</v>
      </c>
      <c r="B652" s="35" t="s">
        <v>1837</v>
      </c>
      <c r="C652" s="36"/>
      <c r="D652" s="36"/>
      <c r="E652" s="37">
        <v>0</v>
      </c>
      <c r="F652" s="37">
        <v>0</v>
      </c>
      <c r="G652" s="37">
        <v>0</v>
      </c>
      <c r="H652" s="37">
        <v>0</v>
      </c>
      <c r="I652" s="37">
        <v>0</v>
      </c>
      <c r="J652" s="37">
        <v>0</v>
      </c>
      <c r="K652" s="37">
        <v>0</v>
      </c>
      <c r="L652" s="37">
        <v>0</v>
      </c>
      <c r="M652" s="37">
        <v>0</v>
      </c>
      <c r="N652" s="37">
        <v>0</v>
      </c>
      <c r="O652" s="37">
        <v>0</v>
      </c>
      <c r="P652" s="37">
        <v>0</v>
      </c>
      <c r="Q652" s="37">
        <v>0</v>
      </c>
      <c r="R652" s="37">
        <v>0</v>
      </c>
      <c r="S652" s="37">
        <v>0</v>
      </c>
      <c r="T652" s="37">
        <v>0</v>
      </c>
      <c r="U652" s="37">
        <v>0</v>
      </c>
      <c r="V652" s="37">
        <v>0</v>
      </c>
      <c r="W652" s="37">
        <v>0</v>
      </c>
      <c r="X652" s="37">
        <v>0</v>
      </c>
      <c r="Y652" s="36"/>
      <c r="Z652" s="38"/>
      <c r="AA652" s="39"/>
      <c r="AB652" s="39"/>
      <c r="AC652" s="40"/>
    </row>
    <row r="653" spans="1:29" ht="93" x14ac:dyDescent="0.25">
      <c r="A653" s="27" t="s">
        <v>1838</v>
      </c>
      <c r="B653" s="28" t="s">
        <v>1839</v>
      </c>
      <c r="C653" s="29" t="s">
        <v>1479</v>
      </c>
      <c r="D653" s="29" t="s">
        <v>1840</v>
      </c>
      <c r="E653" s="30">
        <f t="shared" ref="E653:X653" si="524">SUM(E654:E654)</f>
        <v>0</v>
      </c>
      <c r="F653" s="30">
        <f t="shared" si="524"/>
        <v>0</v>
      </c>
      <c r="G653" s="30">
        <f t="shared" si="524"/>
        <v>0</v>
      </c>
      <c r="H653" s="30">
        <f t="shared" si="524"/>
        <v>0</v>
      </c>
      <c r="I653" s="30">
        <f t="shared" si="524"/>
        <v>0</v>
      </c>
      <c r="J653" s="30">
        <f t="shared" si="524"/>
        <v>0</v>
      </c>
      <c r="K653" s="30">
        <f t="shared" si="524"/>
        <v>0</v>
      </c>
      <c r="L653" s="30">
        <f t="shared" si="524"/>
        <v>0</v>
      </c>
      <c r="M653" s="30">
        <f t="shared" si="524"/>
        <v>0</v>
      </c>
      <c r="N653" s="30">
        <f t="shared" si="524"/>
        <v>0</v>
      </c>
      <c r="O653" s="30">
        <f t="shared" si="524"/>
        <v>0</v>
      </c>
      <c r="P653" s="30">
        <f t="shared" si="524"/>
        <v>0</v>
      </c>
      <c r="Q653" s="30">
        <f t="shared" si="524"/>
        <v>0</v>
      </c>
      <c r="R653" s="30">
        <f t="shared" si="524"/>
        <v>0</v>
      </c>
      <c r="S653" s="30">
        <f t="shared" si="524"/>
        <v>0</v>
      </c>
      <c r="T653" s="30">
        <f t="shared" si="524"/>
        <v>0</v>
      </c>
      <c r="U653" s="30">
        <f t="shared" si="524"/>
        <v>0</v>
      </c>
      <c r="V653" s="30">
        <f t="shared" si="524"/>
        <v>0</v>
      </c>
      <c r="W653" s="30">
        <f t="shared" si="524"/>
        <v>0</v>
      </c>
      <c r="X653" s="30">
        <f t="shared" si="524"/>
        <v>0</v>
      </c>
      <c r="Y653" s="29" t="s">
        <v>1841</v>
      </c>
      <c r="Z653" s="31" t="s">
        <v>40</v>
      </c>
      <c r="AA653" s="32" t="s">
        <v>54</v>
      </c>
      <c r="AB653" s="32" t="s">
        <v>47</v>
      </c>
      <c r="AC653" s="33" t="s">
        <v>1842</v>
      </c>
    </row>
    <row r="654" spans="1:29" ht="46.5" x14ac:dyDescent="0.25">
      <c r="A654" s="34" t="s">
        <v>1843</v>
      </c>
      <c r="B654" s="35" t="s">
        <v>1844</v>
      </c>
      <c r="C654" s="36"/>
      <c r="D654" s="36"/>
      <c r="E654" s="37">
        <v>0</v>
      </c>
      <c r="F654" s="37">
        <v>0</v>
      </c>
      <c r="G654" s="37">
        <v>0</v>
      </c>
      <c r="H654" s="37">
        <v>0</v>
      </c>
      <c r="I654" s="37">
        <v>0</v>
      </c>
      <c r="J654" s="37">
        <v>0</v>
      </c>
      <c r="K654" s="37">
        <v>0</v>
      </c>
      <c r="L654" s="37">
        <v>0</v>
      </c>
      <c r="M654" s="37">
        <v>0</v>
      </c>
      <c r="N654" s="37">
        <v>0</v>
      </c>
      <c r="O654" s="37">
        <v>0</v>
      </c>
      <c r="P654" s="37">
        <v>0</v>
      </c>
      <c r="Q654" s="37">
        <v>0</v>
      </c>
      <c r="R654" s="37">
        <v>0</v>
      </c>
      <c r="S654" s="37">
        <v>0</v>
      </c>
      <c r="T654" s="37">
        <v>0</v>
      </c>
      <c r="U654" s="37">
        <v>0</v>
      </c>
      <c r="V654" s="37">
        <v>0</v>
      </c>
      <c r="W654" s="37">
        <v>0</v>
      </c>
      <c r="X654" s="37">
        <v>0</v>
      </c>
      <c r="Y654" s="36"/>
      <c r="Z654" s="38"/>
      <c r="AA654" s="39"/>
      <c r="AB654" s="39"/>
      <c r="AC654" s="40"/>
    </row>
    <row r="655" spans="1:29" ht="69.75" x14ac:dyDescent="0.25">
      <c r="A655" s="27" t="s">
        <v>1845</v>
      </c>
      <c r="B655" s="28" t="s">
        <v>1846</v>
      </c>
      <c r="C655" s="29" t="s">
        <v>1479</v>
      </c>
      <c r="D655" s="29" t="s">
        <v>1622</v>
      </c>
      <c r="E655" s="30">
        <f>SUM(E656:E656)+2166000</f>
        <v>2166000</v>
      </c>
      <c r="F655" s="30">
        <f t="shared" ref="F655:K655" si="525">SUM(F656:F656)</f>
        <v>0</v>
      </c>
      <c r="G655" s="30">
        <f t="shared" si="525"/>
        <v>0</v>
      </c>
      <c r="H655" s="30">
        <f t="shared" si="525"/>
        <v>0</v>
      </c>
      <c r="I655" s="30">
        <f t="shared" si="525"/>
        <v>0</v>
      </c>
      <c r="J655" s="30">
        <f t="shared" si="525"/>
        <v>0</v>
      </c>
      <c r="K655" s="30">
        <f t="shared" si="525"/>
        <v>0</v>
      </c>
      <c r="L655" s="30">
        <f>SUM(L656:L656)+2166000</f>
        <v>2166000</v>
      </c>
      <c r="M655" s="30">
        <f>SUM(M656:M656)</f>
        <v>0</v>
      </c>
      <c r="N655" s="30">
        <f>SUM(N656:N656)</f>
        <v>0</v>
      </c>
      <c r="O655" s="30">
        <f>SUM(O656:O656)+2160898.73</f>
        <v>2160898.73</v>
      </c>
      <c r="P655" s="30">
        <f t="shared" ref="P655:U655" si="526">SUM(P656:P656)</f>
        <v>0</v>
      </c>
      <c r="Q655" s="30">
        <f t="shared" si="526"/>
        <v>0</v>
      </c>
      <c r="R655" s="30">
        <f t="shared" si="526"/>
        <v>0</v>
      </c>
      <c r="S655" s="30">
        <f t="shared" si="526"/>
        <v>0</v>
      </c>
      <c r="T655" s="30">
        <f t="shared" si="526"/>
        <v>0</v>
      </c>
      <c r="U655" s="30">
        <f t="shared" si="526"/>
        <v>0</v>
      </c>
      <c r="V655" s="30">
        <f>SUM(V656:V656)+2160898.73</f>
        <v>2160898.73</v>
      </c>
      <c r="W655" s="30">
        <f>SUM(W656:W656)</f>
        <v>0</v>
      </c>
      <c r="X655" s="30">
        <f>SUM(X656:X656)</f>
        <v>0</v>
      </c>
      <c r="Y655" s="29" t="s">
        <v>1847</v>
      </c>
      <c r="Z655" s="31" t="s">
        <v>40</v>
      </c>
      <c r="AA655" s="32" t="s">
        <v>1848</v>
      </c>
      <c r="AB655" s="32" t="s">
        <v>1849</v>
      </c>
      <c r="AC655" s="33" t="s">
        <v>1788</v>
      </c>
    </row>
    <row r="656" spans="1:29" ht="46.5" x14ac:dyDescent="0.25">
      <c r="A656" s="34" t="s">
        <v>1850</v>
      </c>
      <c r="B656" s="35" t="s">
        <v>1851</v>
      </c>
      <c r="C656" s="36"/>
      <c r="D656" s="36"/>
      <c r="E656" s="37">
        <v>0</v>
      </c>
      <c r="F656" s="37">
        <v>0</v>
      </c>
      <c r="G656" s="37">
        <v>0</v>
      </c>
      <c r="H656" s="37">
        <v>0</v>
      </c>
      <c r="I656" s="37">
        <v>0</v>
      </c>
      <c r="J656" s="37">
        <v>0</v>
      </c>
      <c r="K656" s="37">
        <v>0</v>
      </c>
      <c r="L656" s="37">
        <v>0</v>
      </c>
      <c r="M656" s="37">
        <v>0</v>
      </c>
      <c r="N656" s="37">
        <v>0</v>
      </c>
      <c r="O656" s="37">
        <v>0</v>
      </c>
      <c r="P656" s="37">
        <v>0</v>
      </c>
      <c r="Q656" s="37">
        <v>0</v>
      </c>
      <c r="R656" s="37">
        <v>0</v>
      </c>
      <c r="S656" s="37">
        <v>0</v>
      </c>
      <c r="T656" s="37">
        <v>0</v>
      </c>
      <c r="U656" s="37">
        <v>0</v>
      </c>
      <c r="V656" s="37">
        <v>0</v>
      </c>
      <c r="W656" s="37">
        <v>0</v>
      </c>
      <c r="X656" s="37">
        <v>0</v>
      </c>
      <c r="Y656" s="36"/>
      <c r="Z656" s="38"/>
      <c r="AA656" s="39"/>
      <c r="AB656" s="39"/>
      <c r="AC656" s="40"/>
    </row>
    <row r="657" spans="1:29" ht="69.75" x14ac:dyDescent="0.25">
      <c r="A657" s="27" t="s">
        <v>1852</v>
      </c>
      <c r="B657" s="28" t="s">
        <v>1853</v>
      </c>
      <c r="C657" s="29" t="s">
        <v>1479</v>
      </c>
      <c r="D657" s="29" t="s">
        <v>1622</v>
      </c>
      <c r="E657" s="30">
        <f>SUM(E658:E658)+1358376.7</f>
        <v>1358376.7</v>
      </c>
      <c r="F657" s="30">
        <f t="shared" ref="F657:K657" si="527">SUM(F658:F658)</f>
        <v>0</v>
      </c>
      <c r="G657" s="30">
        <f t="shared" si="527"/>
        <v>0</v>
      </c>
      <c r="H657" s="30">
        <f t="shared" si="527"/>
        <v>0</v>
      </c>
      <c r="I657" s="30">
        <f t="shared" si="527"/>
        <v>0</v>
      </c>
      <c r="J657" s="30">
        <f t="shared" si="527"/>
        <v>0</v>
      </c>
      <c r="K657" s="30">
        <f t="shared" si="527"/>
        <v>0</v>
      </c>
      <c r="L657" s="30">
        <f>SUM(L658:L658)+1358376.7</f>
        <v>1358376.7</v>
      </c>
      <c r="M657" s="30">
        <f>SUM(M658:M658)</f>
        <v>0</v>
      </c>
      <c r="N657" s="30">
        <f>SUM(N658:N658)</f>
        <v>0</v>
      </c>
      <c r="O657" s="30">
        <f>SUM(O658:O658)+1344350.21</f>
        <v>1344350.21</v>
      </c>
      <c r="P657" s="30">
        <f t="shared" ref="P657:U657" si="528">SUM(P658:P658)</f>
        <v>0</v>
      </c>
      <c r="Q657" s="30">
        <f t="shared" si="528"/>
        <v>0</v>
      </c>
      <c r="R657" s="30">
        <f t="shared" si="528"/>
        <v>0</v>
      </c>
      <c r="S657" s="30">
        <f t="shared" si="528"/>
        <v>0</v>
      </c>
      <c r="T657" s="30">
        <f t="shared" si="528"/>
        <v>0</v>
      </c>
      <c r="U657" s="30">
        <f t="shared" si="528"/>
        <v>0</v>
      </c>
      <c r="V657" s="30">
        <f>SUM(V658:V658)+1344350.21</f>
        <v>1344350.21</v>
      </c>
      <c r="W657" s="30">
        <f>SUM(W658:W658)</f>
        <v>0</v>
      </c>
      <c r="X657" s="30">
        <f>SUM(X658:X658)</f>
        <v>0</v>
      </c>
      <c r="Y657" s="29" t="s">
        <v>1854</v>
      </c>
      <c r="Z657" s="31" t="s">
        <v>40</v>
      </c>
      <c r="AA657" s="32" t="s">
        <v>1855</v>
      </c>
      <c r="AB657" s="32" t="s">
        <v>1856</v>
      </c>
      <c r="AC657" s="33" t="s">
        <v>1788</v>
      </c>
    </row>
    <row r="658" spans="1:29" ht="46.5" x14ac:dyDescent="0.25">
      <c r="A658" s="34" t="s">
        <v>1857</v>
      </c>
      <c r="B658" s="35" t="s">
        <v>1858</v>
      </c>
      <c r="C658" s="36"/>
      <c r="D658" s="36"/>
      <c r="E658" s="37">
        <v>0</v>
      </c>
      <c r="F658" s="37">
        <v>0</v>
      </c>
      <c r="G658" s="37">
        <v>0</v>
      </c>
      <c r="H658" s="37">
        <v>0</v>
      </c>
      <c r="I658" s="37">
        <v>0</v>
      </c>
      <c r="J658" s="37">
        <v>0</v>
      </c>
      <c r="K658" s="37">
        <v>0</v>
      </c>
      <c r="L658" s="37">
        <v>0</v>
      </c>
      <c r="M658" s="37">
        <v>0</v>
      </c>
      <c r="N658" s="37">
        <v>0</v>
      </c>
      <c r="O658" s="37">
        <v>0</v>
      </c>
      <c r="P658" s="37">
        <v>0</v>
      </c>
      <c r="Q658" s="37">
        <v>0</v>
      </c>
      <c r="R658" s="37">
        <v>0</v>
      </c>
      <c r="S658" s="37">
        <v>0</v>
      </c>
      <c r="T658" s="37">
        <v>0</v>
      </c>
      <c r="U658" s="37">
        <v>0</v>
      </c>
      <c r="V658" s="37">
        <v>0</v>
      </c>
      <c r="W658" s="37">
        <v>0</v>
      </c>
      <c r="X658" s="37">
        <v>0</v>
      </c>
      <c r="Y658" s="36"/>
      <c r="Z658" s="38"/>
      <c r="AA658" s="39"/>
      <c r="AB658" s="39"/>
      <c r="AC658" s="40"/>
    </row>
    <row r="659" spans="1:29" ht="46.5" x14ac:dyDescent="0.25">
      <c r="A659" s="27" t="s">
        <v>1859</v>
      </c>
      <c r="B659" s="28" t="s">
        <v>1860</v>
      </c>
      <c r="C659" s="29" t="s">
        <v>1479</v>
      </c>
      <c r="D659" s="29" t="s">
        <v>1622</v>
      </c>
      <c r="E659" s="30">
        <f>SUM(E660:E660)+197251.5</f>
        <v>197251.5</v>
      </c>
      <c r="F659" s="30">
        <f t="shared" ref="F659:K659" si="529">SUM(F660:F660)</f>
        <v>0</v>
      </c>
      <c r="G659" s="30">
        <f t="shared" si="529"/>
        <v>0</v>
      </c>
      <c r="H659" s="30">
        <f t="shared" si="529"/>
        <v>0</v>
      </c>
      <c r="I659" s="30">
        <f t="shared" si="529"/>
        <v>0</v>
      </c>
      <c r="J659" s="30">
        <f t="shared" si="529"/>
        <v>0</v>
      </c>
      <c r="K659" s="30">
        <f t="shared" si="529"/>
        <v>0</v>
      </c>
      <c r="L659" s="30">
        <f>SUM(L660:L660)+197251.5</f>
        <v>197251.5</v>
      </c>
      <c r="M659" s="30">
        <f>SUM(M660:M660)</f>
        <v>0</v>
      </c>
      <c r="N659" s="30">
        <f>SUM(N660:N660)</f>
        <v>0</v>
      </c>
      <c r="O659" s="30">
        <f>SUM(O660:O660)+196093.27</f>
        <v>196093.27</v>
      </c>
      <c r="P659" s="30">
        <f t="shared" ref="P659:U659" si="530">SUM(P660:P660)</f>
        <v>0</v>
      </c>
      <c r="Q659" s="30">
        <f t="shared" si="530"/>
        <v>0</v>
      </c>
      <c r="R659" s="30">
        <f t="shared" si="530"/>
        <v>0</v>
      </c>
      <c r="S659" s="30">
        <f t="shared" si="530"/>
        <v>0</v>
      </c>
      <c r="T659" s="30">
        <f t="shared" si="530"/>
        <v>0</v>
      </c>
      <c r="U659" s="30">
        <f t="shared" si="530"/>
        <v>0</v>
      </c>
      <c r="V659" s="30">
        <f>SUM(V660:V660)+196093.27</f>
        <v>196093.27</v>
      </c>
      <c r="W659" s="30">
        <f>SUM(W660:W660)</f>
        <v>0</v>
      </c>
      <c r="X659" s="30">
        <f>SUM(X660:X660)</f>
        <v>0</v>
      </c>
      <c r="Y659" s="29" t="s">
        <v>1861</v>
      </c>
      <c r="Z659" s="31" t="s">
        <v>40</v>
      </c>
      <c r="AA659" s="32" t="s">
        <v>41</v>
      </c>
      <c r="AB659" s="32" t="s">
        <v>41</v>
      </c>
      <c r="AC659" s="33"/>
    </row>
    <row r="660" spans="1:29" ht="46.5" x14ac:dyDescent="0.25">
      <c r="A660" s="34" t="s">
        <v>1862</v>
      </c>
      <c r="B660" s="35" t="s">
        <v>1863</v>
      </c>
      <c r="C660" s="36"/>
      <c r="D660" s="36"/>
      <c r="E660" s="37">
        <v>0</v>
      </c>
      <c r="F660" s="37">
        <v>0</v>
      </c>
      <c r="G660" s="37">
        <v>0</v>
      </c>
      <c r="H660" s="37">
        <v>0</v>
      </c>
      <c r="I660" s="37">
        <v>0</v>
      </c>
      <c r="J660" s="37">
        <v>0</v>
      </c>
      <c r="K660" s="37">
        <v>0</v>
      </c>
      <c r="L660" s="37">
        <v>0</v>
      </c>
      <c r="M660" s="37">
        <v>0</v>
      </c>
      <c r="N660" s="37">
        <v>0</v>
      </c>
      <c r="O660" s="37">
        <v>0</v>
      </c>
      <c r="P660" s="37">
        <v>0</v>
      </c>
      <c r="Q660" s="37">
        <v>0</v>
      </c>
      <c r="R660" s="37">
        <v>0</v>
      </c>
      <c r="S660" s="37">
        <v>0</v>
      </c>
      <c r="T660" s="37">
        <v>0</v>
      </c>
      <c r="U660" s="37">
        <v>0</v>
      </c>
      <c r="V660" s="37">
        <v>0</v>
      </c>
      <c r="W660" s="37">
        <v>0</v>
      </c>
      <c r="X660" s="37">
        <v>0</v>
      </c>
      <c r="Y660" s="36"/>
      <c r="Z660" s="38"/>
      <c r="AA660" s="39"/>
      <c r="AB660" s="39"/>
      <c r="AC660" s="40"/>
    </row>
    <row r="661" spans="1:29" ht="69.75" x14ac:dyDescent="0.25">
      <c r="A661" s="27" t="s">
        <v>1864</v>
      </c>
      <c r="B661" s="28" t="s">
        <v>1865</v>
      </c>
      <c r="C661" s="29" t="s">
        <v>1479</v>
      </c>
      <c r="D661" s="29" t="s">
        <v>1622</v>
      </c>
      <c r="E661" s="30">
        <f>SUM(E662:E662)+420053.3</f>
        <v>420053.3</v>
      </c>
      <c r="F661" s="30">
        <f t="shared" ref="F661:K661" si="531">SUM(F662:F662)</f>
        <v>0</v>
      </c>
      <c r="G661" s="30">
        <f t="shared" si="531"/>
        <v>0</v>
      </c>
      <c r="H661" s="30">
        <f t="shared" si="531"/>
        <v>0</v>
      </c>
      <c r="I661" s="30">
        <f t="shared" si="531"/>
        <v>0</v>
      </c>
      <c r="J661" s="30">
        <f t="shared" si="531"/>
        <v>0</v>
      </c>
      <c r="K661" s="30">
        <f t="shared" si="531"/>
        <v>0</v>
      </c>
      <c r="L661" s="30">
        <f>SUM(L662:L662)+420053.3</f>
        <v>420053.3</v>
      </c>
      <c r="M661" s="30">
        <f>SUM(M662:M662)</f>
        <v>0</v>
      </c>
      <c r="N661" s="30">
        <f>SUM(N662:N662)</f>
        <v>0</v>
      </c>
      <c r="O661" s="30">
        <f>SUM(O662:O662)+417224.44</f>
        <v>417224.44</v>
      </c>
      <c r="P661" s="30">
        <f t="shared" ref="P661:U661" si="532">SUM(P662:P662)</f>
        <v>0</v>
      </c>
      <c r="Q661" s="30">
        <f t="shared" si="532"/>
        <v>0</v>
      </c>
      <c r="R661" s="30">
        <f t="shared" si="532"/>
        <v>0</v>
      </c>
      <c r="S661" s="30">
        <f t="shared" si="532"/>
        <v>0</v>
      </c>
      <c r="T661" s="30">
        <f t="shared" si="532"/>
        <v>0</v>
      </c>
      <c r="U661" s="30">
        <f t="shared" si="532"/>
        <v>0</v>
      </c>
      <c r="V661" s="30">
        <f>SUM(V662:V662)+417224.44</f>
        <v>417224.44</v>
      </c>
      <c r="W661" s="30">
        <f>SUM(W662:W662)</f>
        <v>0</v>
      </c>
      <c r="X661" s="30">
        <f>SUM(X662:X662)</f>
        <v>0</v>
      </c>
      <c r="Y661" s="29" t="s">
        <v>1866</v>
      </c>
      <c r="Z661" s="31" t="s">
        <v>40</v>
      </c>
      <c r="AA661" s="32" t="s">
        <v>1525</v>
      </c>
      <c r="AB661" s="32" t="s">
        <v>1867</v>
      </c>
      <c r="AC661" s="33" t="s">
        <v>1788</v>
      </c>
    </row>
    <row r="662" spans="1:29" ht="69.75" x14ac:dyDescent="0.25">
      <c r="A662" s="34" t="s">
        <v>1868</v>
      </c>
      <c r="B662" s="35" t="s">
        <v>1869</v>
      </c>
      <c r="C662" s="36"/>
      <c r="D662" s="36"/>
      <c r="E662" s="37">
        <v>0</v>
      </c>
      <c r="F662" s="37">
        <v>0</v>
      </c>
      <c r="G662" s="37">
        <v>0</v>
      </c>
      <c r="H662" s="37">
        <v>0</v>
      </c>
      <c r="I662" s="37">
        <v>0</v>
      </c>
      <c r="J662" s="37">
        <v>0</v>
      </c>
      <c r="K662" s="37">
        <v>0</v>
      </c>
      <c r="L662" s="37">
        <v>0</v>
      </c>
      <c r="M662" s="37">
        <v>0</v>
      </c>
      <c r="N662" s="37">
        <v>0</v>
      </c>
      <c r="O662" s="37">
        <v>0</v>
      </c>
      <c r="P662" s="37">
        <v>0</v>
      </c>
      <c r="Q662" s="37">
        <v>0</v>
      </c>
      <c r="R662" s="37">
        <v>0</v>
      </c>
      <c r="S662" s="37">
        <v>0</v>
      </c>
      <c r="T662" s="37">
        <v>0</v>
      </c>
      <c r="U662" s="37">
        <v>0</v>
      </c>
      <c r="V662" s="37">
        <v>0</v>
      </c>
      <c r="W662" s="37">
        <v>0</v>
      </c>
      <c r="X662" s="37">
        <v>0</v>
      </c>
      <c r="Y662" s="36"/>
      <c r="Z662" s="38"/>
      <c r="AA662" s="39"/>
      <c r="AB662" s="39"/>
      <c r="AC662" s="40"/>
    </row>
    <row r="663" spans="1:29" ht="93" x14ac:dyDescent="0.25">
      <c r="A663" s="27" t="s">
        <v>1870</v>
      </c>
      <c r="B663" s="28" t="s">
        <v>1871</v>
      </c>
      <c r="C663" s="29" t="s">
        <v>1479</v>
      </c>
      <c r="D663" s="29" t="s">
        <v>1671</v>
      </c>
      <c r="E663" s="30">
        <f>SUM(E664:E664)+46798</f>
        <v>46798</v>
      </c>
      <c r="F663" s="30">
        <f t="shared" ref="F663:K663" si="533">SUM(F664:F664)</f>
        <v>0</v>
      </c>
      <c r="G663" s="30">
        <f t="shared" si="533"/>
        <v>0</v>
      </c>
      <c r="H663" s="30">
        <f t="shared" si="533"/>
        <v>0</v>
      </c>
      <c r="I663" s="30">
        <f t="shared" si="533"/>
        <v>0</v>
      </c>
      <c r="J663" s="30">
        <f t="shared" si="533"/>
        <v>0</v>
      </c>
      <c r="K663" s="30">
        <f t="shared" si="533"/>
        <v>0</v>
      </c>
      <c r="L663" s="30">
        <f>SUM(L664:L664)+46798</f>
        <v>46798</v>
      </c>
      <c r="M663" s="30">
        <f>SUM(M664:M664)</f>
        <v>0</v>
      </c>
      <c r="N663" s="30">
        <f>SUM(N664:N664)</f>
        <v>0</v>
      </c>
      <c r="O663" s="30">
        <f>SUM(O664:O664)+46280.86</f>
        <v>46280.86</v>
      </c>
      <c r="P663" s="30">
        <f t="shared" ref="P663:U663" si="534">SUM(P664:P664)</f>
        <v>0</v>
      </c>
      <c r="Q663" s="30">
        <f t="shared" si="534"/>
        <v>0</v>
      </c>
      <c r="R663" s="30">
        <f t="shared" si="534"/>
        <v>0</v>
      </c>
      <c r="S663" s="30">
        <f t="shared" si="534"/>
        <v>0</v>
      </c>
      <c r="T663" s="30">
        <f t="shared" si="534"/>
        <v>0</v>
      </c>
      <c r="U663" s="30">
        <f t="shared" si="534"/>
        <v>0</v>
      </c>
      <c r="V663" s="30">
        <f>SUM(V664:V664)+46280.86</f>
        <v>46280.86</v>
      </c>
      <c r="W663" s="30">
        <f>SUM(W664:W664)</f>
        <v>0</v>
      </c>
      <c r="X663" s="30">
        <f>SUM(X664:X664)</f>
        <v>0</v>
      </c>
      <c r="Y663" s="29" t="s">
        <v>1861</v>
      </c>
      <c r="Z663" s="31" t="s">
        <v>40</v>
      </c>
      <c r="AA663" s="32" t="s">
        <v>69</v>
      </c>
      <c r="AB663" s="32" t="s">
        <v>69</v>
      </c>
      <c r="AC663" s="33"/>
    </row>
    <row r="664" spans="1:29" ht="46.5" x14ac:dyDescent="0.25">
      <c r="A664" s="34" t="s">
        <v>1872</v>
      </c>
      <c r="B664" s="35" t="s">
        <v>1873</v>
      </c>
      <c r="C664" s="36"/>
      <c r="D664" s="36"/>
      <c r="E664" s="37">
        <v>0</v>
      </c>
      <c r="F664" s="37">
        <v>0</v>
      </c>
      <c r="G664" s="37">
        <v>0</v>
      </c>
      <c r="H664" s="37">
        <v>0</v>
      </c>
      <c r="I664" s="37">
        <v>0</v>
      </c>
      <c r="J664" s="37">
        <v>0</v>
      </c>
      <c r="K664" s="37">
        <v>0</v>
      </c>
      <c r="L664" s="37">
        <v>0</v>
      </c>
      <c r="M664" s="37">
        <v>0</v>
      </c>
      <c r="N664" s="37">
        <v>0</v>
      </c>
      <c r="O664" s="37">
        <v>0</v>
      </c>
      <c r="P664" s="37">
        <v>0</v>
      </c>
      <c r="Q664" s="37">
        <v>0</v>
      </c>
      <c r="R664" s="37">
        <v>0</v>
      </c>
      <c r="S664" s="37">
        <v>0</v>
      </c>
      <c r="T664" s="37">
        <v>0</v>
      </c>
      <c r="U664" s="37">
        <v>0</v>
      </c>
      <c r="V664" s="37">
        <v>0</v>
      </c>
      <c r="W664" s="37">
        <v>0</v>
      </c>
      <c r="X664" s="37">
        <v>0</v>
      </c>
      <c r="Y664" s="36"/>
      <c r="Z664" s="38"/>
      <c r="AA664" s="39"/>
      <c r="AB664" s="39"/>
      <c r="AC664" s="40"/>
    </row>
    <row r="665" spans="1:29" ht="69.75" x14ac:dyDescent="0.25">
      <c r="A665" s="27" t="s">
        <v>1874</v>
      </c>
      <c r="B665" s="28" t="s">
        <v>1875</v>
      </c>
      <c r="C665" s="29" t="s">
        <v>827</v>
      </c>
      <c r="D665" s="29" t="s">
        <v>828</v>
      </c>
      <c r="E665" s="30">
        <f>SUM(E666:E666)+2830</f>
        <v>2830</v>
      </c>
      <c r="F665" s="30">
        <f>SUM(F666:F666)+2830</f>
        <v>2830</v>
      </c>
      <c r="G665" s="30">
        <f t="shared" ref="G665:N665" si="535">SUM(G666:G666)</f>
        <v>0</v>
      </c>
      <c r="H665" s="30">
        <f t="shared" si="535"/>
        <v>0</v>
      </c>
      <c r="I665" s="30">
        <f t="shared" si="535"/>
        <v>0</v>
      </c>
      <c r="J665" s="30">
        <f t="shared" si="535"/>
        <v>0</v>
      </c>
      <c r="K665" s="30">
        <f t="shared" si="535"/>
        <v>0</v>
      </c>
      <c r="L665" s="30">
        <f t="shared" si="535"/>
        <v>0</v>
      </c>
      <c r="M665" s="30">
        <f t="shared" si="535"/>
        <v>0</v>
      </c>
      <c r="N665" s="30">
        <f t="shared" si="535"/>
        <v>0</v>
      </c>
      <c r="O665" s="30">
        <f>SUM(O666:O666)+2829.31</f>
        <v>2829.31</v>
      </c>
      <c r="P665" s="30">
        <f>SUM(P666:P666)+2829.31</f>
        <v>2829.31</v>
      </c>
      <c r="Q665" s="30">
        <f t="shared" ref="Q665:X665" si="536">SUM(Q666:Q666)</f>
        <v>0</v>
      </c>
      <c r="R665" s="30">
        <f t="shared" si="536"/>
        <v>0</v>
      </c>
      <c r="S665" s="30">
        <f t="shared" si="536"/>
        <v>0</v>
      </c>
      <c r="T665" s="30">
        <f t="shared" si="536"/>
        <v>0</v>
      </c>
      <c r="U665" s="30">
        <f t="shared" si="536"/>
        <v>0</v>
      </c>
      <c r="V665" s="30">
        <f t="shared" si="536"/>
        <v>0</v>
      </c>
      <c r="W665" s="30">
        <f t="shared" si="536"/>
        <v>0</v>
      </c>
      <c r="X665" s="30">
        <f t="shared" si="536"/>
        <v>0</v>
      </c>
      <c r="Y665" s="29" t="s">
        <v>1876</v>
      </c>
      <c r="Z665" s="31" t="s">
        <v>40</v>
      </c>
      <c r="AA665" s="32" t="s">
        <v>106</v>
      </c>
      <c r="AB665" s="32" t="s">
        <v>47</v>
      </c>
      <c r="AC665" s="33" t="s">
        <v>1877</v>
      </c>
    </row>
    <row r="666" spans="1:29" ht="46.5" x14ac:dyDescent="0.25">
      <c r="A666" s="34" t="s">
        <v>1878</v>
      </c>
      <c r="B666" s="35" t="s">
        <v>1879</v>
      </c>
      <c r="C666" s="36"/>
      <c r="D666" s="36"/>
      <c r="E666" s="37">
        <v>0</v>
      </c>
      <c r="F666" s="37">
        <v>0</v>
      </c>
      <c r="G666" s="37">
        <v>0</v>
      </c>
      <c r="H666" s="37">
        <v>0</v>
      </c>
      <c r="I666" s="37">
        <v>0</v>
      </c>
      <c r="J666" s="37">
        <v>0</v>
      </c>
      <c r="K666" s="37">
        <v>0</v>
      </c>
      <c r="L666" s="37">
        <v>0</v>
      </c>
      <c r="M666" s="37">
        <v>0</v>
      </c>
      <c r="N666" s="37">
        <v>0</v>
      </c>
      <c r="O666" s="37">
        <v>0</v>
      </c>
      <c r="P666" s="37">
        <v>0</v>
      </c>
      <c r="Q666" s="37">
        <v>0</v>
      </c>
      <c r="R666" s="37">
        <v>0</v>
      </c>
      <c r="S666" s="37">
        <v>0</v>
      </c>
      <c r="T666" s="37">
        <v>0</v>
      </c>
      <c r="U666" s="37">
        <v>0</v>
      </c>
      <c r="V666" s="37">
        <v>0</v>
      </c>
      <c r="W666" s="37">
        <v>0</v>
      </c>
      <c r="X666" s="37">
        <v>0</v>
      </c>
      <c r="Y666" s="36"/>
      <c r="Z666" s="38"/>
      <c r="AA666" s="39"/>
      <c r="AB666" s="39"/>
      <c r="AC666" s="40"/>
    </row>
    <row r="667" spans="1:29" ht="93" x14ac:dyDescent="0.25">
      <c r="A667" s="27" t="s">
        <v>1880</v>
      </c>
      <c r="B667" s="28" t="s">
        <v>1881</v>
      </c>
      <c r="C667" s="29" t="s">
        <v>836</v>
      </c>
      <c r="D667" s="29" t="s">
        <v>837</v>
      </c>
      <c r="E667" s="30">
        <f>SUM(E668:E668)+569</f>
        <v>569</v>
      </c>
      <c r="F667" s="30">
        <f>SUM(F668:F668)+569</f>
        <v>569</v>
      </c>
      <c r="G667" s="30">
        <f t="shared" ref="G667:N667" si="537">SUM(G668:G668)</f>
        <v>0</v>
      </c>
      <c r="H667" s="30">
        <f t="shared" si="537"/>
        <v>0</v>
      </c>
      <c r="I667" s="30">
        <f t="shared" si="537"/>
        <v>0</v>
      </c>
      <c r="J667" s="30">
        <f t="shared" si="537"/>
        <v>0</v>
      </c>
      <c r="K667" s="30">
        <f t="shared" si="537"/>
        <v>0</v>
      </c>
      <c r="L667" s="30">
        <f t="shared" si="537"/>
        <v>0</v>
      </c>
      <c r="M667" s="30">
        <f t="shared" si="537"/>
        <v>0</v>
      </c>
      <c r="N667" s="30">
        <f t="shared" si="537"/>
        <v>0</v>
      </c>
      <c r="O667" s="30">
        <f>SUM(O668:O668)+568.36</f>
        <v>568.36</v>
      </c>
      <c r="P667" s="30">
        <f>SUM(P668:P668)+568.36</f>
        <v>568.36</v>
      </c>
      <c r="Q667" s="30">
        <f t="shared" ref="Q667:X667" si="538">SUM(Q668:Q668)</f>
        <v>0</v>
      </c>
      <c r="R667" s="30">
        <f t="shared" si="538"/>
        <v>0</v>
      </c>
      <c r="S667" s="30">
        <f t="shared" si="538"/>
        <v>0</v>
      </c>
      <c r="T667" s="30">
        <f t="shared" si="538"/>
        <v>0</v>
      </c>
      <c r="U667" s="30">
        <f t="shared" si="538"/>
        <v>0</v>
      </c>
      <c r="V667" s="30">
        <f t="shared" si="538"/>
        <v>0</v>
      </c>
      <c r="W667" s="30">
        <f t="shared" si="538"/>
        <v>0</v>
      </c>
      <c r="X667" s="30">
        <f t="shared" si="538"/>
        <v>0</v>
      </c>
      <c r="Y667" s="29" t="s">
        <v>1876</v>
      </c>
      <c r="Z667" s="31" t="s">
        <v>40</v>
      </c>
      <c r="AA667" s="32" t="s">
        <v>370</v>
      </c>
      <c r="AB667" s="32" t="s">
        <v>47</v>
      </c>
      <c r="AC667" s="33" t="s">
        <v>1877</v>
      </c>
    </row>
    <row r="668" spans="1:29" ht="46.5" x14ac:dyDescent="0.25">
      <c r="A668" s="34" t="s">
        <v>1882</v>
      </c>
      <c r="B668" s="35" t="s">
        <v>1879</v>
      </c>
      <c r="C668" s="36"/>
      <c r="D668" s="36"/>
      <c r="E668" s="37">
        <v>0</v>
      </c>
      <c r="F668" s="37">
        <v>0</v>
      </c>
      <c r="G668" s="37">
        <v>0</v>
      </c>
      <c r="H668" s="37">
        <v>0</v>
      </c>
      <c r="I668" s="37">
        <v>0</v>
      </c>
      <c r="J668" s="37">
        <v>0</v>
      </c>
      <c r="K668" s="37">
        <v>0</v>
      </c>
      <c r="L668" s="37">
        <v>0</v>
      </c>
      <c r="M668" s="37">
        <v>0</v>
      </c>
      <c r="N668" s="37">
        <v>0</v>
      </c>
      <c r="O668" s="37">
        <v>0</v>
      </c>
      <c r="P668" s="37">
        <v>0</v>
      </c>
      <c r="Q668" s="37">
        <v>0</v>
      </c>
      <c r="R668" s="37">
        <v>0</v>
      </c>
      <c r="S668" s="37">
        <v>0</v>
      </c>
      <c r="T668" s="37">
        <v>0</v>
      </c>
      <c r="U668" s="37">
        <v>0</v>
      </c>
      <c r="V668" s="37">
        <v>0</v>
      </c>
      <c r="W668" s="37">
        <v>0</v>
      </c>
      <c r="X668" s="37">
        <v>0</v>
      </c>
      <c r="Y668" s="36"/>
      <c r="Z668" s="38"/>
      <c r="AA668" s="39"/>
      <c r="AB668" s="39"/>
      <c r="AC668" s="40"/>
    </row>
    <row r="669" spans="1:29" ht="93" x14ac:dyDescent="0.25">
      <c r="A669" s="27" t="s">
        <v>1883</v>
      </c>
      <c r="B669" s="28" t="s">
        <v>1884</v>
      </c>
      <c r="C669" s="29" t="s">
        <v>98</v>
      </c>
      <c r="D669" s="29" t="s">
        <v>842</v>
      </c>
      <c r="E669" s="30">
        <f>SUM(E670:E670)+3770</f>
        <v>3770</v>
      </c>
      <c r="F669" s="30">
        <f>SUM(F670:F670)+3770</f>
        <v>3770</v>
      </c>
      <c r="G669" s="30">
        <f t="shared" ref="G669:N669" si="539">SUM(G670:G670)</f>
        <v>0</v>
      </c>
      <c r="H669" s="30">
        <f t="shared" si="539"/>
        <v>0</v>
      </c>
      <c r="I669" s="30">
        <f t="shared" si="539"/>
        <v>0</v>
      </c>
      <c r="J669" s="30">
        <f t="shared" si="539"/>
        <v>0</v>
      </c>
      <c r="K669" s="30">
        <f t="shared" si="539"/>
        <v>0</v>
      </c>
      <c r="L669" s="30">
        <f t="shared" si="539"/>
        <v>0</v>
      </c>
      <c r="M669" s="30">
        <f t="shared" si="539"/>
        <v>0</v>
      </c>
      <c r="N669" s="30">
        <f t="shared" si="539"/>
        <v>0</v>
      </c>
      <c r="O669" s="30">
        <f>SUM(O670:O670)+3770</f>
        <v>3770</v>
      </c>
      <c r="P669" s="30">
        <f>SUM(P670:P670)+3770</f>
        <v>3770</v>
      </c>
      <c r="Q669" s="30">
        <f t="shared" ref="Q669:X669" si="540">SUM(Q670:Q670)</f>
        <v>0</v>
      </c>
      <c r="R669" s="30">
        <f t="shared" si="540"/>
        <v>0</v>
      </c>
      <c r="S669" s="30">
        <f t="shared" si="540"/>
        <v>0</v>
      </c>
      <c r="T669" s="30">
        <f t="shared" si="540"/>
        <v>0</v>
      </c>
      <c r="U669" s="30">
        <f t="shared" si="540"/>
        <v>0</v>
      </c>
      <c r="V669" s="30">
        <f t="shared" si="540"/>
        <v>0</v>
      </c>
      <c r="W669" s="30">
        <f t="shared" si="540"/>
        <v>0</v>
      </c>
      <c r="X669" s="30">
        <f t="shared" si="540"/>
        <v>0</v>
      </c>
      <c r="Y669" s="29" t="s">
        <v>1876</v>
      </c>
      <c r="Z669" s="31" t="s">
        <v>40</v>
      </c>
      <c r="AA669" s="32" t="s">
        <v>177</v>
      </c>
      <c r="AB669" s="32" t="s">
        <v>267</v>
      </c>
      <c r="AC669" s="33" t="s">
        <v>1877</v>
      </c>
    </row>
    <row r="670" spans="1:29" ht="46.5" x14ac:dyDescent="0.25">
      <c r="A670" s="34" t="s">
        <v>1885</v>
      </c>
      <c r="B670" s="35" t="s">
        <v>1879</v>
      </c>
      <c r="C670" s="36"/>
      <c r="D670" s="36"/>
      <c r="E670" s="37">
        <v>0</v>
      </c>
      <c r="F670" s="37">
        <v>0</v>
      </c>
      <c r="G670" s="37">
        <v>0</v>
      </c>
      <c r="H670" s="37">
        <v>0</v>
      </c>
      <c r="I670" s="37">
        <v>0</v>
      </c>
      <c r="J670" s="37">
        <v>0</v>
      </c>
      <c r="K670" s="37">
        <v>0</v>
      </c>
      <c r="L670" s="37">
        <v>0</v>
      </c>
      <c r="M670" s="37">
        <v>0</v>
      </c>
      <c r="N670" s="37">
        <v>0</v>
      </c>
      <c r="O670" s="37">
        <v>0</v>
      </c>
      <c r="P670" s="37">
        <v>0</v>
      </c>
      <c r="Q670" s="37">
        <v>0</v>
      </c>
      <c r="R670" s="37">
        <v>0</v>
      </c>
      <c r="S670" s="37">
        <v>0</v>
      </c>
      <c r="T670" s="37">
        <v>0</v>
      </c>
      <c r="U670" s="37">
        <v>0</v>
      </c>
      <c r="V670" s="37">
        <v>0</v>
      </c>
      <c r="W670" s="37">
        <v>0</v>
      </c>
      <c r="X670" s="37">
        <v>0</v>
      </c>
      <c r="Y670" s="36"/>
      <c r="Z670" s="38"/>
      <c r="AA670" s="39"/>
      <c r="AB670" s="39"/>
      <c r="AC670" s="40"/>
    </row>
    <row r="671" spans="1:29" ht="69.75" x14ac:dyDescent="0.25">
      <c r="A671" s="27" t="s">
        <v>1886</v>
      </c>
      <c r="B671" s="28" t="s">
        <v>1887</v>
      </c>
      <c r="C671" s="29" t="s">
        <v>847</v>
      </c>
      <c r="D671" s="29" t="s">
        <v>848</v>
      </c>
      <c r="E671" s="30">
        <f>SUM(E672:E672)+2970</f>
        <v>2970</v>
      </c>
      <c r="F671" s="30">
        <f>SUM(F672:F672)+2970</f>
        <v>2970</v>
      </c>
      <c r="G671" s="30">
        <f t="shared" ref="G671:N671" si="541">SUM(G672:G672)</f>
        <v>0</v>
      </c>
      <c r="H671" s="30">
        <f t="shared" si="541"/>
        <v>0</v>
      </c>
      <c r="I671" s="30">
        <f t="shared" si="541"/>
        <v>0</v>
      </c>
      <c r="J671" s="30">
        <f t="shared" si="541"/>
        <v>0</v>
      </c>
      <c r="K671" s="30">
        <f t="shared" si="541"/>
        <v>0</v>
      </c>
      <c r="L671" s="30">
        <f t="shared" si="541"/>
        <v>0</v>
      </c>
      <c r="M671" s="30">
        <f t="shared" si="541"/>
        <v>0</v>
      </c>
      <c r="N671" s="30">
        <f t="shared" si="541"/>
        <v>0</v>
      </c>
      <c r="O671" s="30">
        <f>SUM(O672:O672)+2969.85</f>
        <v>2969.85</v>
      </c>
      <c r="P671" s="30">
        <f>SUM(P672:P672)+2969.85</f>
        <v>2969.85</v>
      </c>
      <c r="Q671" s="30">
        <f t="shared" ref="Q671:X671" si="542">SUM(Q672:Q672)</f>
        <v>0</v>
      </c>
      <c r="R671" s="30">
        <f t="shared" si="542"/>
        <v>0</v>
      </c>
      <c r="S671" s="30">
        <f t="shared" si="542"/>
        <v>0</v>
      </c>
      <c r="T671" s="30">
        <f t="shared" si="542"/>
        <v>0</v>
      </c>
      <c r="U671" s="30">
        <f t="shared" si="542"/>
        <v>0</v>
      </c>
      <c r="V671" s="30">
        <f t="shared" si="542"/>
        <v>0</v>
      </c>
      <c r="W671" s="30">
        <f t="shared" si="542"/>
        <v>0</v>
      </c>
      <c r="X671" s="30">
        <f t="shared" si="542"/>
        <v>0</v>
      </c>
      <c r="Y671" s="29" t="s">
        <v>1876</v>
      </c>
      <c r="Z671" s="31" t="s">
        <v>40</v>
      </c>
      <c r="AA671" s="32" t="s">
        <v>106</v>
      </c>
      <c r="AB671" s="32" t="s">
        <v>70</v>
      </c>
      <c r="AC671" s="33" t="s">
        <v>1877</v>
      </c>
    </row>
    <row r="672" spans="1:29" ht="46.5" x14ac:dyDescent="0.25">
      <c r="A672" s="34" t="s">
        <v>1888</v>
      </c>
      <c r="B672" s="35" t="s">
        <v>1879</v>
      </c>
      <c r="C672" s="36"/>
      <c r="D672" s="36"/>
      <c r="E672" s="37">
        <v>0</v>
      </c>
      <c r="F672" s="37">
        <v>0</v>
      </c>
      <c r="G672" s="37">
        <v>0</v>
      </c>
      <c r="H672" s="37">
        <v>0</v>
      </c>
      <c r="I672" s="37">
        <v>0</v>
      </c>
      <c r="J672" s="37">
        <v>0</v>
      </c>
      <c r="K672" s="37">
        <v>0</v>
      </c>
      <c r="L672" s="37">
        <v>0</v>
      </c>
      <c r="M672" s="37">
        <v>0</v>
      </c>
      <c r="N672" s="37">
        <v>0</v>
      </c>
      <c r="O672" s="37">
        <v>0</v>
      </c>
      <c r="P672" s="37">
        <v>0</v>
      </c>
      <c r="Q672" s="37">
        <v>0</v>
      </c>
      <c r="R672" s="37">
        <v>0</v>
      </c>
      <c r="S672" s="37">
        <v>0</v>
      </c>
      <c r="T672" s="37">
        <v>0</v>
      </c>
      <c r="U672" s="37">
        <v>0</v>
      </c>
      <c r="V672" s="37">
        <v>0</v>
      </c>
      <c r="W672" s="37">
        <v>0</v>
      </c>
      <c r="X672" s="37">
        <v>0</v>
      </c>
      <c r="Y672" s="36"/>
      <c r="Z672" s="38"/>
      <c r="AA672" s="39"/>
      <c r="AB672" s="39"/>
      <c r="AC672" s="40"/>
    </row>
    <row r="673" spans="1:29" ht="93" x14ac:dyDescent="0.25">
      <c r="A673" s="27" t="s">
        <v>1889</v>
      </c>
      <c r="B673" s="28" t="s">
        <v>1890</v>
      </c>
      <c r="C673" s="29" t="s">
        <v>105</v>
      </c>
      <c r="D673" s="29" t="s">
        <v>853</v>
      </c>
      <c r="E673" s="30">
        <f>SUM(E674:E674)+990</f>
        <v>990</v>
      </c>
      <c r="F673" s="30">
        <f>SUM(F674:F674)+990</f>
        <v>990</v>
      </c>
      <c r="G673" s="30">
        <f t="shared" ref="G673:N673" si="543">SUM(G674:G674)</f>
        <v>0</v>
      </c>
      <c r="H673" s="30">
        <f t="shared" si="543"/>
        <v>0</v>
      </c>
      <c r="I673" s="30">
        <f t="shared" si="543"/>
        <v>0</v>
      </c>
      <c r="J673" s="30">
        <f t="shared" si="543"/>
        <v>0</v>
      </c>
      <c r="K673" s="30">
        <f t="shared" si="543"/>
        <v>0</v>
      </c>
      <c r="L673" s="30">
        <f t="shared" si="543"/>
        <v>0</v>
      </c>
      <c r="M673" s="30">
        <f t="shared" si="543"/>
        <v>0</v>
      </c>
      <c r="N673" s="30">
        <f t="shared" si="543"/>
        <v>0</v>
      </c>
      <c r="O673" s="30">
        <f>SUM(O674:O674)+987.41</f>
        <v>987.41</v>
      </c>
      <c r="P673" s="30">
        <f>SUM(P674:P674)+987.41</f>
        <v>987.41</v>
      </c>
      <c r="Q673" s="30">
        <f t="shared" ref="Q673:X673" si="544">SUM(Q674:Q674)</f>
        <v>0</v>
      </c>
      <c r="R673" s="30">
        <f t="shared" si="544"/>
        <v>0</v>
      </c>
      <c r="S673" s="30">
        <f t="shared" si="544"/>
        <v>0</v>
      </c>
      <c r="T673" s="30">
        <f t="shared" si="544"/>
        <v>0</v>
      </c>
      <c r="U673" s="30">
        <f t="shared" si="544"/>
        <v>0</v>
      </c>
      <c r="V673" s="30">
        <f t="shared" si="544"/>
        <v>0</v>
      </c>
      <c r="W673" s="30">
        <f t="shared" si="544"/>
        <v>0</v>
      </c>
      <c r="X673" s="30">
        <f t="shared" si="544"/>
        <v>0</v>
      </c>
      <c r="Y673" s="29" t="s">
        <v>1876</v>
      </c>
      <c r="Z673" s="31" t="s">
        <v>40</v>
      </c>
      <c r="AA673" s="32" t="s">
        <v>69</v>
      </c>
      <c r="AB673" s="32" t="s">
        <v>390</v>
      </c>
      <c r="AC673" s="33" t="s">
        <v>1891</v>
      </c>
    </row>
    <row r="674" spans="1:29" ht="46.5" x14ac:dyDescent="0.25">
      <c r="A674" s="34" t="s">
        <v>1892</v>
      </c>
      <c r="B674" s="35" t="s">
        <v>1879</v>
      </c>
      <c r="C674" s="36"/>
      <c r="D674" s="36"/>
      <c r="E674" s="37">
        <v>0</v>
      </c>
      <c r="F674" s="37">
        <v>0</v>
      </c>
      <c r="G674" s="37">
        <v>0</v>
      </c>
      <c r="H674" s="37">
        <v>0</v>
      </c>
      <c r="I674" s="37">
        <v>0</v>
      </c>
      <c r="J674" s="37">
        <v>0</v>
      </c>
      <c r="K674" s="37">
        <v>0</v>
      </c>
      <c r="L674" s="37">
        <v>0</v>
      </c>
      <c r="M674" s="37">
        <v>0</v>
      </c>
      <c r="N674" s="37">
        <v>0</v>
      </c>
      <c r="O674" s="37">
        <v>0</v>
      </c>
      <c r="P674" s="37">
        <v>0</v>
      </c>
      <c r="Q674" s="37">
        <v>0</v>
      </c>
      <c r="R674" s="37">
        <v>0</v>
      </c>
      <c r="S674" s="37">
        <v>0</v>
      </c>
      <c r="T674" s="37">
        <v>0</v>
      </c>
      <c r="U674" s="37">
        <v>0</v>
      </c>
      <c r="V674" s="37">
        <v>0</v>
      </c>
      <c r="W674" s="37">
        <v>0</v>
      </c>
      <c r="X674" s="37">
        <v>0</v>
      </c>
      <c r="Y674" s="36"/>
      <c r="Z674" s="38"/>
      <c r="AA674" s="39"/>
      <c r="AB674" s="39"/>
      <c r="AC674" s="40"/>
    </row>
    <row r="675" spans="1:29" ht="93" x14ac:dyDescent="0.25">
      <c r="A675" s="27" t="s">
        <v>1893</v>
      </c>
      <c r="B675" s="28" t="s">
        <v>1894</v>
      </c>
      <c r="C675" s="29" t="s">
        <v>110</v>
      </c>
      <c r="D675" s="29" t="s">
        <v>858</v>
      </c>
      <c r="E675" s="30">
        <f>SUM(E676:E676)+2950</f>
        <v>2950</v>
      </c>
      <c r="F675" s="30">
        <f>SUM(F676:F676)+2950</f>
        <v>2950</v>
      </c>
      <c r="G675" s="30">
        <f t="shared" ref="G675:N675" si="545">SUM(G676:G676)</f>
        <v>0</v>
      </c>
      <c r="H675" s="30">
        <f t="shared" si="545"/>
        <v>0</v>
      </c>
      <c r="I675" s="30">
        <f t="shared" si="545"/>
        <v>0</v>
      </c>
      <c r="J675" s="30">
        <f t="shared" si="545"/>
        <v>0</v>
      </c>
      <c r="K675" s="30">
        <f t="shared" si="545"/>
        <v>0</v>
      </c>
      <c r="L675" s="30">
        <f t="shared" si="545"/>
        <v>0</v>
      </c>
      <c r="M675" s="30">
        <f t="shared" si="545"/>
        <v>0</v>
      </c>
      <c r="N675" s="30">
        <f t="shared" si="545"/>
        <v>0</v>
      </c>
      <c r="O675" s="30">
        <f>SUM(O676:O676)+2949.7</f>
        <v>2949.7</v>
      </c>
      <c r="P675" s="30">
        <f>SUM(P676:P676)+2949.7</f>
        <v>2949.7</v>
      </c>
      <c r="Q675" s="30">
        <f t="shared" ref="Q675:X675" si="546">SUM(Q676:Q676)</f>
        <v>0</v>
      </c>
      <c r="R675" s="30">
        <f t="shared" si="546"/>
        <v>0</v>
      </c>
      <c r="S675" s="30">
        <f t="shared" si="546"/>
        <v>0</v>
      </c>
      <c r="T675" s="30">
        <f t="shared" si="546"/>
        <v>0</v>
      </c>
      <c r="U675" s="30">
        <f t="shared" si="546"/>
        <v>0</v>
      </c>
      <c r="V675" s="30">
        <f t="shared" si="546"/>
        <v>0</v>
      </c>
      <c r="W675" s="30">
        <f t="shared" si="546"/>
        <v>0</v>
      </c>
      <c r="X675" s="30">
        <f t="shared" si="546"/>
        <v>0</v>
      </c>
      <c r="Y675" s="29" t="s">
        <v>1876</v>
      </c>
      <c r="Z675" s="31" t="s">
        <v>40</v>
      </c>
      <c r="AA675" s="32" t="s">
        <v>678</v>
      </c>
      <c r="AB675" s="32" t="s">
        <v>267</v>
      </c>
      <c r="AC675" s="33" t="s">
        <v>1895</v>
      </c>
    </row>
    <row r="676" spans="1:29" ht="46.5" x14ac:dyDescent="0.25">
      <c r="A676" s="34" t="s">
        <v>1896</v>
      </c>
      <c r="B676" s="35" t="s">
        <v>1879</v>
      </c>
      <c r="C676" s="36"/>
      <c r="D676" s="36"/>
      <c r="E676" s="37">
        <v>0</v>
      </c>
      <c r="F676" s="37">
        <v>0</v>
      </c>
      <c r="G676" s="37">
        <v>0</v>
      </c>
      <c r="H676" s="37">
        <v>0</v>
      </c>
      <c r="I676" s="37">
        <v>0</v>
      </c>
      <c r="J676" s="37">
        <v>0</v>
      </c>
      <c r="K676" s="37">
        <v>0</v>
      </c>
      <c r="L676" s="37">
        <v>0</v>
      </c>
      <c r="M676" s="37">
        <v>0</v>
      </c>
      <c r="N676" s="37">
        <v>0</v>
      </c>
      <c r="O676" s="37">
        <v>0</v>
      </c>
      <c r="P676" s="37">
        <v>0</v>
      </c>
      <c r="Q676" s="37">
        <v>0</v>
      </c>
      <c r="R676" s="37">
        <v>0</v>
      </c>
      <c r="S676" s="37">
        <v>0</v>
      </c>
      <c r="T676" s="37">
        <v>0</v>
      </c>
      <c r="U676" s="37">
        <v>0</v>
      </c>
      <c r="V676" s="37">
        <v>0</v>
      </c>
      <c r="W676" s="37">
        <v>0</v>
      </c>
      <c r="X676" s="37">
        <v>0</v>
      </c>
      <c r="Y676" s="36"/>
      <c r="Z676" s="38"/>
      <c r="AA676" s="39"/>
      <c r="AB676" s="39"/>
      <c r="AC676" s="40"/>
    </row>
    <row r="677" spans="1:29" ht="69.75" x14ac:dyDescent="0.25">
      <c r="A677" s="27" t="s">
        <v>1897</v>
      </c>
      <c r="B677" s="28" t="s">
        <v>1898</v>
      </c>
      <c r="C677" s="29" t="s">
        <v>117</v>
      </c>
      <c r="D677" s="29" t="s">
        <v>863</v>
      </c>
      <c r="E677" s="30">
        <f>SUM(E678:E678)+1430</f>
        <v>1430</v>
      </c>
      <c r="F677" s="30">
        <f>SUM(F678:F678)+1430</f>
        <v>1430</v>
      </c>
      <c r="G677" s="30">
        <f t="shared" ref="G677:N677" si="547">SUM(G678:G678)</f>
        <v>0</v>
      </c>
      <c r="H677" s="30">
        <f t="shared" si="547"/>
        <v>0</v>
      </c>
      <c r="I677" s="30">
        <f t="shared" si="547"/>
        <v>0</v>
      </c>
      <c r="J677" s="30">
        <f t="shared" si="547"/>
        <v>0</v>
      </c>
      <c r="K677" s="30">
        <f t="shared" si="547"/>
        <v>0</v>
      </c>
      <c r="L677" s="30">
        <f t="shared" si="547"/>
        <v>0</v>
      </c>
      <c r="M677" s="30">
        <f t="shared" si="547"/>
        <v>0</v>
      </c>
      <c r="N677" s="30">
        <f t="shared" si="547"/>
        <v>0</v>
      </c>
      <c r="O677" s="30">
        <f>SUM(O678:O678)+1430</f>
        <v>1430</v>
      </c>
      <c r="P677" s="30">
        <f>SUM(P678:P678)+1430</f>
        <v>1430</v>
      </c>
      <c r="Q677" s="30">
        <f t="shared" ref="Q677:X677" si="548">SUM(Q678:Q678)</f>
        <v>0</v>
      </c>
      <c r="R677" s="30">
        <f t="shared" si="548"/>
        <v>0</v>
      </c>
      <c r="S677" s="30">
        <f t="shared" si="548"/>
        <v>0</v>
      </c>
      <c r="T677" s="30">
        <f t="shared" si="548"/>
        <v>0</v>
      </c>
      <c r="U677" s="30">
        <f t="shared" si="548"/>
        <v>0</v>
      </c>
      <c r="V677" s="30">
        <f t="shared" si="548"/>
        <v>0</v>
      </c>
      <c r="W677" s="30">
        <f t="shared" si="548"/>
        <v>0</v>
      </c>
      <c r="X677" s="30">
        <f t="shared" si="548"/>
        <v>0</v>
      </c>
      <c r="Y677" s="29" t="s">
        <v>1876</v>
      </c>
      <c r="Z677" s="31" t="s">
        <v>40</v>
      </c>
      <c r="AA677" s="32" t="s">
        <v>1013</v>
      </c>
      <c r="AB677" s="32" t="s">
        <v>176</v>
      </c>
      <c r="AC677" s="33" t="s">
        <v>1899</v>
      </c>
    </row>
    <row r="678" spans="1:29" ht="46.5" x14ac:dyDescent="0.25">
      <c r="A678" s="34" t="s">
        <v>1900</v>
      </c>
      <c r="B678" s="35" t="s">
        <v>1879</v>
      </c>
      <c r="C678" s="36"/>
      <c r="D678" s="36"/>
      <c r="E678" s="37">
        <v>0</v>
      </c>
      <c r="F678" s="37">
        <v>0</v>
      </c>
      <c r="G678" s="37">
        <v>0</v>
      </c>
      <c r="H678" s="37">
        <v>0</v>
      </c>
      <c r="I678" s="37">
        <v>0</v>
      </c>
      <c r="J678" s="37">
        <v>0</v>
      </c>
      <c r="K678" s="37">
        <v>0</v>
      </c>
      <c r="L678" s="37">
        <v>0</v>
      </c>
      <c r="M678" s="37">
        <v>0</v>
      </c>
      <c r="N678" s="37">
        <v>0</v>
      </c>
      <c r="O678" s="37">
        <v>0</v>
      </c>
      <c r="P678" s="37">
        <v>0</v>
      </c>
      <c r="Q678" s="37">
        <v>0</v>
      </c>
      <c r="R678" s="37">
        <v>0</v>
      </c>
      <c r="S678" s="37">
        <v>0</v>
      </c>
      <c r="T678" s="37">
        <v>0</v>
      </c>
      <c r="U678" s="37">
        <v>0</v>
      </c>
      <c r="V678" s="37">
        <v>0</v>
      </c>
      <c r="W678" s="37">
        <v>0</v>
      </c>
      <c r="X678" s="37">
        <v>0</v>
      </c>
      <c r="Y678" s="36"/>
      <c r="Z678" s="38"/>
      <c r="AA678" s="39"/>
      <c r="AB678" s="39"/>
      <c r="AC678" s="40"/>
    </row>
    <row r="679" spans="1:29" ht="69.75" x14ac:dyDescent="0.25">
      <c r="A679" s="27" t="s">
        <v>1901</v>
      </c>
      <c r="B679" s="28" t="s">
        <v>1902</v>
      </c>
      <c r="C679" s="29" t="s">
        <v>868</v>
      </c>
      <c r="D679" s="29" t="s">
        <v>869</v>
      </c>
      <c r="E679" s="30">
        <f>SUM(E680:E680)+2160</f>
        <v>2160</v>
      </c>
      <c r="F679" s="30">
        <f>SUM(F680:F680)+2160</f>
        <v>2160</v>
      </c>
      <c r="G679" s="30">
        <f t="shared" ref="G679:N679" si="549">SUM(G680:G680)</f>
        <v>0</v>
      </c>
      <c r="H679" s="30">
        <f t="shared" si="549"/>
        <v>0</v>
      </c>
      <c r="I679" s="30">
        <f t="shared" si="549"/>
        <v>0</v>
      </c>
      <c r="J679" s="30">
        <f t="shared" si="549"/>
        <v>0</v>
      </c>
      <c r="K679" s="30">
        <f t="shared" si="549"/>
        <v>0</v>
      </c>
      <c r="L679" s="30">
        <f t="shared" si="549"/>
        <v>0</v>
      </c>
      <c r="M679" s="30">
        <f t="shared" si="549"/>
        <v>0</v>
      </c>
      <c r="N679" s="30">
        <f t="shared" si="549"/>
        <v>0</v>
      </c>
      <c r="O679" s="30">
        <f>SUM(O680:O680)+2159.52</f>
        <v>2159.52</v>
      </c>
      <c r="P679" s="30">
        <f>SUM(P680:P680)+2159.52</f>
        <v>2159.52</v>
      </c>
      <c r="Q679" s="30">
        <f t="shared" ref="Q679:X679" si="550">SUM(Q680:Q680)</f>
        <v>0</v>
      </c>
      <c r="R679" s="30">
        <f t="shared" si="550"/>
        <v>0</v>
      </c>
      <c r="S679" s="30">
        <f t="shared" si="550"/>
        <v>0</v>
      </c>
      <c r="T679" s="30">
        <f t="shared" si="550"/>
        <v>0</v>
      </c>
      <c r="U679" s="30">
        <f t="shared" si="550"/>
        <v>0</v>
      </c>
      <c r="V679" s="30">
        <f t="shared" si="550"/>
        <v>0</v>
      </c>
      <c r="W679" s="30">
        <f t="shared" si="550"/>
        <v>0</v>
      </c>
      <c r="X679" s="30">
        <f t="shared" si="550"/>
        <v>0</v>
      </c>
      <c r="Y679" s="29" t="s">
        <v>1876</v>
      </c>
      <c r="Z679" s="31" t="s">
        <v>40</v>
      </c>
      <c r="AA679" s="32" t="s">
        <v>176</v>
      </c>
      <c r="AB679" s="32" t="s">
        <v>73</v>
      </c>
      <c r="AC679" s="33" t="s">
        <v>1903</v>
      </c>
    </row>
    <row r="680" spans="1:29" ht="46.5" x14ac:dyDescent="0.25">
      <c r="A680" s="34" t="s">
        <v>1904</v>
      </c>
      <c r="B680" s="35" t="s">
        <v>1879</v>
      </c>
      <c r="C680" s="36"/>
      <c r="D680" s="36"/>
      <c r="E680" s="37">
        <v>0</v>
      </c>
      <c r="F680" s="37">
        <v>0</v>
      </c>
      <c r="G680" s="37">
        <v>0</v>
      </c>
      <c r="H680" s="37">
        <v>0</v>
      </c>
      <c r="I680" s="37">
        <v>0</v>
      </c>
      <c r="J680" s="37">
        <v>0</v>
      </c>
      <c r="K680" s="37">
        <v>0</v>
      </c>
      <c r="L680" s="37">
        <v>0</v>
      </c>
      <c r="M680" s="37">
        <v>0</v>
      </c>
      <c r="N680" s="37">
        <v>0</v>
      </c>
      <c r="O680" s="37">
        <v>0</v>
      </c>
      <c r="P680" s="37">
        <v>0</v>
      </c>
      <c r="Q680" s="37">
        <v>0</v>
      </c>
      <c r="R680" s="37">
        <v>0</v>
      </c>
      <c r="S680" s="37">
        <v>0</v>
      </c>
      <c r="T680" s="37">
        <v>0</v>
      </c>
      <c r="U680" s="37">
        <v>0</v>
      </c>
      <c r="V680" s="37">
        <v>0</v>
      </c>
      <c r="W680" s="37">
        <v>0</v>
      </c>
      <c r="X680" s="37">
        <v>0</v>
      </c>
      <c r="Y680" s="36"/>
      <c r="Z680" s="38"/>
      <c r="AA680" s="39"/>
      <c r="AB680" s="39"/>
      <c r="AC680" s="40"/>
    </row>
    <row r="681" spans="1:29" ht="69.75" x14ac:dyDescent="0.25">
      <c r="A681" s="27" t="s">
        <v>1905</v>
      </c>
      <c r="B681" s="28" t="s">
        <v>1906</v>
      </c>
      <c r="C681" s="29" t="s">
        <v>874</v>
      </c>
      <c r="D681" s="29" t="s">
        <v>875</v>
      </c>
      <c r="E681" s="30">
        <f>SUM(E682:E682)+850</f>
        <v>850</v>
      </c>
      <c r="F681" s="30">
        <f>SUM(F682:F682)+850</f>
        <v>850</v>
      </c>
      <c r="G681" s="30">
        <f t="shared" ref="G681:N681" si="551">SUM(G682:G682)</f>
        <v>0</v>
      </c>
      <c r="H681" s="30">
        <f t="shared" si="551"/>
        <v>0</v>
      </c>
      <c r="I681" s="30">
        <f t="shared" si="551"/>
        <v>0</v>
      </c>
      <c r="J681" s="30">
        <f t="shared" si="551"/>
        <v>0</v>
      </c>
      <c r="K681" s="30">
        <f t="shared" si="551"/>
        <v>0</v>
      </c>
      <c r="L681" s="30">
        <f t="shared" si="551"/>
        <v>0</v>
      </c>
      <c r="M681" s="30">
        <f t="shared" si="551"/>
        <v>0</v>
      </c>
      <c r="N681" s="30">
        <f t="shared" si="551"/>
        <v>0</v>
      </c>
      <c r="O681" s="30">
        <f>SUM(O682:O682)+849.9</f>
        <v>849.9</v>
      </c>
      <c r="P681" s="30">
        <f>SUM(P682:P682)+849.9</f>
        <v>849.9</v>
      </c>
      <c r="Q681" s="30">
        <f t="shared" ref="Q681:X681" si="552">SUM(Q682:Q682)</f>
        <v>0</v>
      </c>
      <c r="R681" s="30">
        <f t="shared" si="552"/>
        <v>0</v>
      </c>
      <c r="S681" s="30">
        <f t="shared" si="552"/>
        <v>0</v>
      </c>
      <c r="T681" s="30">
        <f t="shared" si="552"/>
        <v>0</v>
      </c>
      <c r="U681" s="30">
        <f t="shared" si="552"/>
        <v>0</v>
      </c>
      <c r="V681" s="30">
        <f t="shared" si="552"/>
        <v>0</v>
      </c>
      <c r="W681" s="30">
        <f t="shared" si="552"/>
        <v>0</v>
      </c>
      <c r="X681" s="30">
        <f t="shared" si="552"/>
        <v>0</v>
      </c>
      <c r="Y681" s="29" t="s">
        <v>1876</v>
      </c>
      <c r="Z681" s="31" t="s">
        <v>40</v>
      </c>
      <c r="AA681" s="32" t="s">
        <v>69</v>
      </c>
      <c r="AB681" s="32" t="s">
        <v>69</v>
      </c>
      <c r="AC681" s="33"/>
    </row>
    <row r="682" spans="1:29" ht="46.5" x14ac:dyDescent="0.25">
      <c r="A682" s="34" t="s">
        <v>1907</v>
      </c>
      <c r="B682" s="35" t="s">
        <v>1879</v>
      </c>
      <c r="C682" s="36"/>
      <c r="D682" s="36"/>
      <c r="E682" s="37">
        <v>0</v>
      </c>
      <c r="F682" s="37">
        <v>0</v>
      </c>
      <c r="G682" s="37">
        <v>0</v>
      </c>
      <c r="H682" s="37">
        <v>0</v>
      </c>
      <c r="I682" s="37">
        <v>0</v>
      </c>
      <c r="J682" s="37">
        <v>0</v>
      </c>
      <c r="K682" s="37">
        <v>0</v>
      </c>
      <c r="L682" s="37">
        <v>0</v>
      </c>
      <c r="M682" s="37">
        <v>0</v>
      </c>
      <c r="N682" s="37">
        <v>0</v>
      </c>
      <c r="O682" s="37">
        <v>0</v>
      </c>
      <c r="P682" s="37">
        <v>0</v>
      </c>
      <c r="Q682" s="37">
        <v>0</v>
      </c>
      <c r="R682" s="37">
        <v>0</v>
      </c>
      <c r="S682" s="37">
        <v>0</v>
      </c>
      <c r="T682" s="37">
        <v>0</v>
      </c>
      <c r="U682" s="37">
        <v>0</v>
      </c>
      <c r="V682" s="37">
        <v>0</v>
      </c>
      <c r="W682" s="37">
        <v>0</v>
      </c>
      <c r="X682" s="37">
        <v>0</v>
      </c>
      <c r="Y682" s="36"/>
      <c r="Z682" s="38"/>
      <c r="AA682" s="39"/>
      <c r="AB682" s="39"/>
      <c r="AC682" s="40"/>
    </row>
    <row r="683" spans="1:29" ht="93" x14ac:dyDescent="0.25">
      <c r="A683" s="27" t="s">
        <v>1908</v>
      </c>
      <c r="B683" s="28" t="s">
        <v>1909</v>
      </c>
      <c r="C683" s="29" t="s">
        <v>880</v>
      </c>
      <c r="D683" s="29" t="s">
        <v>881</v>
      </c>
      <c r="E683" s="30">
        <f>SUM(E684:E684)+800</f>
        <v>800</v>
      </c>
      <c r="F683" s="30">
        <f>SUM(F684:F684)+800</f>
        <v>800</v>
      </c>
      <c r="G683" s="30">
        <f t="shared" ref="G683:N683" si="553">SUM(G684:G684)</f>
        <v>0</v>
      </c>
      <c r="H683" s="30">
        <f t="shared" si="553"/>
        <v>0</v>
      </c>
      <c r="I683" s="30">
        <f t="shared" si="553"/>
        <v>0</v>
      </c>
      <c r="J683" s="30">
        <f t="shared" si="553"/>
        <v>0</v>
      </c>
      <c r="K683" s="30">
        <f t="shared" si="553"/>
        <v>0</v>
      </c>
      <c r="L683" s="30">
        <f t="shared" si="553"/>
        <v>0</v>
      </c>
      <c r="M683" s="30">
        <f t="shared" si="553"/>
        <v>0</v>
      </c>
      <c r="N683" s="30">
        <f t="shared" si="553"/>
        <v>0</v>
      </c>
      <c r="O683" s="30">
        <f>SUM(O684:O684)+799.89</f>
        <v>799.89</v>
      </c>
      <c r="P683" s="30">
        <f>SUM(P684:P684)+799.89</f>
        <v>799.89</v>
      </c>
      <c r="Q683" s="30">
        <f t="shared" ref="Q683:X683" si="554">SUM(Q684:Q684)</f>
        <v>0</v>
      </c>
      <c r="R683" s="30">
        <f t="shared" si="554"/>
        <v>0</v>
      </c>
      <c r="S683" s="30">
        <f t="shared" si="554"/>
        <v>0</v>
      </c>
      <c r="T683" s="30">
        <f t="shared" si="554"/>
        <v>0</v>
      </c>
      <c r="U683" s="30">
        <f t="shared" si="554"/>
        <v>0</v>
      </c>
      <c r="V683" s="30">
        <f t="shared" si="554"/>
        <v>0</v>
      </c>
      <c r="W683" s="30">
        <f t="shared" si="554"/>
        <v>0</v>
      </c>
      <c r="X683" s="30">
        <f t="shared" si="554"/>
        <v>0</v>
      </c>
      <c r="Y683" s="29" t="s">
        <v>1876</v>
      </c>
      <c r="Z683" s="31" t="s">
        <v>40</v>
      </c>
      <c r="AA683" s="32" t="s">
        <v>106</v>
      </c>
      <c r="AB683" s="32" t="s">
        <v>47</v>
      </c>
      <c r="AC683" s="33" t="s">
        <v>1910</v>
      </c>
    </row>
    <row r="684" spans="1:29" ht="46.5" x14ac:dyDescent="0.25">
      <c r="A684" s="34" t="s">
        <v>1911</v>
      </c>
      <c r="B684" s="35" t="s">
        <v>1879</v>
      </c>
      <c r="C684" s="36"/>
      <c r="D684" s="36"/>
      <c r="E684" s="37">
        <v>0</v>
      </c>
      <c r="F684" s="37">
        <v>0</v>
      </c>
      <c r="G684" s="37">
        <v>0</v>
      </c>
      <c r="H684" s="37">
        <v>0</v>
      </c>
      <c r="I684" s="37">
        <v>0</v>
      </c>
      <c r="J684" s="37">
        <v>0</v>
      </c>
      <c r="K684" s="37">
        <v>0</v>
      </c>
      <c r="L684" s="37">
        <v>0</v>
      </c>
      <c r="M684" s="37">
        <v>0</v>
      </c>
      <c r="N684" s="37">
        <v>0</v>
      </c>
      <c r="O684" s="37">
        <v>0</v>
      </c>
      <c r="P684" s="37">
        <v>0</v>
      </c>
      <c r="Q684" s="37">
        <v>0</v>
      </c>
      <c r="R684" s="37">
        <v>0</v>
      </c>
      <c r="S684" s="37">
        <v>0</v>
      </c>
      <c r="T684" s="37">
        <v>0</v>
      </c>
      <c r="U684" s="37">
        <v>0</v>
      </c>
      <c r="V684" s="37">
        <v>0</v>
      </c>
      <c r="W684" s="37">
        <v>0</v>
      </c>
      <c r="X684" s="37">
        <v>0</v>
      </c>
      <c r="Y684" s="36"/>
      <c r="Z684" s="38"/>
      <c r="AA684" s="39"/>
      <c r="AB684" s="39"/>
      <c r="AC684" s="40"/>
    </row>
    <row r="685" spans="1:29" ht="69.75" x14ac:dyDescent="0.25">
      <c r="A685" s="27" t="s">
        <v>1912</v>
      </c>
      <c r="B685" s="28" t="s">
        <v>1913</v>
      </c>
      <c r="C685" s="29" t="s">
        <v>888</v>
      </c>
      <c r="D685" s="29" t="s">
        <v>889</v>
      </c>
      <c r="E685" s="30">
        <f t="shared" ref="E685:X685" si="555">SUM(E686:E686)</f>
        <v>0</v>
      </c>
      <c r="F685" s="30">
        <f t="shared" si="555"/>
        <v>0</v>
      </c>
      <c r="G685" s="30">
        <f t="shared" si="555"/>
        <v>0</v>
      </c>
      <c r="H685" s="30">
        <f t="shared" si="555"/>
        <v>0</v>
      </c>
      <c r="I685" s="30">
        <f t="shared" si="555"/>
        <v>0</v>
      </c>
      <c r="J685" s="30">
        <f t="shared" si="555"/>
        <v>0</v>
      </c>
      <c r="K685" s="30">
        <f t="shared" si="555"/>
        <v>0</v>
      </c>
      <c r="L685" s="30">
        <f t="shared" si="555"/>
        <v>0</v>
      </c>
      <c r="M685" s="30">
        <f t="shared" si="555"/>
        <v>0</v>
      </c>
      <c r="N685" s="30">
        <f t="shared" si="555"/>
        <v>0</v>
      </c>
      <c r="O685" s="30">
        <f t="shared" si="555"/>
        <v>0</v>
      </c>
      <c r="P685" s="30">
        <f t="shared" si="555"/>
        <v>0</v>
      </c>
      <c r="Q685" s="30">
        <f t="shared" si="555"/>
        <v>0</v>
      </c>
      <c r="R685" s="30">
        <f t="shared" si="555"/>
        <v>0</v>
      </c>
      <c r="S685" s="30">
        <f t="shared" si="555"/>
        <v>0</v>
      </c>
      <c r="T685" s="30">
        <f t="shared" si="555"/>
        <v>0</v>
      </c>
      <c r="U685" s="30">
        <f t="shared" si="555"/>
        <v>0</v>
      </c>
      <c r="V685" s="30">
        <f t="shared" si="555"/>
        <v>0</v>
      </c>
      <c r="W685" s="30">
        <f t="shared" si="555"/>
        <v>0</v>
      </c>
      <c r="X685" s="30">
        <f t="shared" si="555"/>
        <v>0</v>
      </c>
      <c r="Y685" s="29" t="s">
        <v>1876</v>
      </c>
      <c r="Z685" s="31" t="s">
        <v>40</v>
      </c>
      <c r="AA685" s="32" t="s">
        <v>267</v>
      </c>
      <c r="AB685" s="32" t="s">
        <v>47</v>
      </c>
      <c r="AC685" s="33" t="s">
        <v>1914</v>
      </c>
    </row>
    <row r="686" spans="1:29" ht="46.5" x14ac:dyDescent="0.25">
      <c r="A686" s="34" t="s">
        <v>1915</v>
      </c>
      <c r="B686" s="35" t="s">
        <v>1879</v>
      </c>
      <c r="C686" s="36"/>
      <c r="D686" s="36"/>
      <c r="E686" s="37">
        <v>0</v>
      </c>
      <c r="F686" s="37">
        <v>0</v>
      </c>
      <c r="G686" s="37">
        <v>0</v>
      </c>
      <c r="H686" s="37">
        <v>0</v>
      </c>
      <c r="I686" s="37">
        <v>0</v>
      </c>
      <c r="J686" s="37">
        <v>0</v>
      </c>
      <c r="K686" s="37">
        <v>0</v>
      </c>
      <c r="L686" s="37">
        <v>0</v>
      </c>
      <c r="M686" s="37">
        <v>0</v>
      </c>
      <c r="N686" s="37">
        <v>0</v>
      </c>
      <c r="O686" s="37">
        <v>0</v>
      </c>
      <c r="P686" s="37">
        <v>0</v>
      </c>
      <c r="Q686" s="37">
        <v>0</v>
      </c>
      <c r="R686" s="37">
        <v>0</v>
      </c>
      <c r="S686" s="37">
        <v>0</v>
      </c>
      <c r="T686" s="37">
        <v>0</v>
      </c>
      <c r="U686" s="37">
        <v>0</v>
      </c>
      <c r="V686" s="37">
        <v>0</v>
      </c>
      <c r="W686" s="37">
        <v>0</v>
      </c>
      <c r="X686" s="37">
        <v>0</v>
      </c>
      <c r="Y686" s="36"/>
      <c r="Z686" s="38"/>
      <c r="AA686" s="39"/>
      <c r="AB686" s="39"/>
      <c r="AC686" s="40"/>
    </row>
    <row r="687" spans="1:29" ht="93" x14ac:dyDescent="0.25">
      <c r="A687" s="27" t="s">
        <v>1916</v>
      </c>
      <c r="B687" s="28" t="s">
        <v>1917</v>
      </c>
      <c r="C687" s="29" t="s">
        <v>894</v>
      </c>
      <c r="D687" s="29" t="s">
        <v>895</v>
      </c>
      <c r="E687" s="30">
        <f>SUM(E688:E688)+3600</f>
        <v>3600</v>
      </c>
      <c r="F687" s="30">
        <f>SUM(F688:F688)+3600</f>
        <v>3600</v>
      </c>
      <c r="G687" s="30">
        <f t="shared" ref="G687:N687" si="556">SUM(G688:G688)</f>
        <v>0</v>
      </c>
      <c r="H687" s="30">
        <f t="shared" si="556"/>
        <v>0</v>
      </c>
      <c r="I687" s="30">
        <f t="shared" si="556"/>
        <v>0</v>
      </c>
      <c r="J687" s="30">
        <f t="shared" si="556"/>
        <v>0</v>
      </c>
      <c r="K687" s="30">
        <f t="shared" si="556"/>
        <v>0</v>
      </c>
      <c r="L687" s="30">
        <f t="shared" si="556"/>
        <v>0</v>
      </c>
      <c r="M687" s="30">
        <f t="shared" si="556"/>
        <v>0</v>
      </c>
      <c r="N687" s="30">
        <f t="shared" si="556"/>
        <v>0</v>
      </c>
      <c r="O687" s="30">
        <f>SUM(O688:O688)+3599.55</f>
        <v>3599.55</v>
      </c>
      <c r="P687" s="30">
        <f>SUM(P688:P688)+3599.55</f>
        <v>3599.55</v>
      </c>
      <c r="Q687" s="30">
        <f t="shared" ref="Q687:X687" si="557">SUM(Q688:Q688)</f>
        <v>0</v>
      </c>
      <c r="R687" s="30">
        <f t="shared" si="557"/>
        <v>0</v>
      </c>
      <c r="S687" s="30">
        <f t="shared" si="557"/>
        <v>0</v>
      </c>
      <c r="T687" s="30">
        <f t="shared" si="557"/>
        <v>0</v>
      </c>
      <c r="U687" s="30">
        <f t="shared" si="557"/>
        <v>0</v>
      </c>
      <c r="V687" s="30">
        <f t="shared" si="557"/>
        <v>0</v>
      </c>
      <c r="W687" s="30">
        <f t="shared" si="557"/>
        <v>0</v>
      </c>
      <c r="X687" s="30">
        <f t="shared" si="557"/>
        <v>0</v>
      </c>
      <c r="Y687" s="29" t="s">
        <v>1876</v>
      </c>
      <c r="Z687" s="31" t="s">
        <v>40</v>
      </c>
      <c r="AA687" s="32" t="s">
        <v>69</v>
      </c>
      <c r="AB687" s="32" t="s">
        <v>47</v>
      </c>
      <c r="AC687" s="33" t="s">
        <v>1918</v>
      </c>
    </row>
    <row r="688" spans="1:29" ht="46.5" x14ac:dyDescent="0.25">
      <c r="A688" s="34" t="s">
        <v>1919</v>
      </c>
      <c r="B688" s="35" t="s">
        <v>1879</v>
      </c>
      <c r="C688" s="36"/>
      <c r="D688" s="36"/>
      <c r="E688" s="37">
        <v>0</v>
      </c>
      <c r="F688" s="37">
        <v>0</v>
      </c>
      <c r="G688" s="37">
        <v>0</v>
      </c>
      <c r="H688" s="37">
        <v>0</v>
      </c>
      <c r="I688" s="37">
        <v>0</v>
      </c>
      <c r="J688" s="37">
        <v>0</v>
      </c>
      <c r="K688" s="37">
        <v>0</v>
      </c>
      <c r="L688" s="37">
        <v>0</v>
      </c>
      <c r="M688" s="37">
        <v>0</v>
      </c>
      <c r="N688" s="37">
        <v>0</v>
      </c>
      <c r="O688" s="37">
        <v>0</v>
      </c>
      <c r="P688" s="37">
        <v>0</v>
      </c>
      <c r="Q688" s="37">
        <v>0</v>
      </c>
      <c r="R688" s="37">
        <v>0</v>
      </c>
      <c r="S688" s="37">
        <v>0</v>
      </c>
      <c r="T688" s="37">
        <v>0</v>
      </c>
      <c r="U688" s="37">
        <v>0</v>
      </c>
      <c r="V688" s="37">
        <v>0</v>
      </c>
      <c r="W688" s="37">
        <v>0</v>
      </c>
      <c r="X688" s="37">
        <v>0</v>
      </c>
      <c r="Y688" s="36"/>
      <c r="Z688" s="38"/>
      <c r="AA688" s="39"/>
      <c r="AB688" s="39"/>
      <c r="AC688" s="40"/>
    </row>
    <row r="689" spans="1:29" ht="69.75" x14ac:dyDescent="0.25">
      <c r="A689" s="27" t="s">
        <v>1920</v>
      </c>
      <c r="B689" s="28" t="s">
        <v>1921</v>
      </c>
      <c r="C689" s="29" t="s">
        <v>900</v>
      </c>
      <c r="D689" s="29" t="s">
        <v>901</v>
      </c>
      <c r="E689" s="30">
        <f>SUM(E690:E690)+5800</f>
        <v>5800</v>
      </c>
      <c r="F689" s="30">
        <f>SUM(F690:F690)+5800</f>
        <v>5800</v>
      </c>
      <c r="G689" s="30">
        <f t="shared" ref="G689:N689" si="558">SUM(G690:G690)</f>
        <v>0</v>
      </c>
      <c r="H689" s="30">
        <f t="shared" si="558"/>
        <v>0</v>
      </c>
      <c r="I689" s="30">
        <f t="shared" si="558"/>
        <v>0</v>
      </c>
      <c r="J689" s="30">
        <f t="shared" si="558"/>
        <v>0</v>
      </c>
      <c r="K689" s="30">
        <f t="shared" si="558"/>
        <v>0</v>
      </c>
      <c r="L689" s="30">
        <f t="shared" si="558"/>
        <v>0</v>
      </c>
      <c r="M689" s="30">
        <f t="shared" si="558"/>
        <v>0</v>
      </c>
      <c r="N689" s="30">
        <f t="shared" si="558"/>
        <v>0</v>
      </c>
      <c r="O689" s="30">
        <f>SUM(O690:O690)+5800</f>
        <v>5800</v>
      </c>
      <c r="P689" s="30">
        <f>SUM(P690:P690)+5800</f>
        <v>5800</v>
      </c>
      <c r="Q689" s="30">
        <f t="shared" ref="Q689:X689" si="559">SUM(Q690:Q690)</f>
        <v>0</v>
      </c>
      <c r="R689" s="30">
        <f t="shared" si="559"/>
        <v>0</v>
      </c>
      <c r="S689" s="30">
        <f t="shared" si="559"/>
        <v>0</v>
      </c>
      <c r="T689" s="30">
        <f t="shared" si="559"/>
        <v>0</v>
      </c>
      <c r="U689" s="30">
        <f t="shared" si="559"/>
        <v>0</v>
      </c>
      <c r="V689" s="30">
        <f t="shared" si="559"/>
        <v>0</v>
      </c>
      <c r="W689" s="30">
        <f t="shared" si="559"/>
        <v>0</v>
      </c>
      <c r="X689" s="30">
        <f t="shared" si="559"/>
        <v>0</v>
      </c>
      <c r="Y689" s="29" t="s">
        <v>1876</v>
      </c>
      <c r="Z689" s="31" t="s">
        <v>40</v>
      </c>
      <c r="AA689" s="32" t="s">
        <v>1811</v>
      </c>
      <c r="AB689" s="32" t="s">
        <v>1922</v>
      </c>
      <c r="AC689" s="33" t="s">
        <v>1923</v>
      </c>
    </row>
    <row r="690" spans="1:29" ht="46.5" x14ac:dyDescent="0.25">
      <c r="A690" s="34" t="s">
        <v>1924</v>
      </c>
      <c r="B690" s="35" t="s">
        <v>1879</v>
      </c>
      <c r="C690" s="36"/>
      <c r="D690" s="36"/>
      <c r="E690" s="37">
        <v>0</v>
      </c>
      <c r="F690" s="37">
        <v>0</v>
      </c>
      <c r="G690" s="37">
        <v>0</v>
      </c>
      <c r="H690" s="37">
        <v>0</v>
      </c>
      <c r="I690" s="37">
        <v>0</v>
      </c>
      <c r="J690" s="37">
        <v>0</v>
      </c>
      <c r="K690" s="37">
        <v>0</v>
      </c>
      <c r="L690" s="37">
        <v>0</v>
      </c>
      <c r="M690" s="37">
        <v>0</v>
      </c>
      <c r="N690" s="37">
        <v>0</v>
      </c>
      <c r="O690" s="37">
        <v>0</v>
      </c>
      <c r="P690" s="37">
        <v>0</v>
      </c>
      <c r="Q690" s="37">
        <v>0</v>
      </c>
      <c r="R690" s="37">
        <v>0</v>
      </c>
      <c r="S690" s="37">
        <v>0</v>
      </c>
      <c r="T690" s="37">
        <v>0</v>
      </c>
      <c r="U690" s="37">
        <v>0</v>
      </c>
      <c r="V690" s="37">
        <v>0</v>
      </c>
      <c r="W690" s="37">
        <v>0</v>
      </c>
      <c r="X690" s="37">
        <v>0</v>
      </c>
      <c r="Y690" s="36"/>
      <c r="Z690" s="38"/>
      <c r="AA690" s="39"/>
      <c r="AB690" s="39"/>
      <c r="AC690" s="40"/>
    </row>
    <row r="691" spans="1:29" ht="93" x14ac:dyDescent="0.25">
      <c r="A691" s="27" t="s">
        <v>1925</v>
      </c>
      <c r="B691" s="28" t="s">
        <v>1926</v>
      </c>
      <c r="C691" s="29" t="s">
        <v>906</v>
      </c>
      <c r="D691" s="29" t="s">
        <v>907</v>
      </c>
      <c r="E691" s="30">
        <f>SUM(E692:E692)+1930</f>
        <v>1930</v>
      </c>
      <c r="F691" s="30">
        <f>SUM(F692:F692)+1930</f>
        <v>1930</v>
      </c>
      <c r="G691" s="30">
        <f t="shared" ref="G691:N691" si="560">SUM(G692:G692)</f>
        <v>0</v>
      </c>
      <c r="H691" s="30">
        <f t="shared" si="560"/>
        <v>0</v>
      </c>
      <c r="I691" s="30">
        <f t="shared" si="560"/>
        <v>0</v>
      </c>
      <c r="J691" s="30">
        <f t="shared" si="560"/>
        <v>0</v>
      </c>
      <c r="K691" s="30">
        <f t="shared" si="560"/>
        <v>0</v>
      </c>
      <c r="L691" s="30">
        <f t="shared" si="560"/>
        <v>0</v>
      </c>
      <c r="M691" s="30">
        <f t="shared" si="560"/>
        <v>0</v>
      </c>
      <c r="N691" s="30">
        <f t="shared" si="560"/>
        <v>0</v>
      </c>
      <c r="O691" s="30">
        <f>SUM(O692:O692)+1929.54</f>
        <v>1929.54</v>
      </c>
      <c r="P691" s="30">
        <f>SUM(P692:P692)+1929.54</f>
        <v>1929.54</v>
      </c>
      <c r="Q691" s="30">
        <f t="shared" ref="Q691:X691" si="561">SUM(Q692:Q692)</f>
        <v>0</v>
      </c>
      <c r="R691" s="30">
        <f t="shared" si="561"/>
        <v>0</v>
      </c>
      <c r="S691" s="30">
        <f t="shared" si="561"/>
        <v>0</v>
      </c>
      <c r="T691" s="30">
        <f t="shared" si="561"/>
        <v>0</v>
      </c>
      <c r="U691" s="30">
        <f t="shared" si="561"/>
        <v>0</v>
      </c>
      <c r="V691" s="30">
        <f t="shared" si="561"/>
        <v>0</v>
      </c>
      <c r="W691" s="30">
        <f t="shared" si="561"/>
        <v>0</v>
      </c>
      <c r="X691" s="30">
        <f t="shared" si="561"/>
        <v>0</v>
      </c>
      <c r="Y691" s="29" t="s">
        <v>1876</v>
      </c>
      <c r="Z691" s="31" t="s">
        <v>40</v>
      </c>
      <c r="AA691" s="32" t="s">
        <v>186</v>
      </c>
      <c r="AB691" s="32" t="s">
        <v>69</v>
      </c>
      <c r="AC691" s="33" t="s">
        <v>1903</v>
      </c>
    </row>
    <row r="692" spans="1:29" ht="46.5" x14ac:dyDescent="0.25">
      <c r="A692" s="34" t="s">
        <v>1927</v>
      </c>
      <c r="B692" s="35" t="s">
        <v>1879</v>
      </c>
      <c r="C692" s="36"/>
      <c r="D692" s="36"/>
      <c r="E692" s="37">
        <v>0</v>
      </c>
      <c r="F692" s="37">
        <v>0</v>
      </c>
      <c r="G692" s="37">
        <v>0</v>
      </c>
      <c r="H692" s="37">
        <v>0</v>
      </c>
      <c r="I692" s="37">
        <v>0</v>
      </c>
      <c r="J692" s="37">
        <v>0</v>
      </c>
      <c r="K692" s="37">
        <v>0</v>
      </c>
      <c r="L692" s="37">
        <v>0</v>
      </c>
      <c r="M692" s="37">
        <v>0</v>
      </c>
      <c r="N692" s="37">
        <v>0</v>
      </c>
      <c r="O692" s="37">
        <v>0</v>
      </c>
      <c r="P692" s="37">
        <v>0</v>
      </c>
      <c r="Q692" s="37">
        <v>0</v>
      </c>
      <c r="R692" s="37">
        <v>0</v>
      </c>
      <c r="S692" s="37">
        <v>0</v>
      </c>
      <c r="T692" s="37">
        <v>0</v>
      </c>
      <c r="U692" s="37">
        <v>0</v>
      </c>
      <c r="V692" s="37">
        <v>0</v>
      </c>
      <c r="W692" s="37">
        <v>0</v>
      </c>
      <c r="X692" s="37">
        <v>0</v>
      </c>
      <c r="Y692" s="36"/>
      <c r="Z692" s="38"/>
      <c r="AA692" s="39"/>
      <c r="AB692" s="39"/>
      <c r="AC692" s="40"/>
    </row>
    <row r="693" spans="1:29" ht="45" x14ac:dyDescent="0.25">
      <c r="A693" s="20" t="s">
        <v>1928</v>
      </c>
      <c r="B693" s="21" t="s">
        <v>1929</v>
      </c>
      <c r="C693" s="22" t="s">
        <v>1479</v>
      </c>
      <c r="D693" s="22" t="s">
        <v>1482</v>
      </c>
      <c r="E693" s="23">
        <f t="shared" ref="E693:X693" si="562">SUM(E694:E694)</f>
        <v>15697.5</v>
      </c>
      <c r="F693" s="23">
        <f t="shared" si="562"/>
        <v>15697.5</v>
      </c>
      <c r="G693" s="23">
        <f t="shared" si="562"/>
        <v>0</v>
      </c>
      <c r="H693" s="23">
        <f t="shared" si="562"/>
        <v>0</v>
      </c>
      <c r="I693" s="23">
        <f t="shared" si="562"/>
        <v>0</v>
      </c>
      <c r="J693" s="23">
        <f t="shared" si="562"/>
        <v>0</v>
      </c>
      <c r="K693" s="23">
        <f t="shared" si="562"/>
        <v>0</v>
      </c>
      <c r="L693" s="23">
        <f t="shared" si="562"/>
        <v>0</v>
      </c>
      <c r="M693" s="23">
        <f t="shared" si="562"/>
        <v>0</v>
      </c>
      <c r="N693" s="23">
        <f t="shared" si="562"/>
        <v>0</v>
      </c>
      <c r="O693" s="23">
        <f t="shared" si="562"/>
        <v>15697.5</v>
      </c>
      <c r="P693" s="23">
        <f t="shared" si="562"/>
        <v>15697.5</v>
      </c>
      <c r="Q693" s="23">
        <f t="shared" si="562"/>
        <v>0</v>
      </c>
      <c r="R693" s="23">
        <f t="shared" si="562"/>
        <v>0</v>
      </c>
      <c r="S693" s="23">
        <f t="shared" si="562"/>
        <v>0</v>
      </c>
      <c r="T693" s="23">
        <f t="shared" si="562"/>
        <v>0</v>
      </c>
      <c r="U693" s="23">
        <f t="shared" si="562"/>
        <v>0</v>
      </c>
      <c r="V693" s="23">
        <f t="shared" si="562"/>
        <v>0</v>
      </c>
      <c r="W693" s="23">
        <f t="shared" si="562"/>
        <v>0</v>
      </c>
      <c r="X693" s="23">
        <f t="shared" si="562"/>
        <v>0</v>
      </c>
      <c r="Y693" s="22" t="s">
        <v>1930</v>
      </c>
      <c r="Z693" s="24" t="s">
        <v>40</v>
      </c>
      <c r="AA693" s="25" t="s">
        <v>54</v>
      </c>
      <c r="AB693" s="25" t="s">
        <v>54</v>
      </c>
      <c r="AC693" s="26"/>
    </row>
    <row r="694" spans="1:29" ht="46.5" x14ac:dyDescent="0.25">
      <c r="A694" s="27" t="s">
        <v>1931</v>
      </c>
      <c r="B694" s="28" t="s">
        <v>1932</v>
      </c>
      <c r="C694" s="29" t="s">
        <v>1479</v>
      </c>
      <c r="D694" s="29" t="s">
        <v>1579</v>
      </c>
      <c r="E694" s="30">
        <f>SUM(E695:E695)+15697.5</f>
        <v>15697.5</v>
      </c>
      <c r="F694" s="30">
        <f>SUM(F695:F695)+15697.5</f>
        <v>15697.5</v>
      </c>
      <c r="G694" s="30">
        <f t="shared" ref="G694:N694" si="563">SUM(G695:G695)</f>
        <v>0</v>
      </c>
      <c r="H694" s="30">
        <f t="shared" si="563"/>
        <v>0</v>
      </c>
      <c r="I694" s="30">
        <f t="shared" si="563"/>
        <v>0</v>
      </c>
      <c r="J694" s="30">
        <f t="shared" si="563"/>
        <v>0</v>
      </c>
      <c r="K694" s="30">
        <f t="shared" si="563"/>
        <v>0</v>
      </c>
      <c r="L694" s="30">
        <f t="shared" si="563"/>
        <v>0</v>
      </c>
      <c r="M694" s="30">
        <f t="shared" si="563"/>
        <v>0</v>
      </c>
      <c r="N694" s="30">
        <f t="shared" si="563"/>
        <v>0</v>
      </c>
      <c r="O694" s="30">
        <f>SUM(O695:O695)+15697.5</f>
        <v>15697.5</v>
      </c>
      <c r="P694" s="30">
        <f>SUM(P695:P695)+15697.5</f>
        <v>15697.5</v>
      </c>
      <c r="Q694" s="30">
        <f t="shared" ref="Q694:X694" si="564">SUM(Q695:Q695)</f>
        <v>0</v>
      </c>
      <c r="R694" s="30">
        <f t="shared" si="564"/>
        <v>0</v>
      </c>
      <c r="S694" s="30">
        <f t="shared" si="564"/>
        <v>0</v>
      </c>
      <c r="T694" s="30">
        <f t="shared" si="564"/>
        <v>0</v>
      </c>
      <c r="U694" s="30">
        <f t="shared" si="564"/>
        <v>0</v>
      </c>
      <c r="V694" s="30">
        <f t="shared" si="564"/>
        <v>0</v>
      </c>
      <c r="W694" s="30">
        <f t="shared" si="564"/>
        <v>0</v>
      </c>
      <c r="X694" s="30">
        <f t="shared" si="564"/>
        <v>0</v>
      </c>
      <c r="Y694" s="29" t="s">
        <v>1933</v>
      </c>
      <c r="Z694" s="31" t="s">
        <v>40</v>
      </c>
      <c r="AA694" s="32" t="s">
        <v>54</v>
      </c>
      <c r="AB694" s="32" t="s">
        <v>54</v>
      </c>
      <c r="AC694" s="33"/>
    </row>
    <row r="695" spans="1:29" ht="46.5" x14ac:dyDescent="0.25">
      <c r="A695" s="34" t="s">
        <v>1934</v>
      </c>
      <c r="B695" s="35" t="s">
        <v>1935</v>
      </c>
      <c r="C695" s="36"/>
      <c r="D695" s="36"/>
      <c r="E695" s="37">
        <v>0</v>
      </c>
      <c r="F695" s="37">
        <v>0</v>
      </c>
      <c r="G695" s="37">
        <v>0</v>
      </c>
      <c r="H695" s="37">
        <v>0</v>
      </c>
      <c r="I695" s="37">
        <v>0</v>
      </c>
      <c r="J695" s="37">
        <v>0</v>
      </c>
      <c r="K695" s="37">
        <v>0</v>
      </c>
      <c r="L695" s="37">
        <v>0</v>
      </c>
      <c r="M695" s="37">
        <v>0</v>
      </c>
      <c r="N695" s="37">
        <v>0</v>
      </c>
      <c r="O695" s="37">
        <v>0</v>
      </c>
      <c r="P695" s="37">
        <v>0</v>
      </c>
      <c r="Q695" s="37">
        <v>0</v>
      </c>
      <c r="R695" s="37">
        <v>0</v>
      </c>
      <c r="S695" s="37">
        <v>0</v>
      </c>
      <c r="T695" s="37">
        <v>0</v>
      </c>
      <c r="U695" s="37">
        <v>0</v>
      </c>
      <c r="V695" s="37">
        <v>0</v>
      </c>
      <c r="W695" s="37">
        <v>0</v>
      </c>
      <c r="X695" s="37">
        <v>0</v>
      </c>
      <c r="Y695" s="36"/>
      <c r="Z695" s="38"/>
      <c r="AA695" s="39"/>
      <c r="AB695" s="39"/>
      <c r="AC695" s="40"/>
    </row>
    <row r="696" spans="1:29" ht="67.5" x14ac:dyDescent="0.25">
      <c r="A696" s="20" t="s">
        <v>1936</v>
      </c>
      <c r="B696" s="21" t="s">
        <v>1937</v>
      </c>
      <c r="C696" s="22" t="s">
        <v>1479</v>
      </c>
      <c r="D696" s="22" t="s">
        <v>1482</v>
      </c>
      <c r="E696" s="23">
        <f t="shared" ref="E696:X696" si="565">E697+E699+E701+E703+E705+E707+E709+E711+E713+E715+E717+E719</f>
        <v>162569.81</v>
      </c>
      <c r="F696" s="23">
        <f t="shared" si="565"/>
        <v>33371</v>
      </c>
      <c r="G696" s="23">
        <f t="shared" si="565"/>
        <v>127698.81</v>
      </c>
      <c r="H696" s="23">
        <f t="shared" si="565"/>
        <v>0</v>
      </c>
      <c r="I696" s="23">
        <f t="shared" si="565"/>
        <v>1500</v>
      </c>
      <c r="J696" s="23">
        <f t="shared" si="565"/>
        <v>0</v>
      </c>
      <c r="K696" s="23">
        <f t="shared" si="565"/>
        <v>0</v>
      </c>
      <c r="L696" s="23">
        <f t="shared" si="565"/>
        <v>0</v>
      </c>
      <c r="M696" s="23">
        <f t="shared" si="565"/>
        <v>0</v>
      </c>
      <c r="N696" s="23">
        <f t="shared" si="565"/>
        <v>0</v>
      </c>
      <c r="O696" s="23">
        <f t="shared" si="565"/>
        <v>138321.18000000002</v>
      </c>
      <c r="P696" s="23">
        <f t="shared" si="565"/>
        <v>33370.400000000001</v>
      </c>
      <c r="Q696" s="23">
        <f t="shared" si="565"/>
        <v>67172.180000000008</v>
      </c>
      <c r="R696" s="23">
        <f t="shared" si="565"/>
        <v>0</v>
      </c>
      <c r="S696" s="23">
        <f t="shared" si="565"/>
        <v>0</v>
      </c>
      <c r="T696" s="23">
        <f t="shared" si="565"/>
        <v>0</v>
      </c>
      <c r="U696" s="23">
        <f t="shared" si="565"/>
        <v>0</v>
      </c>
      <c r="V696" s="23">
        <f t="shared" si="565"/>
        <v>0</v>
      </c>
      <c r="W696" s="23">
        <f t="shared" si="565"/>
        <v>0</v>
      </c>
      <c r="X696" s="23">
        <f t="shared" si="565"/>
        <v>0</v>
      </c>
      <c r="Y696" s="22" t="s">
        <v>1938</v>
      </c>
      <c r="Z696" s="24" t="s">
        <v>40</v>
      </c>
      <c r="AA696" s="25" t="s">
        <v>41</v>
      </c>
      <c r="AB696" s="25" t="s">
        <v>47</v>
      </c>
      <c r="AC696" s="26" t="s">
        <v>1939</v>
      </c>
    </row>
    <row r="697" spans="1:29" ht="46.5" x14ac:dyDescent="0.25">
      <c r="A697" s="27" t="s">
        <v>1940</v>
      </c>
      <c r="B697" s="28" t="s">
        <v>1941</v>
      </c>
      <c r="C697" s="29" t="s">
        <v>943</v>
      </c>
      <c r="D697" s="29" t="s">
        <v>967</v>
      </c>
      <c r="E697" s="30">
        <f>SUM(E698:E698)+1500</f>
        <v>1500</v>
      </c>
      <c r="F697" s="30">
        <f>SUM(F698:F698)</f>
        <v>0</v>
      </c>
      <c r="G697" s="30">
        <f>SUM(G698:G698)</f>
        <v>0</v>
      </c>
      <c r="H697" s="30">
        <f>SUM(H698:H698)</f>
        <v>0</v>
      </c>
      <c r="I697" s="30">
        <f>SUM(I698:I698)+1500</f>
        <v>1500</v>
      </c>
      <c r="J697" s="30">
        <f t="shared" ref="J697:X697" si="566">SUM(J698:J698)</f>
        <v>0</v>
      </c>
      <c r="K697" s="30">
        <f t="shared" si="566"/>
        <v>0</v>
      </c>
      <c r="L697" s="30">
        <f t="shared" si="566"/>
        <v>0</v>
      </c>
      <c r="M697" s="30">
        <f t="shared" si="566"/>
        <v>0</v>
      </c>
      <c r="N697" s="30">
        <f t="shared" si="566"/>
        <v>0</v>
      </c>
      <c r="O697" s="30">
        <f t="shared" si="566"/>
        <v>0</v>
      </c>
      <c r="P697" s="30">
        <f t="shared" si="566"/>
        <v>0</v>
      </c>
      <c r="Q697" s="30">
        <f t="shared" si="566"/>
        <v>0</v>
      </c>
      <c r="R697" s="30">
        <f t="shared" si="566"/>
        <v>0</v>
      </c>
      <c r="S697" s="30">
        <f t="shared" si="566"/>
        <v>0</v>
      </c>
      <c r="T697" s="30">
        <f t="shared" si="566"/>
        <v>0</v>
      </c>
      <c r="U697" s="30">
        <f t="shared" si="566"/>
        <v>0</v>
      </c>
      <c r="V697" s="30">
        <f t="shared" si="566"/>
        <v>0</v>
      </c>
      <c r="W697" s="30">
        <f t="shared" si="566"/>
        <v>0</v>
      </c>
      <c r="X697" s="30">
        <f t="shared" si="566"/>
        <v>0</v>
      </c>
      <c r="Y697" s="29" t="s">
        <v>1942</v>
      </c>
      <c r="Z697" s="31" t="s">
        <v>40</v>
      </c>
      <c r="AA697" s="32" t="s">
        <v>106</v>
      </c>
      <c r="AB697" s="32" t="s">
        <v>73</v>
      </c>
      <c r="AC697" s="33" t="s">
        <v>1619</v>
      </c>
    </row>
    <row r="698" spans="1:29" ht="46.5" x14ac:dyDescent="0.25">
      <c r="A698" s="34" t="s">
        <v>1943</v>
      </c>
      <c r="B698" s="35" t="s">
        <v>1944</v>
      </c>
      <c r="C698" s="36"/>
      <c r="D698" s="36"/>
      <c r="E698" s="37">
        <v>0</v>
      </c>
      <c r="F698" s="37">
        <v>0</v>
      </c>
      <c r="G698" s="37">
        <v>0</v>
      </c>
      <c r="H698" s="37">
        <v>0</v>
      </c>
      <c r="I698" s="37">
        <v>0</v>
      </c>
      <c r="J698" s="37">
        <v>0</v>
      </c>
      <c r="K698" s="37">
        <v>0</v>
      </c>
      <c r="L698" s="37">
        <v>0</v>
      </c>
      <c r="M698" s="37">
        <v>0</v>
      </c>
      <c r="N698" s="37">
        <v>0</v>
      </c>
      <c r="O698" s="37">
        <v>0</v>
      </c>
      <c r="P698" s="37">
        <v>0</v>
      </c>
      <c r="Q698" s="37">
        <v>0</v>
      </c>
      <c r="R698" s="37">
        <v>0</v>
      </c>
      <c r="S698" s="37">
        <v>0</v>
      </c>
      <c r="T698" s="37">
        <v>0</v>
      </c>
      <c r="U698" s="37">
        <v>0</v>
      </c>
      <c r="V698" s="37">
        <v>0</v>
      </c>
      <c r="W698" s="37">
        <v>0</v>
      </c>
      <c r="X698" s="37">
        <v>0</v>
      </c>
      <c r="Y698" s="36"/>
      <c r="Z698" s="38"/>
      <c r="AA698" s="39"/>
      <c r="AB698" s="39"/>
      <c r="AC698" s="40"/>
    </row>
    <row r="699" spans="1:29" ht="46.5" x14ac:dyDescent="0.25">
      <c r="A699" s="27" t="s">
        <v>1945</v>
      </c>
      <c r="B699" s="28" t="s">
        <v>1946</v>
      </c>
      <c r="C699" s="29" t="s">
        <v>900</v>
      </c>
      <c r="D699" s="29" t="s">
        <v>901</v>
      </c>
      <c r="E699" s="30">
        <f>SUM(E700:E700)+72653.15</f>
        <v>72653.149999999994</v>
      </c>
      <c r="F699" s="30">
        <f>SUM(F700:F700)</f>
        <v>0</v>
      </c>
      <c r="G699" s="30">
        <f>SUM(G700:G700)+72653.15</f>
        <v>72653.149999999994</v>
      </c>
      <c r="H699" s="30">
        <f t="shared" ref="H699:N699" si="567">SUM(H700:H700)</f>
        <v>0</v>
      </c>
      <c r="I699" s="30">
        <f t="shared" si="567"/>
        <v>0</v>
      </c>
      <c r="J699" s="30">
        <f t="shared" si="567"/>
        <v>0</v>
      </c>
      <c r="K699" s="30">
        <f t="shared" si="567"/>
        <v>0</v>
      </c>
      <c r="L699" s="30">
        <f t="shared" si="567"/>
        <v>0</v>
      </c>
      <c r="M699" s="30">
        <f t="shared" si="567"/>
        <v>0</v>
      </c>
      <c r="N699" s="30">
        <f t="shared" si="567"/>
        <v>0</v>
      </c>
      <c r="O699" s="30">
        <f>SUM(O700:O700)+71110.12</f>
        <v>71110.12</v>
      </c>
      <c r="P699" s="30">
        <f>SUM(P700:P700)</f>
        <v>0</v>
      </c>
      <c r="Q699" s="30">
        <f>SUM(Q700:Q700)+48456.97</f>
        <v>48456.97</v>
      </c>
      <c r="R699" s="30">
        <f t="shared" ref="R699:X699" si="568">SUM(R700:R700)</f>
        <v>0</v>
      </c>
      <c r="S699" s="30">
        <f t="shared" si="568"/>
        <v>0</v>
      </c>
      <c r="T699" s="30">
        <f t="shared" si="568"/>
        <v>0</v>
      </c>
      <c r="U699" s="30">
        <f t="shared" si="568"/>
        <v>0</v>
      </c>
      <c r="V699" s="30">
        <f t="shared" si="568"/>
        <v>0</v>
      </c>
      <c r="W699" s="30">
        <f t="shared" si="568"/>
        <v>0</v>
      </c>
      <c r="X699" s="30">
        <f t="shared" si="568"/>
        <v>0</v>
      </c>
      <c r="Y699" s="29" t="s">
        <v>1947</v>
      </c>
      <c r="Z699" s="31" t="s">
        <v>40</v>
      </c>
      <c r="AA699" s="32" t="s">
        <v>69</v>
      </c>
      <c r="AB699" s="32" t="s">
        <v>69</v>
      </c>
      <c r="AC699" s="33"/>
    </row>
    <row r="700" spans="1:29" ht="69.75" x14ac:dyDescent="0.25">
      <c r="A700" s="34" t="s">
        <v>1948</v>
      </c>
      <c r="B700" s="35" t="s">
        <v>1949</v>
      </c>
      <c r="C700" s="36"/>
      <c r="D700" s="36"/>
      <c r="E700" s="37">
        <v>0</v>
      </c>
      <c r="F700" s="37">
        <v>0</v>
      </c>
      <c r="G700" s="37">
        <v>0</v>
      </c>
      <c r="H700" s="37">
        <v>0</v>
      </c>
      <c r="I700" s="37">
        <v>0</v>
      </c>
      <c r="J700" s="37">
        <v>0</v>
      </c>
      <c r="K700" s="37">
        <v>0</v>
      </c>
      <c r="L700" s="37">
        <v>0</v>
      </c>
      <c r="M700" s="37">
        <v>0</v>
      </c>
      <c r="N700" s="37">
        <v>0</v>
      </c>
      <c r="O700" s="37">
        <v>0</v>
      </c>
      <c r="P700" s="37">
        <v>0</v>
      </c>
      <c r="Q700" s="37">
        <v>0</v>
      </c>
      <c r="R700" s="37">
        <v>0</v>
      </c>
      <c r="S700" s="37">
        <v>0</v>
      </c>
      <c r="T700" s="37">
        <v>0</v>
      </c>
      <c r="U700" s="37">
        <v>0</v>
      </c>
      <c r="V700" s="37">
        <v>0</v>
      </c>
      <c r="W700" s="37">
        <v>0</v>
      </c>
      <c r="X700" s="37">
        <v>0</v>
      </c>
      <c r="Y700" s="36"/>
      <c r="Z700" s="38"/>
      <c r="AA700" s="39"/>
      <c r="AB700" s="39"/>
      <c r="AC700" s="40"/>
    </row>
    <row r="701" spans="1:29" ht="46.5" x14ac:dyDescent="0.25">
      <c r="A701" s="27" t="s">
        <v>1950</v>
      </c>
      <c r="B701" s="28" t="s">
        <v>1951</v>
      </c>
      <c r="C701" s="29" t="s">
        <v>836</v>
      </c>
      <c r="D701" s="29" t="s">
        <v>837</v>
      </c>
      <c r="E701" s="30">
        <f>SUM(E702:E702)+6997.47</f>
        <v>6997.47</v>
      </c>
      <c r="F701" s="30">
        <f>SUM(F702:F702)</f>
        <v>0</v>
      </c>
      <c r="G701" s="30">
        <f>SUM(G702:G702)+6997.47</f>
        <v>6997.47</v>
      </c>
      <c r="H701" s="30">
        <f t="shared" ref="H701:N701" si="569">SUM(H702:H702)</f>
        <v>0</v>
      </c>
      <c r="I701" s="30">
        <f t="shared" si="569"/>
        <v>0</v>
      </c>
      <c r="J701" s="30">
        <f t="shared" si="569"/>
        <v>0</v>
      </c>
      <c r="K701" s="30">
        <f t="shared" si="569"/>
        <v>0</v>
      </c>
      <c r="L701" s="30">
        <f t="shared" si="569"/>
        <v>0</v>
      </c>
      <c r="M701" s="30">
        <f t="shared" si="569"/>
        <v>0</v>
      </c>
      <c r="N701" s="30">
        <f t="shared" si="569"/>
        <v>0</v>
      </c>
      <c r="O701" s="30">
        <f>SUM(O702:O702)+4642.91</f>
        <v>4642.91</v>
      </c>
      <c r="P701" s="30">
        <f>SUM(P702:P702)</f>
        <v>0</v>
      </c>
      <c r="Q701" s="30">
        <f>SUM(Q702:Q702)+3645.44</f>
        <v>3645.44</v>
      </c>
      <c r="R701" s="30">
        <f t="shared" ref="R701:X701" si="570">SUM(R702:R702)</f>
        <v>0</v>
      </c>
      <c r="S701" s="30">
        <f t="shared" si="570"/>
        <v>0</v>
      </c>
      <c r="T701" s="30">
        <f t="shared" si="570"/>
        <v>0</v>
      </c>
      <c r="U701" s="30">
        <f t="shared" si="570"/>
        <v>0</v>
      </c>
      <c r="V701" s="30">
        <f t="shared" si="570"/>
        <v>0</v>
      </c>
      <c r="W701" s="30">
        <f t="shared" si="570"/>
        <v>0</v>
      </c>
      <c r="X701" s="30">
        <f t="shared" si="570"/>
        <v>0</v>
      </c>
      <c r="Y701" s="29" t="s">
        <v>1947</v>
      </c>
      <c r="Z701" s="31" t="s">
        <v>40</v>
      </c>
      <c r="AA701" s="32" t="s">
        <v>54</v>
      </c>
      <c r="AB701" s="32" t="s">
        <v>54</v>
      </c>
      <c r="AC701" s="33"/>
    </row>
    <row r="702" spans="1:29" ht="69.75" x14ac:dyDescent="0.25">
      <c r="A702" s="34" t="s">
        <v>1952</v>
      </c>
      <c r="B702" s="35" t="s">
        <v>1949</v>
      </c>
      <c r="C702" s="36"/>
      <c r="D702" s="36"/>
      <c r="E702" s="37">
        <v>0</v>
      </c>
      <c r="F702" s="37">
        <v>0</v>
      </c>
      <c r="G702" s="37">
        <v>0</v>
      </c>
      <c r="H702" s="37">
        <v>0</v>
      </c>
      <c r="I702" s="37">
        <v>0</v>
      </c>
      <c r="J702" s="37">
        <v>0</v>
      </c>
      <c r="K702" s="37">
        <v>0</v>
      </c>
      <c r="L702" s="37">
        <v>0</v>
      </c>
      <c r="M702" s="37">
        <v>0</v>
      </c>
      <c r="N702" s="37">
        <v>0</v>
      </c>
      <c r="O702" s="37">
        <v>0</v>
      </c>
      <c r="P702" s="37">
        <v>0</v>
      </c>
      <c r="Q702" s="37">
        <v>0</v>
      </c>
      <c r="R702" s="37">
        <v>0</v>
      </c>
      <c r="S702" s="37">
        <v>0</v>
      </c>
      <c r="T702" s="37">
        <v>0</v>
      </c>
      <c r="U702" s="37">
        <v>0</v>
      </c>
      <c r="V702" s="37">
        <v>0</v>
      </c>
      <c r="W702" s="37">
        <v>0</v>
      </c>
      <c r="X702" s="37">
        <v>0</v>
      </c>
      <c r="Y702" s="36"/>
      <c r="Z702" s="38"/>
      <c r="AA702" s="39"/>
      <c r="AB702" s="39"/>
      <c r="AC702" s="40"/>
    </row>
    <row r="703" spans="1:29" ht="46.5" x14ac:dyDescent="0.25">
      <c r="A703" s="27" t="s">
        <v>1953</v>
      </c>
      <c r="B703" s="28" t="s">
        <v>1954</v>
      </c>
      <c r="C703" s="29" t="s">
        <v>98</v>
      </c>
      <c r="D703" s="29" t="s">
        <v>842</v>
      </c>
      <c r="E703" s="30">
        <f>SUM(E704:E704)+7359.81</f>
        <v>7359.81</v>
      </c>
      <c r="F703" s="30">
        <f>SUM(F704:F704)</f>
        <v>0</v>
      </c>
      <c r="G703" s="30">
        <f>SUM(G704:G704)+7359.81</f>
        <v>7359.81</v>
      </c>
      <c r="H703" s="30">
        <f t="shared" ref="H703:N703" si="571">SUM(H704:H704)</f>
        <v>0</v>
      </c>
      <c r="I703" s="30">
        <f t="shared" si="571"/>
        <v>0</v>
      </c>
      <c r="J703" s="30">
        <f t="shared" si="571"/>
        <v>0</v>
      </c>
      <c r="K703" s="30">
        <f t="shared" si="571"/>
        <v>0</v>
      </c>
      <c r="L703" s="30">
        <f t="shared" si="571"/>
        <v>0</v>
      </c>
      <c r="M703" s="30">
        <f t="shared" si="571"/>
        <v>0</v>
      </c>
      <c r="N703" s="30">
        <f t="shared" si="571"/>
        <v>0</v>
      </c>
      <c r="O703" s="30">
        <f>SUM(O704:O704)+1727.57</f>
        <v>1727.57</v>
      </c>
      <c r="P703" s="30">
        <f t="shared" ref="P703:X703" si="572">SUM(P704:P704)</f>
        <v>0</v>
      </c>
      <c r="Q703" s="30">
        <f t="shared" si="572"/>
        <v>0</v>
      </c>
      <c r="R703" s="30">
        <f t="shared" si="572"/>
        <v>0</v>
      </c>
      <c r="S703" s="30">
        <f t="shared" si="572"/>
        <v>0</v>
      </c>
      <c r="T703" s="30">
        <f t="shared" si="572"/>
        <v>0</v>
      </c>
      <c r="U703" s="30">
        <f t="shared" si="572"/>
        <v>0</v>
      </c>
      <c r="V703" s="30">
        <f t="shared" si="572"/>
        <v>0</v>
      </c>
      <c r="W703" s="30">
        <f t="shared" si="572"/>
        <v>0</v>
      </c>
      <c r="X703" s="30">
        <f t="shared" si="572"/>
        <v>0</v>
      </c>
      <c r="Y703" s="29" t="s">
        <v>1955</v>
      </c>
      <c r="Z703" s="31" t="s">
        <v>40</v>
      </c>
      <c r="AA703" s="32" t="s">
        <v>54</v>
      </c>
      <c r="AB703" s="32" t="s">
        <v>54</v>
      </c>
      <c r="AC703" s="33" t="s">
        <v>1956</v>
      </c>
    </row>
    <row r="704" spans="1:29" ht="69.75" x14ac:dyDescent="0.25">
      <c r="A704" s="34" t="s">
        <v>1957</v>
      </c>
      <c r="B704" s="35" t="s">
        <v>1949</v>
      </c>
      <c r="C704" s="36"/>
      <c r="D704" s="36"/>
      <c r="E704" s="37">
        <v>0</v>
      </c>
      <c r="F704" s="37">
        <v>0</v>
      </c>
      <c r="G704" s="37">
        <v>0</v>
      </c>
      <c r="H704" s="37">
        <v>0</v>
      </c>
      <c r="I704" s="37">
        <v>0</v>
      </c>
      <c r="J704" s="37">
        <v>0</v>
      </c>
      <c r="K704" s="37">
        <v>0</v>
      </c>
      <c r="L704" s="37">
        <v>0</v>
      </c>
      <c r="M704" s="37">
        <v>0</v>
      </c>
      <c r="N704" s="37">
        <v>0</v>
      </c>
      <c r="O704" s="37">
        <v>0</v>
      </c>
      <c r="P704" s="37">
        <v>0</v>
      </c>
      <c r="Q704" s="37">
        <v>0</v>
      </c>
      <c r="R704" s="37">
        <v>0</v>
      </c>
      <c r="S704" s="37">
        <v>0</v>
      </c>
      <c r="T704" s="37">
        <v>0</v>
      </c>
      <c r="U704" s="37">
        <v>0</v>
      </c>
      <c r="V704" s="37">
        <v>0</v>
      </c>
      <c r="W704" s="37">
        <v>0</v>
      </c>
      <c r="X704" s="37">
        <v>0</v>
      </c>
      <c r="Y704" s="36"/>
      <c r="Z704" s="38"/>
      <c r="AA704" s="39"/>
      <c r="AB704" s="39"/>
      <c r="AC704" s="40"/>
    </row>
    <row r="705" spans="1:29" ht="46.5" x14ac:dyDescent="0.25">
      <c r="A705" s="27" t="s">
        <v>1958</v>
      </c>
      <c r="B705" s="28" t="s">
        <v>1959</v>
      </c>
      <c r="C705" s="29" t="s">
        <v>847</v>
      </c>
      <c r="D705" s="29" t="s">
        <v>848</v>
      </c>
      <c r="E705" s="30">
        <f>SUM(E706:E706)+1566.93</f>
        <v>1566.93</v>
      </c>
      <c r="F705" s="30">
        <f>SUM(F706:F706)</f>
        <v>0</v>
      </c>
      <c r="G705" s="30">
        <f>SUM(G706:G706)+1566.93</f>
        <v>1566.93</v>
      </c>
      <c r="H705" s="30">
        <f t="shared" ref="H705:N705" si="573">SUM(H706:H706)</f>
        <v>0</v>
      </c>
      <c r="I705" s="30">
        <f t="shared" si="573"/>
        <v>0</v>
      </c>
      <c r="J705" s="30">
        <f t="shared" si="573"/>
        <v>0</v>
      </c>
      <c r="K705" s="30">
        <f t="shared" si="573"/>
        <v>0</v>
      </c>
      <c r="L705" s="30">
        <f t="shared" si="573"/>
        <v>0</v>
      </c>
      <c r="M705" s="30">
        <f t="shared" si="573"/>
        <v>0</v>
      </c>
      <c r="N705" s="30">
        <f t="shared" si="573"/>
        <v>0</v>
      </c>
      <c r="O705" s="30">
        <f>SUM(O706:O706)+1522.71</f>
        <v>1522.71</v>
      </c>
      <c r="P705" s="30">
        <f>SUM(P706:P706)</f>
        <v>0</v>
      </c>
      <c r="Q705" s="30">
        <f>SUM(Q706:Q706)+1455.78</f>
        <v>1455.78</v>
      </c>
      <c r="R705" s="30">
        <f t="shared" ref="R705:X705" si="574">SUM(R706:R706)</f>
        <v>0</v>
      </c>
      <c r="S705" s="30">
        <f t="shared" si="574"/>
        <v>0</v>
      </c>
      <c r="T705" s="30">
        <f t="shared" si="574"/>
        <v>0</v>
      </c>
      <c r="U705" s="30">
        <f t="shared" si="574"/>
        <v>0</v>
      </c>
      <c r="V705" s="30">
        <f t="shared" si="574"/>
        <v>0</v>
      </c>
      <c r="W705" s="30">
        <f t="shared" si="574"/>
        <v>0</v>
      </c>
      <c r="X705" s="30">
        <f t="shared" si="574"/>
        <v>0</v>
      </c>
      <c r="Y705" s="29" t="s">
        <v>1947</v>
      </c>
      <c r="Z705" s="31" t="s">
        <v>40</v>
      </c>
      <c r="AA705" s="32" t="s">
        <v>54</v>
      </c>
      <c r="AB705" s="32" t="s">
        <v>54</v>
      </c>
      <c r="AC705" s="33"/>
    </row>
    <row r="706" spans="1:29" ht="69.75" x14ac:dyDescent="0.25">
      <c r="A706" s="34" t="s">
        <v>1960</v>
      </c>
      <c r="B706" s="35" t="s">
        <v>1949</v>
      </c>
      <c r="C706" s="36"/>
      <c r="D706" s="36"/>
      <c r="E706" s="37">
        <v>0</v>
      </c>
      <c r="F706" s="37">
        <v>0</v>
      </c>
      <c r="G706" s="37">
        <v>0</v>
      </c>
      <c r="H706" s="37">
        <v>0</v>
      </c>
      <c r="I706" s="37">
        <v>0</v>
      </c>
      <c r="J706" s="37">
        <v>0</v>
      </c>
      <c r="K706" s="37">
        <v>0</v>
      </c>
      <c r="L706" s="37">
        <v>0</v>
      </c>
      <c r="M706" s="37">
        <v>0</v>
      </c>
      <c r="N706" s="37">
        <v>0</v>
      </c>
      <c r="O706" s="37">
        <v>0</v>
      </c>
      <c r="P706" s="37">
        <v>0</v>
      </c>
      <c r="Q706" s="37">
        <v>0</v>
      </c>
      <c r="R706" s="37">
        <v>0</v>
      </c>
      <c r="S706" s="37">
        <v>0</v>
      </c>
      <c r="T706" s="37">
        <v>0</v>
      </c>
      <c r="U706" s="37">
        <v>0</v>
      </c>
      <c r="V706" s="37">
        <v>0</v>
      </c>
      <c r="W706" s="37">
        <v>0</v>
      </c>
      <c r="X706" s="37">
        <v>0</v>
      </c>
      <c r="Y706" s="36"/>
      <c r="Z706" s="38"/>
      <c r="AA706" s="39"/>
      <c r="AB706" s="39"/>
      <c r="AC706" s="40"/>
    </row>
    <row r="707" spans="1:29" ht="93" x14ac:dyDescent="0.25">
      <c r="A707" s="27" t="s">
        <v>1961</v>
      </c>
      <c r="B707" s="28" t="s">
        <v>1962</v>
      </c>
      <c r="C707" s="29" t="s">
        <v>105</v>
      </c>
      <c r="D707" s="29" t="s">
        <v>853</v>
      </c>
      <c r="E707" s="30">
        <f>SUM(E708:E708)+4440.96</f>
        <v>4440.96</v>
      </c>
      <c r="F707" s="30">
        <f>SUM(F708:F708)</f>
        <v>0</v>
      </c>
      <c r="G707" s="30">
        <f>SUM(G708:G708)+4440.96</f>
        <v>4440.96</v>
      </c>
      <c r="H707" s="30">
        <f t="shared" ref="H707:N707" si="575">SUM(H708:H708)</f>
        <v>0</v>
      </c>
      <c r="I707" s="30">
        <f t="shared" si="575"/>
        <v>0</v>
      </c>
      <c r="J707" s="30">
        <f t="shared" si="575"/>
        <v>0</v>
      </c>
      <c r="K707" s="30">
        <f t="shared" si="575"/>
        <v>0</v>
      </c>
      <c r="L707" s="30">
        <f t="shared" si="575"/>
        <v>0</v>
      </c>
      <c r="M707" s="30">
        <f t="shared" si="575"/>
        <v>0</v>
      </c>
      <c r="N707" s="30">
        <f t="shared" si="575"/>
        <v>0</v>
      </c>
      <c r="O707" s="30">
        <f>SUM(O708:O708)+4431.96</f>
        <v>4431.96</v>
      </c>
      <c r="P707" s="30">
        <f>SUM(P708:P708)</f>
        <v>0</v>
      </c>
      <c r="Q707" s="30">
        <f>SUM(Q708:Q708)+3791</f>
        <v>3791</v>
      </c>
      <c r="R707" s="30">
        <f t="shared" ref="R707:X707" si="576">SUM(R708:R708)</f>
        <v>0</v>
      </c>
      <c r="S707" s="30">
        <f t="shared" si="576"/>
        <v>0</v>
      </c>
      <c r="T707" s="30">
        <f t="shared" si="576"/>
        <v>0</v>
      </c>
      <c r="U707" s="30">
        <f t="shared" si="576"/>
        <v>0</v>
      </c>
      <c r="V707" s="30">
        <f t="shared" si="576"/>
        <v>0</v>
      </c>
      <c r="W707" s="30">
        <f t="shared" si="576"/>
        <v>0</v>
      </c>
      <c r="X707" s="30">
        <f t="shared" si="576"/>
        <v>0</v>
      </c>
      <c r="Y707" s="29" t="s">
        <v>1947</v>
      </c>
      <c r="Z707" s="31" t="s">
        <v>40</v>
      </c>
      <c r="AA707" s="32" t="s">
        <v>54</v>
      </c>
      <c r="AB707" s="32" t="s">
        <v>70</v>
      </c>
      <c r="AC707" s="33" t="s">
        <v>1963</v>
      </c>
    </row>
    <row r="708" spans="1:29" ht="69.75" x14ac:dyDescent="0.25">
      <c r="A708" s="34" t="s">
        <v>1964</v>
      </c>
      <c r="B708" s="35" t="s">
        <v>1949</v>
      </c>
      <c r="C708" s="36"/>
      <c r="D708" s="36"/>
      <c r="E708" s="37">
        <v>0</v>
      </c>
      <c r="F708" s="37">
        <v>0</v>
      </c>
      <c r="G708" s="37">
        <v>0</v>
      </c>
      <c r="H708" s="37">
        <v>0</v>
      </c>
      <c r="I708" s="37">
        <v>0</v>
      </c>
      <c r="J708" s="37">
        <v>0</v>
      </c>
      <c r="K708" s="37">
        <v>0</v>
      </c>
      <c r="L708" s="37">
        <v>0</v>
      </c>
      <c r="M708" s="37">
        <v>0</v>
      </c>
      <c r="N708" s="37">
        <v>0</v>
      </c>
      <c r="O708" s="37">
        <v>0</v>
      </c>
      <c r="P708" s="37">
        <v>0</v>
      </c>
      <c r="Q708" s="37">
        <v>0</v>
      </c>
      <c r="R708" s="37">
        <v>0</v>
      </c>
      <c r="S708" s="37">
        <v>0</v>
      </c>
      <c r="T708" s="37">
        <v>0</v>
      </c>
      <c r="U708" s="37">
        <v>0</v>
      </c>
      <c r="V708" s="37">
        <v>0</v>
      </c>
      <c r="W708" s="37">
        <v>0</v>
      </c>
      <c r="X708" s="37">
        <v>0</v>
      </c>
      <c r="Y708" s="36"/>
      <c r="Z708" s="38"/>
      <c r="AA708" s="39"/>
      <c r="AB708" s="39"/>
      <c r="AC708" s="40"/>
    </row>
    <row r="709" spans="1:29" ht="46.5" x14ac:dyDescent="0.25">
      <c r="A709" s="27" t="s">
        <v>1965</v>
      </c>
      <c r="B709" s="28" t="s">
        <v>1966</v>
      </c>
      <c r="C709" s="29" t="s">
        <v>110</v>
      </c>
      <c r="D709" s="29" t="s">
        <v>858</v>
      </c>
      <c r="E709" s="30">
        <f>SUM(E710:E710)+26236.52</f>
        <v>26236.52</v>
      </c>
      <c r="F709" s="30">
        <f>SUM(F710:F710)+16571</f>
        <v>16571</v>
      </c>
      <c r="G709" s="30">
        <f>SUM(G710:G710)+9665.52</f>
        <v>9665.52</v>
      </c>
      <c r="H709" s="30">
        <f t="shared" ref="H709:N709" si="577">SUM(H710:H710)</f>
        <v>0</v>
      </c>
      <c r="I709" s="30">
        <f t="shared" si="577"/>
        <v>0</v>
      </c>
      <c r="J709" s="30">
        <f t="shared" si="577"/>
        <v>0</v>
      </c>
      <c r="K709" s="30">
        <f t="shared" si="577"/>
        <v>0</v>
      </c>
      <c r="L709" s="30">
        <f t="shared" si="577"/>
        <v>0</v>
      </c>
      <c r="M709" s="30">
        <f t="shared" si="577"/>
        <v>0</v>
      </c>
      <c r="N709" s="30">
        <f t="shared" si="577"/>
        <v>0</v>
      </c>
      <c r="O709" s="30">
        <f>SUM(O710:O710)+24517.77</f>
        <v>24517.77</v>
      </c>
      <c r="P709" s="30">
        <f>SUM(P710:P710)+16570.4</f>
        <v>16570.400000000001</v>
      </c>
      <c r="Q709" s="30">
        <f>SUM(Q710:Q710)+7081.85</f>
        <v>7081.85</v>
      </c>
      <c r="R709" s="30">
        <f t="shared" ref="R709:X709" si="578">SUM(R710:R710)</f>
        <v>0</v>
      </c>
      <c r="S709" s="30">
        <f t="shared" si="578"/>
        <v>0</v>
      </c>
      <c r="T709" s="30">
        <f t="shared" si="578"/>
        <v>0</v>
      </c>
      <c r="U709" s="30">
        <f t="shared" si="578"/>
        <v>0</v>
      </c>
      <c r="V709" s="30">
        <f t="shared" si="578"/>
        <v>0</v>
      </c>
      <c r="W709" s="30">
        <f t="shared" si="578"/>
        <v>0</v>
      </c>
      <c r="X709" s="30">
        <f t="shared" si="578"/>
        <v>0</v>
      </c>
      <c r="Y709" s="29" t="s">
        <v>1947</v>
      </c>
      <c r="Z709" s="31" t="s">
        <v>40</v>
      </c>
      <c r="AA709" s="32" t="s">
        <v>70</v>
      </c>
      <c r="AB709" s="32" t="s">
        <v>41</v>
      </c>
      <c r="AC709" s="33" t="s">
        <v>782</v>
      </c>
    </row>
    <row r="710" spans="1:29" ht="69.75" x14ac:dyDescent="0.25">
      <c r="A710" s="34" t="s">
        <v>1967</v>
      </c>
      <c r="B710" s="35" t="s">
        <v>1949</v>
      </c>
      <c r="C710" s="36"/>
      <c r="D710" s="36"/>
      <c r="E710" s="37">
        <v>0</v>
      </c>
      <c r="F710" s="37">
        <v>0</v>
      </c>
      <c r="G710" s="37">
        <v>0</v>
      </c>
      <c r="H710" s="37">
        <v>0</v>
      </c>
      <c r="I710" s="37">
        <v>0</v>
      </c>
      <c r="J710" s="37">
        <v>0</v>
      </c>
      <c r="K710" s="37">
        <v>0</v>
      </c>
      <c r="L710" s="37">
        <v>0</v>
      </c>
      <c r="M710" s="37">
        <v>0</v>
      </c>
      <c r="N710" s="37">
        <v>0</v>
      </c>
      <c r="O710" s="37">
        <v>0</v>
      </c>
      <c r="P710" s="37">
        <v>0</v>
      </c>
      <c r="Q710" s="37">
        <v>0</v>
      </c>
      <c r="R710" s="37">
        <v>0</v>
      </c>
      <c r="S710" s="37">
        <v>0</v>
      </c>
      <c r="T710" s="37">
        <v>0</v>
      </c>
      <c r="U710" s="37">
        <v>0</v>
      </c>
      <c r="V710" s="37">
        <v>0</v>
      </c>
      <c r="W710" s="37">
        <v>0</v>
      </c>
      <c r="X710" s="37">
        <v>0</v>
      </c>
      <c r="Y710" s="36"/>
      <c r="Z710" s="38"/>
      <c r="AA710" s="39"/>
      <c r="AB710" s="39"/>
      <c r="AC710" s="40"/>
    </row>
    <row r="711" spans="1:29" ht="46.5" x14ac:dyDescent="0.25">
      <c r="A711" s="27" t="s">
        <v>1968</v>
      </c>
      <c r="B711" s="28" t="s">
        <v>1969</v>
      </c>
      <c r="C711" s="29" t="s">
        <v>117</v>
      </c>
      <c r="D711" s="29" t="s">
        <v>863</v>
      </c>
      <c r="E711" s="30">
        <f>SUM(E712:E712)+24748.25</f>
        <v>24748.25</v>
      </c>
      <c r="F711" s="30">
        <f>SUM(F712:F712)+16800</f>
        <v>16800</v>
      </c>
      <c r="G711" s="30">
        <f>SUM(G712:G712)+7948.25</f>
        <v>7948.25</v>
      </c>
      <c r="H711" s="30">
        <f t="shared" ref="H711:N711" si="579">SUM(H712:H712)</f>
        <v>0</v>
      </c>
      <c r="I711" s="30">
        <f t="shared" si="579"/>
        <v>0</v>
      </c>
      <c r="J711" s="30">
        <f t="shared" si="579"/>
        <v>0</v>
      </c>
      <c r="K711" s="30">
        <f t="shared" si="579"/>
        <v>0</v>
      </c>
      <c r="L711" s="30">
        <f t="shared" si="579"/>
        <v>0</v>
      </c>
      <c r="M711" s="30">
        <f t="shared" si="579"/>
        <v>0</v>
      </c>
      <c r="N711" s="30">
        <f t="shared" si="579"/>
        <v>0</v>
      </c>
      <c r="O711" s="30">
        <f>SUM(O712:O712)+23678.29</f>
        <v>23678.29</v>
      </c>
      <c r="P711" s="30">
        <f>SUM(P712:P712)+16800</f>
        <v>16800</v>
      </c>
      <c r="Q711" s="30">
        <f>SUM(Q712:Q712)+1960.04</f>
        <v>1960.04</v>
      </c>
      <c r="R711" s="30">
        <f t="shared" ref="R711:X711" si="580">SUM(R712:R712)</f>
        <v>0</v>
      </c>
      <c r="S711" s="30">
        <f t="shared" si="580"/>
        <v>0</v>
      </c>
      <c r="T711" s="30">
        <f t="shared" si="580"/>
        <v>0</v>
      </c>
      <c r="U711" s="30">
        <f t="shared" si="580"/>
        <v>0</v>
      </c>
      <c r="V711" s="30">
        <f t="shared" si="580"/>
        <v>0</v>
      </c>
      <c r="W711" s="30">
        <f t="shared" si="580"/>
        <v>0</v>
      </c>
      <c r="X711" s="30">
        <f t="shared" si="580"/>
        <v>0</v>
      </c>
      <c r="Y711" s="29" t="s">
        <v>1947</v>
      </c>
      <c r="Z711" s="31" t="s">
        <v>40</v>
      </c>
      <c r="AA711" s="32" t="s">
        <v>41</v>
      </c>
      <c r="AB711" s="32" t="s">
        <v>41</v>
      </c>
      <c r="AC711" s="33"/>
    </row>
    <row r="712" spans="1:29" ht="69.75" x14ac:dyDescent="0.25">
      <c r="A712" s="34" t="s">
        <v>1970</v>
      </c>
      <c r="B712" s="35" t="s">
        <v>1949</v>
      </c>
      <c r="C712" s="36"/>
      <c r="D712" s="36"/>
      <c r="E712" s="37">
        <v>0</v>
      </c>
      <c r="F712" s="37">
        <v>0</v>
      </c>
      <c r="G712" s="37">
        <v>0</v>
      </c>
      <c r="H712" s="37">
        <v>0</v>
      </c>
      <c r="I712" s="37">
        <v>0</v>
      </c>
      <c r="J712" s="37">
        <v>0</v>
      </c>
      <c r="K712" s="37">
        <v>0</v>
      </c>
      <c r="L712" s="37">
        <v>0</v>
      </c>
      <c r="M712" s="37">
        <v>0</v>
      </c>
      <c r="N712" s="37">
        <v>0</v>
      </c>
      <c r="O712" s="37">
        <v>0</v>
      </c>
      <c r="P712" s="37">
        <v>0</v>
      </c>
      <c r="Q712" s="37">
        <v>0</v>
      </c>
      <c r="R712" s="37">
        <v>0</v>
      </c>
      <c r="S712" s="37">
        <v>0</v>
      </c>
      <c r="T712" s="37">
        <v>0</v>
      </c>
      <c r="U712" s="37">
        <v>0</v>
      </c>
      <c r="V712" s="37">
        <v>0</v>
      </c>
      <c r="W712" s="37">
        <v>0</v>
      </c>
      <c r="X712" s="37">
        <v>0</v>
      </c>
      <c r="Y712" s="36"/>
      <c r="Z712" s="38"/>
      <c r="AA712" s="39"/>
      <c r="AB712" s="39"/>
      <c r="AC712" s="40"/>
    </row>
    <row r="713" spans="1:29" ht="186" x14ac:dyDescent="0.25">
      <c r="A713" s="27" t="s">
        <v>1971</v>
      </c>
      <c r="B713" s="28" t="s">
        <v>1972</v>
      </c>
      <c r="C713" s="29" t="s">
        <v>868</v>
      </c>
      <c r="D713" s="29" t="s">
        <v>869</v>
      </c>
      <c r="E713" s="30">
        <f>SUM(E714:E714)+8202.64</f>
        <v>8202.64</v>
      </c>
      <c r="F713" s="30">
        <f>SUM(F714:F714)</f>
        <v>0</v>
      </c>
      <c r="G713" s="30">
        <f>SUM(G714:G714)+8202.64</f>
        <v>8202.64</v>
      </c>
      <c r="H713" s="30">
        <f t="shared" ref="H713:N713" si="581">SUM(H714:H714)</f>
        <v>0</v>
      </c>
      <c r="I713" s="30">
        <f t="shared" si="581"/>
        <v>0</v>
      </c>
      <c r="J713" s="30">
        <f t="shared" si="581"/>
        <v>0</v>
      </c>
      <c r="K713" s="30">
        <f t="shared" si="581"/>
        <v>0</v>
      </c>
      <c r="L713" s="30">
        <f t="shared" si="581"/>
        <v>0</v>
      </c>
      <c r="M713" s="30">
        <f t="shared" si="581"/>
        <v>0</v>
      </c>
      <c r="N713" s="30">
        <f t="shared" si="581"/>
        <v>0</v>
      </c>
      <c r="O713" s="30">
        <f>SUM(O714:O714)+1084.31</f>
        <v>1084.31</v>
      </c>
      <c r="P713" s="30">
        <f t="shared" ref="P713:X713" si="582">SUM(P714:P714)</f>
        <v>0</v>
      </c>
      <c r="Q713" s="30">
        <f t="shared" si="582"/>
        <v>0</v>
      </c>
      <c r="R713" s="30">
        <f t="shared" si="582"/>
        <v>0</v>
      </c>
      <c r="S713" s="30">
        <f t="shared" si="582"/>
        <v>0</v>
      </c>
      <c r="T713" s="30">
        <f t="shared" si="582"/>
        <v>0</v>
      </c>
      <c r="U713" s="30">
        <f t="shared" si="582"/>
        <v>0</v>
      </c>
      <c r="V713" s="30">
        <f t="shared" si="582"/>
        <v>0</v>
      </c>
      <c r="W713" s="30">
        <f t="shared" si="582"/>
        <v>0</v>
      </c>
      <c r="X713" s="30">
        <f t="shared" si="582"/>
        <v>0</v>
      </c>
      <c r="Y713" s="29" t="s">
        <v>1947</v>
      </c>
      <c r="Z713" s="31" t="s">
        <v>40</v>
      </c>
      <c r="AA713" s="32" t="s">
        <v>54</v>
      </c>
      <c r="AB713" s="32" t="s">
        <v>41</v>
      </c>
      <c r="AC713" s="33" t="s">
        <v>1973</v>
      </c>
    </row>
    <row r="714" spans="1:29" ht="69.75" x14ac:dyDescent="0.25">
      <c r="A714" s="34" t="s">
        <v>1974</v>
      </c>
      <c r="B714" s="35" t="s">
        <v>1949</v>
      </c>
      <c r="C714" s="36"/>
      <c r="D714" s="36"/>
      <c r="E714" s="37">
        <v>0</v>
      </c>
      <c r="F714" s="37">
        <v>0</v>
      </c>
      <c r="G714" s="37">
        <v>0</v>
      </c>
      <c r="H714" s="37">
        <v>0</v>
      </c>
      <c r="I714" s="37">
        <v>0</v>
      </c>
      <c r="J714" s="37">
        <v>0</v>
      </c>
      <c r="K714" s="37">
        <v>0</v>
      </c>
      <c r="L714" s="37">
        <v>0</v>
      </c>
      <c r="M714" s="37">
        <v>0</v>
      </c>
      <c r="N714" s="37">
        <v>0</v>
      </c>
      <c r="O714" s="37">
        <v>0</v>
      </c>
      <c r="P714" s="37">
        <v>0</v>
      </c>
      <c r="Q714" s="37">
        <v>0</v>
      </c>
      <c r="R714" s="37">
        <v>0</v>
      </c>
      <c r="S714" s="37">
        <v>0</v>
      </c>
      <c r="T714" s="37">
        <v>0</v>
      </c>
      <c r="U714" s="37">
        <v>0</v>
      </c>
      <c r="V714" s="37">
        <v>0</v>
      </c>
      <c r="W714" s="37">
        <v>0</v>
      </c>
      <c r="X714" s="37">
        <v>0</v>
      </c>
      <c r="Y714" s="36"/>
      <c r="Z714" s="38"/>
      <c r="AA714" s="39"/>
      <c r="AB714" s="39"/>
      <c r="AC714" s="40"/>
    </row>
    <row r="715" spans="1:29" ht="46.5" x14ac:dyDescent="0.25">
      <c r="A715" s="27" t="s">
        <v>1975</v>
      </c>
      <c r="B715" s="28" t="s">
        <v>1976</v>
      </c>
      <c r="C715" s="29" t="s">
        <v>874</v>
      </c>
      <c r="D715" s="29" t="s">
        <v>875</v>
      </c>
      <c r="E715" s="30">
        <f>SUM(E716:E716)+7262.26</f>
        <v>7262.26</v>
      </c>
      <c r="F715" s="30">
        <f>SUM(F716:F716)</f>
        <v>0</v>
      </c>
      <c r="G715" s="30">
        <f>SUM(G716:G716)+7262.26</f>
        <v>7262.26</v>
      </c>
      <c r="H715" s="30">
        <f t="shared" ref="H715:N715" si="583">SUM(H716:H716)</f>
        <v>0</v>
      </c>
      <c r="I715" s="30">
        <f t="shared" si="583"/>
        <v>0</v>
      </c>
      <c r="J715" s="30">
        <f t="shared" si="583"/>
        <v>0</v>
      </c>
      <c r="K715" s="30">
        <f t="shared" si="583"/>
        <v>0</v>
      </c>
      <c r="L715" s="30">
        <f t="shared" si="583"/>
        <v>0</v>
      </c>
      <c r="M715" s="30">
        <f t="shared" si="583"/>
        <v>0</v>
      </c>
      <c r="N715" s="30">
        <f t="shared" si="583"/>
        <v>0</v>
      </c>
      <c r="O715" s="30">
        <f>SUM(O716:O716)+4222.62</f>
        <v>4222.62</v>
      </c>
      <c r="P715" s="30">
        <f t="shared" ref="P715:X715" si="584">SUM(P716:P716)</f>
        <v>0</v>
      </c>
      <c r="Q715" s="30">
        <f t="shared" si="584"/>
        <v>0</v>
      </c>
      <c r="R715" s="30">
        <f t="shared" si="584"/>
        <v>0</v>
      </c>
      <c r="S715" s="30">
        <f t="shared" si="584"/>
        <v>0</v>
      </c>
      <c r="T715" s="30">
        <f t="shared" si="584"/>
        <v>0</v>
      </c>
      <c r="U715" s="30">
        <f t="shared" si="584"/>
        <v>0</v>
      </c>
      <c r="V715" s="30">
        <f t="shared" si="584"/>
        <v>0</v>
      </c>
      <c r="W715" s="30">
        <f t="shared" si="584"/>
        <v>0</v>
      </c>
      <c r="X715" s="30">
        <f t="shared" si="584"/>
        <v>0</v>
      </c>
      <c r="Y715" s="29" t="s">
        <v>1947</v>
      </c>
      <c r="Z715" s="31" t="s">
        <v>40</v>
      </c>
      <c r="AA715" s="32" t="s">
        <v>41</v>
      </c>
      <c r="AB715" s="32" t="s">
        <v>54</v>
      </c>
      <c r="AC715" s="33" t="s">
        <v>782</v>
      </c>
    </row>
    <row r="716" spans="1:29" ht="69.75" x14ac:dyDescent="0.25">
      <c r="A716" s="34" t="s">
        <v>1977</v>
      </c>
      <c r="B716" s="35" t="s">
        <v>1949</v>
      </c>
      <c r="C716" s="36"/>
      <c r="D716" s="36"/>
      <c r="E716" s="37">
        <v>0</v>
      </c>
      <c r="F716" s="37">
        <v>0</v>
      </c>
      <c r="G716" s="37">
        <v>0</v>
      </c>
      <c r="H716" s="37">
        <v>0</v>
      </c>
      <c r="I716" s="37">
        <v>0</v>
      </c>
      <c r="J716" s="37">
        <v>0</v>
      </c>
      <c r="K716" s="37">
        <v>0</v>
      </c>
      <c r="L716" s="37">
        <v>0</v>
      </c>
      <c r="M716" s="37">
        <v>0</v>
      </c>
      <c r="N716" s="37">
        <v>0</v>
      </c>
      <c r="O716" s="37">
        <v>0</v>
      </c>
      <c r="P716" s="37">
        <v>0</v>
      </c>
      <c r="Q716" s="37">
        <v>0</v>
      </c>
      <c r="R716" s="37">
        <v>0</v>
      </c>
      <c r="S716" s="37">
        <v>0</v>
      </c>
      <c r="T716" s="37">
        <v>0</v>
      </c>
      <c r="U716" s="37">
        <v>0</v>
      </c>
      <c r="V716" s="37">
        <v>0</v>
      </c>
      <c r="W716" s="37">
        <v>0</v>
      </c>
      <c r="X716" s="37">
        <v>0</v>
      </c>
      <c r="Y716" s="36"/>
      <c r="Z716" s="38"/>
      <c r="AA716" s="39"/>
      <c r="AB716" s="39"/>
      <c r="AC716" s="40"/>
    </row>
    <row r="717" spans="1:29" ht="46.5" x14ac:dyDescent="0.25">
      <c r="A717" s="27" t="s">
        <v>1978</v>
      </c>
      <c r="B717" s="28" t="s">
        <v>1979</v>
      </c>
      <c r="C717" s="29" t="s">
        <v>880</v>
      </c>
      <c r="D717" s="29" t="s">
        <v>881</v>
      </c>
      <c r="E717" s="30">
        <f>SUM(E718:E718)+1601.82</f>
        <v>1601.82</v>
      </c>
      <c r="F717" s="30">
        <f>SUM(F718:F718)</f>
        <v>0</v>
      </c>
      <c r="G717" s="30">
        <f>SUM(G718:G718)+1601.82</f>
        <v>1601.82</v>
      </c>
      <c r="H717" s="30">
        <f t="shared" ref="H717:N717" si="585">SUM(H718:H718)</f>
        <v>0</v>
      </c>
      <c r="I717" s="30">
        <f t="shared" si="585"/>
        <v>0</v>
      </c>
      <c r="J717" s="30">
        <f t="shared" si="585"/>
        <v>0</v>
      </c>
      <c r="K717" s="30">
        <f t="shared" si="585"/>
        <v>0</v>
      </c>
      <c r="L717" s="30">
        <f t="shared" si="585"/>
        <v>0</v>
      </c>
      <c r="M717" s="30">
        <f t="shared" si="585"/>
        <v>0</v>
      </c>
      <c r="N717" s="30">
        <f t="shared" si="585"/>
        <v>0</v>
      </c>
      <c r="O717" s="30">
        <f>SUM(O718:O718)+1382.92</f>
        <v>1382.92</v>
      </c>
      <c r="P717" s="30">
        <f>SUM(P718:P718)</f>
        <v>0</v>
      </c>
      <c r="Q717" s="30">
        <f>SUM(Q718:Q718)+781.1</f>
        <v>781.1</v>
      </c>
      <c r="R717" s="30">
        <f t="shared" ref="R717:X717" si="586">SUM(R718:R718)</f>
        <v>0</v>
      </c>
      <c r="S717" s="30">
        <f t="shared" si="586"/>
        <v>0</v>
      </c>
      <c r="T717" s="30">
        <f t="shared" si="586"/>
        <v>0</v>
      </c>
      <c r="U717" s="30">
        <f t="shared" si="586"/>
        <v>0</v>
      </c>
      <c r="V717" s="30">
        <f t="shared" si="586"/>
        <v>0</v>
      </c>
      <c r="W717" s="30">
        <f t="shared" si="586"/>
        <v>0</v>
      </c>
      <c r="X717" s="30">
        <f t="shared" si="586"/>
        <v>0</v>
      </c>
      <c r="Y717" s="29" t="s">
        <v>1947</v>
      </c>
      <c r="Z717" s="31" t="s">
        <v>40</v>
      </c>
      <c r="AA717" s="32" t="s">
        <v>54</v>
      </c>
      <c r="AB717" s="32" t="s">
        <v>41</v>
      </c>
      <c r="AC717" s="33" t="s">
        <v>1980</v>
      </c>
    </row>
    <row r="718" spans="1:29" ht="69.75" x14ac:dyDescent="0.25">
      <c r="A718" s="34" t="s">
        <v>1981</v>
      </c>
      <c r="B718" s="35" t="s">
        <v>1949</v>
      </c>
      <c r="C718" s="36"/>
      <c r="D718" s="36"/>
      <c r="E718" s="37">
        <v>0</v>
      </c>
      <c r="F718" s="37">
        <v>0</v>
      </c>
      <c r="G718" s="37">
        <v>0</v>
      </c>
      <c r="H718" s="37">
        <v>0</v>
      </c>
      <c r="I718" s="37">
        <v>0</v>
      </c>
      <c r="J718" s="37">
        <v>0</v>
      </c>
      <c r="K718" s="37">
        <v>0</v>
      </c>
      <c r="L718" s="37">
        <v>0</v>
      </c>
      <c r="M718" s="37">
        <v>0</v>
      </c>
      <c r="N718" s="37">
        <v>0</v>
      </c>
      <c r="O718" s="37">
        <v>0</v>
      </c>
      <c r="P718" s="37">
        <v>0</v>
      </c>
      <c r="Q718" s="37">
        <v>0</v>
      </c>
      <c r="R718" s="37">
        <v>0</v>
      </c>
      <c r="S718" s="37">
        <v>0</v>
      </c>
      <c r="T718" s="37">
        <v>0</v>
      </c>
      <c r="U718" s="37">
        <v>0</v>
      </c>
      <c r="V718" s="37">
        <v>0</v>
      </c>
      <c r="W718" s="37">
        <v>0</v>
      </c>
      <c r="X718" s="37">
        <v>0</v>
      </c>
      <c r="Y718" s="36"/>
      <c r="Z718" s="38"/>
      <c r="AA718" s="39"/>
      <c r="AB718" s="39"/>
      <c r="AC718" s="40"/>
    </row>
    <row r="719" spans="1:29" ht="69.75" x14ac:dyDescent="0.25">
      <c r="A719" s="27" t="s">
        <v>1982</v>
      </c>
      <c r="B719" s="28" t="s">
        <v>1983</v>
      </c>
      <c r="C719" s="29" t="s">
        <v>943</v>
      </c>
      <c r="D719" s="29" t="s">
        <v>967</v>
      </c>
      <c r="E719" s="30">
        <f t="shared" ref="E719:X719" si="587">SUM(E720:E720)</f>
        <v>0</v>
      </c>
      <c r="F719" s="30">
        <f t="shared" si="587"/>
        <v>0</v>
      </c>
      <c r="G719" s="30">
        <f t="shared" si="587"/>
        <v>0</v>
      </c>
      <c r="H719" s="30">
        <f t="shared" si="587"/>
        <v>0</v>
      </c>
      <c r="I719" s="30">
        <f t="shared" si="587"/>
        <v>0</v>
      </c>
      <c r="J719" s="30">
        <f t="shared" si="587"/>
        <v>0</v>
      </c>
      <c r="K719" s="30">
        <f t="shared" si="587"/>
        <v>0</v>
      </c>
      <c r="L719" s="30">
        <f t="shared" si="587"/>
        <v>0</v>
      </c>
      <c r="M719" s="30">
        <f t="shared" si="587"/>
        <v>0</v>
      </c>
      <c r="N719" s="30">
        <f t="shared" si="587"/>
        <v>0</v>
      </c>
      <c r="O719" s="30">
        <f t="shared" si="587"/>
        <v>0</v>
      </c>
      <c r="P719" s="30">
        <f t="shared" si="587"/>
        <v>0</v>
      </c>
      <c r="Q719" s="30">
        <f t="shared" si="587"/>
        <v>0</v>
      </c>
      <c r="R719" s="30">
        <f t="shared" si="587"/>
        <v>0</v>
      </c>
      <c r="S719" s="30">
        <f t="shared" si="587"/>
        <v>0</v>
      </c>
      <c r="T719" s="30">
        <f t="shared" si="587"/>
        <v>0</v>
      </c>
      <c r="U719" s="30">
        <f t="shared" si="587"/>
        <v>0</v>
      </c>
      <c r="V719" s="30">
        <f t="shared" si="587"/>
        <v>0</v>
      </c>
      <c r="W719" s="30">
        <f t="shared" si="587"/>
        <v>0</v>
      </c>
      <c r="X719" s="30">
        <f t="shared" si="587"/>
        <v>0</v>
      </c>
      <c r="Y719" s="29" t="s">
        <v>1984</v>
      </c>
      <c r="Z719" s="31" t="s">
        <v>40</v>
      </c>
      <c r="AA719" s="32" t="s">
        <v>41</v>
      </c>
      <c r="AB719" s="32" t="s">
        <v>47</v>
      </c>
      <c r="AC719" s="33" t="s">
        <v>1939</v>
      </c>
    </row>
    <row r="720" spans="1:29" ht="46.5" x14ac:dyDescent="0.25">
      <c r="A720" s="34" t="s">
        <v>1985</v>
      </c>
      <c r="B720" s="35" t="s">
        <v>1986</v>
      </c>
      <c r="C720" s="36"/>
      <c r="D720" s="36"/>
      <c r="E720" s="37">
        <v>0</v>
      </c>
      <c r="F720" s="37">
        <v>0</v>
      </c>
      <c r="G720" s="37">
        <v>0</v>
      </c>
      <c r="H720" s="37">
        <v>0</v>
      </c>
      <c r="I720" s="37">
        <v>0</v>
      </c>
      <c r="J720" s="37">
        <v>0</v>
      </c>
      <c r="K720" s="37">
        <v>0</v>
      </c>
      <c r="L720" s="37">
        <v>0</v>
      </c>
      <c r="M720" s="37">
        <v>0</v>
      </c>
      <c r="N720" s="37">
        <v>0</v>
      </c>
      <c r="O720" s="37">
        <v>0</v>
      </c>
      <c r="P720" s="37">
        <v>0</v>
      </c>
      <c r="Q720" s="37">
        <v>0</v>
      </c>
      <c r="R720" s="37">
        <v>0</v>
      </c>
      <c r="S720" s="37">
        <v>0</v>
      </c>
      <c r="T720" s="37">
        <v>0</v>
      </c>
      <c r="U720" s="37">
        <v>0</v>
      </c>
      <c r="V720" s="37">
        <v>0</v>
      </c>
      <c r="W720" s="37">
        <v>0</v>
      </c>
      <c r="X720" s="37">
        <v>0</v>
      </c>
      <c r="Y720" s="36"/>
      <c r="Z720" s="38"/>
      <c r="AA720" s="39"/>
      <c r="AB720" s="39"/>
      <c r="AC720" s="40"/>
    </row>
    <row r="721" spans="1:29" ht="45" x14ac:dyDescent="0.25">
      <c r="A721" s="13" t="s">
        <v>1987</v>
      </c>
      <c r="B721" s="14" t="s">
        <v>1988</v>
      </c>
      <c r="C721" s="15" t="s">
        <v>1989</v>
      </c>
      <c r="D721" s="15" t="s">
        <v>1990</v>
      </c>
      <c r="E721" s="16">
        <f t="shared" ref="E721:X721" si="588">SUM(E722:E722)</f>
        <v>2500</v>
      </c>
      <c r="F721" s="16">
        <f t="shared" si="588"/>
        <v>2500</v>
      </c>
      <c r="G721" s="16">
        <f t="shared" si="588"/>
        <v>0</v>
      </c>
      <c r="H721" s="16">
        <f t="shared" si="588"/>
        <v>0</v>
      </c>
      <c r="I721" s="16">
        <f t="shared" si="588"/>
        <v>0</v>
      </c>
      <c r="J721" s="16">
        <f t="shared" si="588"/>
        <v>0</v>
      </c>
      <c r="K721" s="16">
        <f t="shared" si="588"/>
        <v>0</v>
      </c>
      <c r="L721" s="16">
        <f t="shared" si="588"/>
        <v>0</v>
      </c>
      <c r="M721" s="16">
        <f t="shared" si="588"/>
        <v>0</v>
      </c>
      <c r="N721" s="16">
        <f t="shared" si="588"/>
        <v>0</v>
      </c>
      <c r="O721" s="16">
        <f t="shared" si="588"/>
        <v>2499.66</v>
      </c>
      <c r="P721" s="16">
        <f t="shared" si="588"/>
        <v>2499.66</v>
      </c>
      <c r="Q721" s="16">
        <f t="shared" si="588"/>
        <v>0</v>
      </c>
      <c r="R721" s="16">
        <f t="shared" si="588"/>
        <v>0</v>
      </c>
      <c r="S721" s="16">
        <f t="shared" si="588"/>
        <v>0</v>
      </c>
      <c r="T721" s="16">
        <f t="shared" si="588"/>
        <v>0</v>
      </c>
      <c r="U721" s="16">
        <f t="shared" si="588"/>
        <v>0</v>
      </c>
      <c r="V721" s="16">
        <f t="shared" si="588"/>
        <v>0</v>
      </c>
      <c r="W721" s="16">
        <f t="shared" si="588"/>
        <v>0</v>
      </c>
      <c r="X721" s="16">
        <f t="shared" si="588"/>
        <v>0</v>
      </c>
      <c r="Y721" s="15" t="s">
        <v>1991</v>
      </c>
      <c r="Z721" s="17" t="s">
        <v>34</v>
      </c>
      <c r="AA721" s="18" t="s">
        <v>149</v>
      </c>
      <c r="AB721" s="18" t="s">
        <v>35</v>
      </c>
      <c r="AC721" s="19"/>
    </row>
    <row r="722" spans="1:29" ht="45" x14ac:dyDescent="0.25">
      <c r="A722" s="20" t="s">
        <v>1992</v>
      </c>
      <c r="B722" s="21" t="s">
        <v>1993</v>
      </c>
      <c r="C722" s="22" t="s">
        <v>1071</v>
      </c>
      <c r="D722" s="22" t="s">
        <v>1072</v>
      </c>
      <c r="E722" s="23">
        <f t="shared" ref="E722:X722" si="589">E723+E725+E727</f>
        <v>2500</v>
      </c>
      <c r="F722" s="23">
        <f t="shared" si="589"/>
        <v>2500</v>
      </c>
      <c r="G722" s="23">
        <f t="shared" si="589"/>
        <v>0</v>
      </c>
      <c r="H722" s="23">
        <f t="shared" si="589"/>
        <v>0</v>
      </c>
      <c r="I722" s="23">
        <f t="shared" si="589"/>
        <v>0</v>
      </c>
      <c r="J722" s="23">
        <f t="shared" si="589"/>
        <v>0</v>
      </c>
      <c r="K722" s="23">
        <f t="shared" si="589"/>
        <v>0</v>
      </c>
      <c r="L722" s="23">
        <f t="shared" si="589"/>
        <v>0</v>
      </c>
      <c r="M722" s="23">
        <f t="shared" si="589"/>
        <v>0</v>
      </c>
      <c r="N722" s="23">
        <f t="shared" si="589"/>
        <v>0</v>
      </c>
      <c r="O722" s="23">
        <f t="shared" si="589"/>
        <v>2499.66</v>
      </c>
      <c r="P722" s="23">
        <f t="shared" si="589"/>
        <v>2499.66</v>
      </c>
      <c r="Q722" s="23">
        <f t="shared" si="589"/>
        <v>0</v>
      </c>
      <c r="R722" s="23">
        <f t="shared" si="589"/>
        <v>0</v>
      </c>
      <c r="S722" s="23">
        <f t="shared" si="589"/>
        <v>0</v>
      </c>
      <c r="T722" s="23">
        <f t="shared" si="589"/>
        <v>0</v>
      </c>
      <c r="U722" s="23">
        <f t="shared" si="589"/>
        <v>0</v>
      </c>
      <c r="V722" s="23">
        <f t="shared" si="589"/>
        <v>0</v>
      </c>
      <c r="W722" s="23">
        <f t="shared" si="589"/>
        <v>0</v>
      </c>
      <c r="X722" s="23">
        <f t="shared" si="589"/>
        <v>0</v>
      </c>
      <c r="Y722" s="22" t="s">
        <v>1994</v>
      </c>
      <c r="Z722" s="24" t="s">
        <v>40</v>
      </c>
      <c r="AA722" s="25" t="s">
        <v>69</v>
      </c>
      <c r="AB722" s="25" t="s">
        <v>69</v>
      </c>
      <c r="AC722" s="26"/>
    </row>
    <row r="723" spans="1:29" ht="46.5" x14ac:dyDescent="0.25">
      <c r="A723" s="27" t="s">
        <v>1995</v>
      </c>
      <c r="B723" s="28" t="s">
        <v>1996</v>
      </c>
      <c r="C723" s="29" t="s">
        <v>209</v>
      </c>
      <c r="D723" s="29"/>
      <c r="E723" s="30">
        <f>SUM(E724:E724)+500</f>
        <v>500</v>
      </c>
      <c r="F723" s="30">
        <f>SUM(F724:F724)+500</f>
        <v>500</v>
      </c>
      <c r="G723" s="30">
        <f t="shared" ref="G723:N723" si="590">SUM(G724:G724)</f>
        <v>0</v>
      </c>
      <c r="H723" s="30">
        <f t="shared" si="590"/>
        <v>0</v>
      </c>
      <c r="I723" s="30">
        <f t="shared" si="590"/>
        <v>0</v>
      </c>
      <c r="J723" s="30">
        <f t="shared" si="590"/>
        <v>0</v>
      </c>
      <c r="K723" s="30">
        <f t="shared" si="590"/>
        <v>0</v>
      </c>
      <c r="L723" s="30">
        <f t="shared" si="590"/>
        <v>0</v>
      </c>
      <c r="M723" s="30">
        <f t="shared" si="590"/>
        <v>0</v>
      </c>
      <c r="N723" s="30">
        <f t="shared" si="590"/>
        <v>0</v>
      </c>
      <c r="O723" s="30">
        <f>SUM(O724:O724)+500</f>
        <v>500</v>
      </c>
      <c r="P723" s="30">
        <f>SUM(P724:P724)+500</f>
        <v>500</v>
      </c>
      <c r="Q723" s="30">
        <f t="shared" ref="Q723:X723" si="591">SUM(Q724:Q724)</f>
        <v>0</v>
      </c>
      <c r="R723" s="30">
        <f t="shared" si="591"/>
        <v>0</v>
      </c>
      <c r="S723" s="30">
        <f t="shared" si="591"/>
        <v>0</v>
      </c>
      <c r="T723" s="30">
        <f t="shared" si="591"/>
        <v>0</v>
      </c>
      <c r="U723" s="30">
        <f t="shared" si="591"/>
        <v>0</v>
      </c>
      <c r="V723" s="30">
        <f t="shared" si="591"/>
        <v>0</v>
      </c>
      <c r="W723" s="30">
        <f t="shared" si="591"/>
        <v>0</v>
      </c>
      <c r="X723" s="30">
        <f t="shared" si="591"/>
        <v>0</v>
      </c>
      <c r="Y723" s="29" t="s">
        <v>1997</v>
      </c>
      <c r="Z723" s="31" t="s">
        <v>40</v>
      </c>
      <c r="AA723" s="32" t="s">
        <v>54</v>
      </c>
      <c r="AB723" s="32" t="s">
        <v>54</v>
      </c>
      <c r="AC723" s="33"/>
    </row>
    <row r="724" spans="1:29" ht="46.5" x14ac:dyDescent="0.25">
      <c r="A724" s="34" t="s">
        <v>1998</v>
      </c>
      <c r="B724" s="35" t="s">
        <v>1999</v>
      </c>
      <c r="C724" s="36"/>
      <c r="D724" s="36"/>
      <c r="E724" s="37">
        <v>0</v>
      </c>
      <c r="F724" s="37">
        <v>0</v>
      </c>
      <c r="G724" s="37">
        <v>0</v>
      </c>
      <c r="H724" s="37">
        <v>0</v>
      </c>
      <c r="I724" s="37">
        <v>0</v>
      </c>
      <c r="J724" s="37">
        <v>0</v>
      </c>
      <c r="K724" s="37">
        <v>0</v>
      </c>
      <c r="L724" s="37">
        <v>0</v>
      </c>
      <c r="M724" s="37">
        <v>0</v>
      </c>
      <c r="N724" s="37">
        <v>0</v>
      </c>
      <c r="O724" s="37">
        <v>0</v>
      </c>
      <c r="P724" s="37">
        <v>0</v>
      </c>
      <c r="Q724" s="37">
        <v>0</v>
      </c>
      <c r="R724" s="37">
        <v>0</v>
      </c>
      <c r="S724" s="37">
        <v>0</v>
      </c>
      <c r="T724" s="37">
        <v>0</v>
      </c>
      <c r="U724" s="37">
        <v>0</v>
      </c>
      <c r="V724" s="37">
        <v>0</v>
      </c>
      <c r="W724" s="37">
        <v>0</v>
      </c>
      <c r="X724" s="37">
        <v>0</v>
      </c>
      <c r="Y724" s="36"/>
      <c r="Z724" s="38"/>
      <c r="AA724" s="39"/>
      <c r="AB724" s="39"/>
      <c r="AC724" s="40"/>
    </row>
    <row r="725" spans="1:29" ht="46.5" x14ac:dyDescent="0.25">
      <c r="A725" s="27" t="s">
        <v>2000</v>
      </c>
      <c r="B725" s="28" t="s">
        <v>2001</v>
      </c>
      <c r="C725" s="29" t="s">
        <v>209</v>
      </c>
      <c r="D725" s="29"/>
      <c r="E725" s="30">
        <f>SUM(E726:E726)+2000</f>
        <v>2000</v>
      </c>
      <c r="F725" s="30">
        <f>SUM(F726:F726)+2000</f>
        <v>2000</v>
      </c>
      <c r="G725" s="30">
        <f t="shared" ref="G725:N725" si="592">SUM(G726:G726)</f>
        <v>0</v>
      </c>
      <c r="H725" s="30">
        <f t="shared" si="592"/>
        <v>0</v>
      </c>
      <c r="I725" s="30">
        <f t="shared" si="592"/>
        <v>0</v>
      </c>
      <c r="J725" s="30">
        <f t="shared" si="592"/>
        <v>0</v>
      </c>
      <c r="K725" s="30">
        <f t="shared" si="592"/>
        <v>0</v>
      </c>
      <c r="L725" s="30">
        <f t="shared" si="592"/>
        <v>0</v>
      </c>
      <c r="M725" s="30">
        <f t="shared" si="592"/>
        <v>0</v>
      </c>
      <c r="N725" s="30">
        <f t="shared" si="592"/>
        <v>0</v>
      </c>
      <c r="O725" s="30">
        <f>SUM(O726:O726)+1999.66</f>
        <v>1999.66</v>
      </c>
      <c r="P725" s="30">
        <f>SUM(P726:P726)+1999.66</f>
        <v>1999.66</v>
      </c>
      <c r="Q725" s="30">
        <f t="shared" ref="Q725:X725" si="593">SUM(Q726:Q726)</f>
        <v>0</v>
      </c>
      <c r="R725" s="30">
        <f t="shared" si="593"/>
        <v>0</v>
      </c>
      <c r="S725" s="30">
        <f t="shared" si="593"/>
        <v>0</v>
      </c>
      <c r="T725" s="30">
        <f t="shared" si="593"/>
        <v>0</v>
      </c>
      <c r="U725" s="30">
        <f t="shared" si="593"/>
        <v>0</v>
      </c>
      <c r="V725" s="30">
        <f t="shared" si="593"/>
        <v>0</v>
      </c>
      <c r="W725" s="30">
        <f t="shared" si="593"/>
        <v>0</v>
      </c>
      <c r="X725" s="30">
        <f t="shared" si="593"/>
        <v>0</v>
      </c>
      <c r="Y725" s="29" t="s">
        <v>2002</v>
      </c>
      <c r="Z725" s="31" t="s">
        <v>40</v>
      </c>
      <c r="AA725" s="32" t="s">
        <v>54</v>
      </c>
      <c r="AB725" s="32" t="s">
        <v>54</v>
      </c>
      <c r="AC725" s="33"/>
    </row>
    <row r="726" spans="1:29" ht="46.5" x14ac:dyDescent="0.25">
      <c r="A726" s="34" t="s">
        <v>2003</v>
      </c>
      <c r="B726" s="35" t="s">
        <v>2004</v>
      </c>
      <c r="C726" s="36"/>
      <c r="D726" s="36"/>
      <c r="E726" s="37">
        <v>0</v>
      </c>
      <c r="F726" s="37">
        <v>0</v>
      </c>
      <c r="G726" s="37">
        <v>0</v>
      </c>
      <c r="H726" s="37">
        <v>0</v>
      </c>
      <c r="I726" s="37">
        <v>0</v>
      </c>
      <c r="J726" s="37">
        <v>0</v>
      </c>
      <c r="K726" s="37">
        <v>0</v>
      </c>
      <c r="L726" s="37">
        <v>0</v>
      </c>
      <c r="M726" s="37">
        <v>0</v>
      </c>
      <c r="N726" s="37">
        <v>0</v>
      </c>
      <c r="O726" s="37">
        <v>0</v>
      </c>
      <c r="P726" s="37">
        <v>0</v>
      </c>
      <c r="Q726" s="37">
        <v>0</v>
      </c>
      <c r="R726" s="37">
        <v>0</v>
      </c>
      <c r="S726" s="37">
        <v>0</v>
      </c>
      <c r="T726" s="37">
        <v>0</v>
      </c>
      <c r="U726" s="37">
        <v>0</v>
      </c>
      <c r="V726" s="37">
        <v>0</v>
      </c>
      <c r="W726" s="37">
        <v>0</v>
      </c>
      <c r="X726" s="37">
        <v>0</v>
      </c>
      <c r="Y726" s="36"/>
      <c r="Z726" s="38"/>
      <c r="AA726" s="39"/>
      <c r="AB726" s="39"/>
      <c r="AC726" s="40"/>
    </row>
    <row r="727" spans="1:29" ht="69.75" x14ac:dyDescent="0.25">
      <c r="A727" s="27" t="s">
        <v>2005</v>
      </c>
      <c r="B727" s="28" t="s">
        <v>2006</v>
      </c>
      <c r="C727" s="29" t="s">
        <v>1479</v>
      </c>
      <c r="D727" s="29" t="s">
        <v>1482</v>
      </c>
      <c r="E727" s="30">
        <f t="shared" ref="E727:X727" si="594">SUM(E728:E728)</f>
        <v>0</v>
      </c>
      <c r="F727" s="30">
        <f t="shared" si="594"/>
        <v>0</v>
      </c>
      <c r="G727" s="30">
        <f t="shared" si="594"/>
        <v>0</v>
      </c>
      <c r="H727" s="30">
        <f t="shared" si="594"/>
        <v>0</v>
      </c>
      <c r="I727" s="30">
        <f t="shared" si="594"/>
        <v>0</v>
      </c>
      <c r="J727" s="30">
        <f t="shared" si="594"/>
        <v>0</v>
      </c>
      <c r="K727" s="30">
        <f t="shared" si="594"/>
        <v>0</v>
      </c>
      <c r="L727" s="30">
        <f t="shared" si="594"/>
        <v>0</v>
      </c>
      <c r="M727" s="30">
        <f t="shared" si="594"/>
        <v>0</v>
      </c>
      <c r="N727" s="30">
        <f t="shared" si="594"/>
        <v>0</v>
      </c>
      <c r="O727" s="30">
        <f t="shared" si="594"/>
        <v>0</v>
      </c>
      <c r="P727" s="30">
        <f t="shared" si="594"/>
        <v>0</v>
      </c>
      <c r="Q727" s="30">
        <f t="shared" si="594"/>
        <v>0</v>
      </c>
      <c r="R727" s="30">
        <f t="shared" si="594"/>
        <v>0</v>
      </c>
      <c r="S727" s="30">
        <f t="shared" si="594"/>
        <v>0</v>
      </c>
      <c r="T727" s="30">
        <f t="shared" si="594"/>
        <v>0</v>
      </c>
      <c r="U727" s="30">
        <f t="shared" si="594"/>
        <v>0</v>
      </c>
      <c r="V727" s="30">
        <f t="shared" si="594"/>
        <v>0</v>
      </c>
      <c r="W727" s="30">
        <f t="shared" si="594"/>
        <v>0</v>
      </c>
      <c r="X727" s="30">
        <f t="shared" si="594"/>
        <v>0</v>
      </c>
      <c r="Y727" s="29" t="s">
        <v>2007</v>
      </c>
      <c r="Z727" s="31" t="s">
        <v>40</v>
      </c>
      <c r="AA727" s="32" t="s">
        <v>54</v>
      </c>
      <c r="AB727" s="32" t="s">
        <v>47</v>
      </c>
      <c r="AC727" s="33" t="s">
        <v>2008</v>
      </c>
    </row>
    <row r="728" spans="1:29" ht="46.5" x14ac:dyDescent="0.25">
      <c r="A728" s="34" t="s">
        <v>2009</v>
      </c>
      <c r="B728" s="35" t="s">
        <v>2010</v>
      </c>
      <c r="C728" s="36"/>
      <c r="D728" s="36"/>
      <c r="E728" s="37">
        <v>0</v>
      </c>
      <c r="F728" s="37">
        <v>0</v>
      </c>
      <c r="G728" s="37">
        <v>0</v>
      </c>
      <c r="H728" s="37">
        <v>0</v>
      </c>
      <c r="I728" s="37">
        <v>0</v>
      </c>
      <c r="J728" s="37">
        <v>0</v>
      </c>
      <c r="K728" s="37">
        <v>0</v>
      </c>
      <c r="L728" s="37">
        <v>0</v>
      </c>
      <c r="M728" s="37">
        <v>0</v>
      </c>
      <c r="N728" s="37">
        <v>0</v>
      </c>
      <c r="O728" s="37">
        <v>0</v>
      </c>
      <c r="P728" s="37">
        <v>0</v>
      </c>
      <c r="Q728" s="37">
        <v>0</v>
      </c>
      <c r="R728" s="37">
        <v>0</v>
      </c>
      <c r="S728" s="37">
        <v>0</v>
      </c>
      <c r="T728" s="37">
        <v>0</v>
      </c>
      <c r="U728" s="37">
        <v>0</v>
      </c>
      <c r="V728" s="37">
        <v>0</v>
      </c>
      <c r="W728" s="37">
        <v>0</v>
      </c>
      <c r="X728" s="37">
        <v>0</v>
      </c>
      <c r="Y728" s="36"/>
      <c r="Z728" s="38"/>
      <c r="AA728" s="39"/>
      <c r="AB728" s="39"/>
      <c r="AC728" s="40"/>
    </row>
    <row r="729" spans="1:29" ht="67.5" x14ac:dyDescent="0.25">
      <c r="A729" s="13" t="s">
        <v>2011</v>
      </c>
      <c r="B729" s="14" t="s">
        <v>2012</v>
      </c>
      <c r="C729" s="15" t="s">
        <v>1479</v>
      </c>
      <c r="D729" s="15" t="s">
        <v>1482</v>
      </c>
      <c r="E729" s="16">
        <f t="shared" ref="E729:X729" si="595">SUM(E730:E730)</f>
        <v>115005</v>
      </c>
      <c r="F729" s="16">
        <f t="shared" si="595"/>
        <v>56275</v>
      </c>
      <c r="G729" s="16">
        <f t="shared" si="595"/>
        <v>0</v>
      </c>
      <c r="H729" s="16">
        <f t="shared" si="595"/>
        <v>0</v>
      </c>
      <c r="I729" s="16">
        <f t="shared" si="595"/>
        <v>58730</v>
      </c>
      <c r="J729" s="16">
        <f t="shared" si="595"/>
        <v>0</v>
      </c>
      <c r="K729" s="16">
        <f t="shared" si="595"/>
        <v>0</v>
      </c>
      <c r="L729" s="16">
        <f t="shared" si="595"/>
        <v>0</v>
      </c>
      <c r="M729" s="16">
        <f t="shared" si="595"/>
        <v>0</v>
      </c>
      <c r="N729" s="16">
        <f t="shared" si="595"/>
        <v>0</v>
      </c>
      <c r="O729" s="16">
        <f t="shared" si="595"/>
        <v>114267.31</v>
      </c>
      <c r="P729" s="16">
        <f t="shared" si="595"/>
        <v>55537.310000000005</v>
      </c>
      <c r="Q729" s="16">
        <f t="shared" si="595"/>
        <v>0</v>
      </c>
      <c r="R729" s="16">
        <f t="shared" si="595"/>
        <v>0</v>
      </c>
      <c r="S729" s="16">
        <f t="shared" si="595"/>
        <v>0</v>
      </c>
      <c r="T729" s="16">
        <f t="shared" si="595"/>
        <v>0</v>
      </c>
      <c r="U729" s="16">
        <f t="shared" si="595"/>
        <v>0</v>
      </c>
      <c r="V729" s="16">
        <f t="shared" si="595"/>
        <v>0</v>
      </c>
      <c r="W729" s="16">
        <f t="shared" si="595"/>
        <v>0</v>
      </c>
      <c r="X729" s="16">
        <f t="shared" si="595"/>
        <v>0</v>
      </c>
      <c r="Y729" s="15" t="s">
        <v>2013</v>
      </c>
      <c r="Z729" s="17" t="s">
        <v>40</v>
      </c>
      <c r="AA729" s="18" t="s">
        <v>321</v>
      </c>
      <c r="AB729" s="18" t="s">
        <v>1221</v>
      </c>
      <c r="AC729" s="19" t="s">
        <v>2014</v>
      </c>
    </row>
    <row r="730" spans="1:29" ht="67.5" x14ac:dyDescent="0.25">
      <c r="A730" s="20" t="s">
        <v>2015</v>
      </c>
      <c r="B730" s="21" t="s">
        <v>2016</v>
      </c>
      <c r="C730" s="22" t="s">
        <v>1479</v>
      </c>
      <c r="D730" s="22" t="s">
        <v>1482</v>
      </c>
      <c r="E730" s="23">
        <f t="shared" ref="E730:X730" si="596">E731+E733+E735+E737+E739+E741+E743+E745+E747+E749+E751+E753+E755+E757</f>
        <v>115005</v>
      </c>
      <c r="F730" s="23">
        <f t="shared" si="596"/>
        <v>56275</v>
      </c>
      <c r="G730" s="23">
        <f t="shared" si="596"/>
        <v>0</v>
      </c>
      <c r="H730" s="23">
        <f t="shared" si="596"/>
        <v>0</v>
      </c>
      <c r="I730" s="23">
        <f t="shared" si="596"/>
        <v>58730</v>
      </c>
      <c r="J730" s="23">
        <f t="shared" si="596"/>
        <v>0</v>
      </c>
      <c r="K730" s="23">
        <f t="shared" si="596"/>
        <v>0</v>
      </c>
      <c r="L730" s="23">
        <f t="shared" si="596"/>
        <v>0</v>
      </c>
      <c r="M730" s="23">
        <f t="shared" si="596"/>
        <v>0</v>
      </c>
      <c r="N730" s="23">
        <f t="shared" si="596"/>
        <v>0</v>
      </c>
      <c r="O730" s="23">
        <f t="shared" si="596"/>
        <v>114267.31</v>
      </c>
      <c r="P730" s="23">
        <f t="shared" si="596"/>
        <v>55537.310000000005</v>
      </c>
      <c r="Q730" s="23">
        <f t="shared" si="596"/>
        <v>0</v>
      </c>
      <c r="R730" s="23">
        <f t="shared" si="596"/>
        <v>0</v>
      </c>
      <c r="S730" s="23">
        <f t="shared" si="596"/>
        <v>0</v>
      </c>
      <c r="T730" s="23">
        <f t="shared" si="596"/>
        <v>0</v>
      </c>
      <c r="U730" s="23">
        <f t="shared" si="596"/>
        <v>0</v>
      </c>
      <c r="V730" s="23">
        <f t="shared" si="596"/>
        <v>0</v>
      </c>
      <c r="W730" s="23">
        <f t="shared" si="596"/>
        <v>0</v>
      </c>
      <c r="X730" s="23">
        <f t="shared" si="596"/>
        <v>0</v>
      </c>
      <c r="Y730" s="22" t="s">
        <v>2017</v>
      </c>
      <c r="Z730" s="24" t="s">
        <v>40</v>
      </c>
      <c r="AA730" s="25" t="s">
        <v>321</v>
      </c>
      <c r="AB730" s="25" t="s">
        <v>1221</v>
      </c>
      <c r="AC730" s="26" t="s">
        <v>2014</v>
      </c>
    </row>
    <row r="731" spans="1:29" ht="69.75" x14ac:dyDescent="0.25">
      <c r="A731" s="27" t="s">
        <v>2018</v>
      </c>
      <c r="B731" s="28" t="s">
        <v>2019</v>
      </c>
      <c r="C731" s="29" t="s">
        <v>1479</v>
      </c>
      <c r="D731" s="29" t="s">
        <v>1579</v>
      </c>
      <c r="E731" s="30">
        <f>SUM(E732:E732)+8100</f>
        <v>8100</v>
      </c>
      <c r="F731" s="30">
        <f>SUM(F732:F732)+4050</f>
        <v>4050</v>
      </c>
      <c r="G731" s="30">
        <f>SUM(G732:G732)</f>
        <v>0</v>
      </c>
      <c r="H731" s="30">
        <f>SUM(H732:H732)</f>
        <v>0</v>
      </c>
      <c r="I731" s="30">
        <f>SUM(I732:I732)+4050</f>
        <v>4050</v>
      </c>
      <c r="J731" s="30">
        <f>SUM(J732:J732)</f>
        <v>0</v>
      </c>
      <c r="K731" s="30">
        <f>SUM(K732:K732)</f>
        <v>0</v>
      </c>
      <c r="L731" s="30">
        <f>SUM(L732:L732)</f>
        <v>0</v>
      </c>
      <c r="M731" s="30">
        <f>SUM(M732:M732)</f>
        <v>0</v>
      </c>
      <c r="N731" s="30">
        <f>SUM(N732:N732)</f>
        <v>0</v>
      </c>
      <c r="O731" s="30">
        <f>SUM(O732:O732)+8088.24</f>
        <v>8088.24</v>
      </c>
      <c r="P731" s="30">
        <f>SUM(P732:P732)+4038.24</f>
        <v>4038.24</v>
      </c>
      <c r="Q731" s="30">
        <f t="shared" ref="Q731:X731" si="597">SUM(Q732:Q732)</f>
        <v>0</v>
      </c>
      <c r="R731" s="30">
        <f t="shared" si="597"/>
        <v>0</v>
      </c>
      <c r="S731" s="30">
        <f t="shared" si="597"/>
        <v>0</v>
      </c>
      <c r="T731" s="30">
        <f t="shared" si="597"/>
        <v>0</v>
      </c>
      <c r="U731" s="30">
        <f t="shared" si="597"/>
        <v>0</v>
      </c>
      <c r="V731" s="30">
        <f t="shared" si="597"/>
        <v>0</v>
      </c>
      <c r="W731" s="30">
        <f t="shared" si="597"/>
        <v>0</v>
      </c>
      <c r="X731" s="30">
        <f t="shared" si="597"/>
        <v>0</v>
      </c>
      <c r="Y731" s="29" t="s">
        <v>2017</v>
      </c>
      <c r="Z731" s="31" t="s">
        <v>40</v>
      </c>
      <c r="AA731" s="32" t="s">
        <v>41</v>
      </c>
      <c r="AB731" s="32" t="s">
        <v>69</v>
      </c>
      <c r="AC731" s="33" t="s">
        <v>2014</v>
      </c>
    </row>
    <row r="732" spans="1:29" ht="46.5" x14ac:dyDescent="0.25">
      <c r="A732" s="34" t="s">
        <v>2020</v>
      </c>
      <c r="B732" s="35" t="s">
        <v>2021</v>
      </c>
      <c r="C732" s="36"/>
      <c r="D732" s="36"/>
      <c r="E732" s="37">
        <v>0</v>
      </c>
      <c r="F732" s="37">
        <v>0</v>
      </c>
      <c r="G732" s="37">
        <v>0</v>
      </c>
      <c r="H732" s="37">
        <v>0</v>
      </c>
      <c r="I732" s="37">
        <v>0</v>
      </c>
      <c r="J732" s="37">
        <v>0</v>
      </c>
      <c r="K732" s="37">
        <v>0</v>
      </c>
      <c r="L732" s="37">
        <v>0</v>
      </c>
      <c r="M732" s="37">
        <v>0</v>
      </c>
      <c r="N732" s="37">
        <v>0</v>
      </c>
      <c r="O732" s="37">
        <v>0</v>
      </c>
      <c r="P732" s="37">
        <v>0</v>
      </c>
      <c r="Q732" s="37">
        <v>0</v>
      </c>
      <c r="R732" s="37">
        <v>0</v>
      </c>
      <c r="S732" s="37">
        <v>0</v>
      </c>
      <c r="T732" s="37">
        <v>0</v>
      </c>
      <c r="U732" s="37">
        <v>0</v>
      </c>
      <c r="V732" s="37">
        <v>0</v>
      </c>
      <c r="W732" s="37">
        <v>0</v>
      </c>
      <c r="X732" s="37">
        <v>0</v>
      </c>
      <c r="Y732" s="36"/>
      <c r="Z732" s="38"/>
      <c r="AA732" s="39"/>
      <c r="AB732" s="39"/>
      <c r="AC732" s="40"/>
    </row>
    <row r="733" spans="1:29" ht="69.75" x14ac:dyDescent="0.25">
      <c r="A733" s="27" t="s">
        <v>2022</v>
      </c>
      <c r="B733" s="28" t="s">
        <v>2023</v>
      </c>
      <c r="C733" s="29" t="s">
        <v>1479</v>
      </c>
      <c r="D733" s="29" t="s">
        <v>1579</v>
      </c>
      <c r="E733" s="30">
        <f>SUM(E734:E734)+16200</f>
        <v>16200</v>
      </c>
      <c r="F733" s="30">
        <f>SUM(F734:F734)+8100</f>
        <v>8100</v>
      </c>
      <c r="G733" s="30">
        <f>SUM(G734:G734)</f>
        <v>0</v>
      </c>
      <c r="H733" s="30">
        <f>SUM(H734:H734)</f>
        <v>0</v>
      </c>
      <c r="I733" s="30">
        <f>SUM(I734:I734)+8100</f>
        <v>8100</v>
      </c>
      <c r="J733" s="30">
        <f>SUM(J734:J734)</f>
        <v>0</v>
      </c>
      <c r="K733" s="30">
        <f>SUM(K734:K734)</f>
        <v>0</v>
      </c>
      <c r="L733" s="30">
        <f>SUM(L734:L734)</f>
        <v>0</v>
      </c>
      <c r="M733" s="30">
        <f>SUM(M734:M734)</f>
        <v>0</v>
      </c>
      <c r="N733" s="30">
        <f>SUM(N734:N734)</f>
        <v>0</v>
      </c>
      <c r="O733" s="30">
        <f>SUM(O734:O734)+16165.6</f>
        <v>16165.6</v>
      </c>
      <c r="P733" s="30">
        <f>SUM(P734:P734)+8065.6</f>
        <v>8065.6</v>
      </c>
      <c r="Q733" s="30">
        <f t="shared" ref="Q733:X733" si="598">SUM(Q734:Q734)</f>
        <v>0</v>
      </c>
      <c r="R733" s="30">
        <f t="shared" si="598"/>
        <v>0</v>
      </c>
      <c r="S733" s="30">
        <f t="shared" si="598"/>
        <v>0</v>
      </c>
      <c r="T733" s="30">
        <f t="shared" si="598"/>
        <v>0</v>
      </c>
      <c r="U733" s="30">
        <f t="shared" si="598"/>
        <v>0</v>
      </c>
      <c r="V733" s="30">
        <f t="shared" si="598"/>
        <v>0</v>
      </c>
      <c r="W733" s="30">
        <f t="shared" si="598"/>
        <v>0</v>
      </c>
      <c r="X733" s="30">
        <f t="shared" si="598"/>
        <v>0</v>
      </c>
      <c r="Y733" s="29" t="s">
        <v>2017</v>
      </c>
      <c r="Z733" s="31" t="s">
        <v>40</v>
      </c>
      <c r="AA733" s="32" t="s">
        <v>69</v>
      </c>
      <c r="AB733" s="32" t="s">
        <v>390</v>
      </c>
      <c r="AC733" s="33" t="s">
        <v>2014</v>
      </c>
    </row>
    <row r="734" spans="1:29" ht="46.5" x14ac:dyDescent="0.25">
      <c r="A734" s="34" t="s">
        <v>2024</v>
      </c>
      <c r="B734" s="35" t="s">
        <v>2021</v>
      </c>
      <c r="C734" s="36"/>
      <c r="D734" s="36"/>
      <c r="E734" s="37">
        <v>0</v>
      </c>
      <c r="F734" s="37">
        <v>0</v>
      </c>
      <c r="G734" s="37">
        <v>0</v>
      </c>
      <c r="H734" s="37">
        <v>0</v>
      </c>
      <c r="I734" s="37">
        <v>0</v>
      </c>
      <c r="J734" s="37">
        <v>0</v>
      </c>
      <c r="K734" s="37">
        <v>0</v>
      </c>
      <c r="L734" s="37">
        <v>0</v>
      </c>
      <c r="M734" s="37">
        <v>0</v>
      </c>
      <c r="N734" s="37">
        <v>0</v>
      </c>
      <c r="O734" s="37">
        <v>0</v>
      </c>
      <c r="P734" s="37">
        <v>0</v>
      </c>
      <c r="Q734" s="37">
        <v>0</v>
      </c>
      <c r="R734" s="37">
        <v>0</v>
      </c>
      <c r="S734" s="37">
        <v>0</v>
      </c>
      <c r="T734" s="37">
        <v>0</v>
      </c>
      <c r="U734" s="37">
        <v>0</v>
      </c>
      <c r="V734" s="37">
        <v>0</v>
      </c>
      <c r="W734" s="37">
        <v>0</v>
      </c>
      <c r="X734" s="37">
        <v>0</v>
      </c>
      <c r="Y734" s="36"/>
      <c r="Z734" s="38"/>
      <c r="AA734" s="39"/>
      <c r="AB734" s="39"/>
      <c r="AC734" s="40"/>
    </row>
    <row r="735" spans="1:29" ht="69.75" x14ac:dyDescent="0.25">
      <c r="A735" s="27" t="s">
        <v>2025</v>
      </c>
      <c r="B735" s="28" t="s">
        <v>2026</v>
      </c>
      <c r="C735" s="29" t="s">
        <v>1479</v>
      </c>
      <c r="D735" s="29" t="s">
        <v>1579</v>
      </c>
      <c r="E735" s="30">
        <f>SUM(E736:E736)+8100</f>
        <v>8100</v>
      </c>
      <c r="F735" s="30">
        <f>SUM(F736:F736)+4050</f>
        <v>4050</v>
      </c>
      <c r="G735" s="30">
        <f>SUM(G736:G736)</f>
        <v>0</v>
      </c>
      <c r="H735" s="30">
        <f>SUM(H736:H736)</f>
        <v>0</v>
      </c>
      <c r="I735" s="30">
        <f>SUM(I736:I736)+4050</f>
        <v>4050</v>
      </c>
      <c r="J735" s="30">
        <f>SUM(J736:J736)</f>
        <v>0</v>
      </c>
      <c r="K735" s="30">
        <f>SUM(K736:K736)</f>
        <v>0</v>
      </c>
      <c r="L735" s="30">
        <f>SUM(L736:L736)</f>
        <v>0</v>
      </c>
      <c r="M735" s="30">
        <f>SUM(M736:M736)</f>
        <v>0</v>
      </c>
      <c r="N735" s="30">
        <f>SUM(N736:N736)</f>
        <v>0</v>
      </c>
      <c r="O735" s="30">
        <f>SUM(O736:O736)+8045.6</f>
        <v>8045.6</v>
      </c>
      <c r="P735" s="30">
        <f>SUM(P736:P736)+3995.6</f>
        <v>3995.6</v>
      </c>
      <c r="Q735" s="30">
        <f t="shared" ref="Q735:X735" si="599">SUM(Q736:Q736)</f>
        <v>0</v>
      </c>
      <c r="R735" s="30">
        <f t="shared" si="599"/>
        <v>0</v>
      </c>
      <c r="S735" s="30">
        <f t="shared" si="599"/>
        <v>0</v>
      </c>
      <c r="T735" s="30">
        <f t="shared" si="599"/>
        <v>0</v>
      </c>
      <c r="U735" s="30">
        <f t="shared" si="599"/>
        <v>0</v>
      </c>
      <c r="V735" s="30">
        <f t="shared" si="599"/>
        <v>0</v>
      </c>
      <c r="W735" s="30">
        <f t="shared" si="599"/>
        <v>0</v>
      </c>
      <c r="X735" s="30">
        <f t="shared" si="599"/>
        <v>0</v>
      </c>
      <c r="Y735" s="29" t="s">
        <v>2017</v>
      </c>
      <c r="Z735" s="31" t="s">
        <v>40</v>
      </c>
      <c r="AA735" s="32" t="s">
        <v>41</v>
      </c>
      <c r="AB735" s="32" t="s">
        <v>70</v>
      </c>
      <c r="AC735" s="33" t="s">
        <v>2014</v>
      </c>
    </row>
    <row r="736" spans="1:29" ht="46.5" x14ac:dyDescent="0.25">
      <c r="A736" s="34" t="s">
        <v>2027</v>
      </c>
      <c r="B736" s="35" t="s">
        <v>2021</v>
      </c>
      <c r="C736" s="36"/>
      <c r="D736" s="36"/>
      <c r="E736" s="37">
        <v>0</v>
      </c>
      <c r="F736" s="37">
        <v>0</v>
      </c>
      <c r="G736" s="37">
        <v>0</v>
      </c>
      <c r="H736" s="37">
        <v>0</v>
      </c>
      <c r="I736" s="37">
        <v>0</v>
      </c>
      <c r="J736" s="37">
        <v>0</v>
      </c>
      <c r="K736" s="37">
        <v>0</v>
      </c>
      <c r="L736" s="37">
        <v>0</v>
      </c>
      <c r="M736" s="37">
        <v>0</v>
      </c>
      <c r="N736" s="37">
        <v>0</v>
      </c>
      <c r="O736" s="37">
        <v>0</v>
      </c>
      <c r="P736" s="37">
        <v>0</v>
      </c>
      <c r="Q736" s="37">
        <v>0</v>
      </c>
      <c r="R736" s="37">
        <v>0</v>
      </c>
      <c r="S736" s="37">
        <v>0</v>
      </c>
      <c r="T736" s="37">
        <v>0</v>
      </c>
      <c r="U736" s="37">
        <v>0</v>
      </c>
      <c r="V736" s="37">
        <v>0</v>
      </c>
      <c r="W736" s="37">
        <v>0</v>
      </c>
      <c r="X736" s="37">
        <v>0</v>
      </c>
      <c r="Y736" s="36"/>
      <c r="Z736" s="38"/>
      <c r="AA736" s="39"/>
      <c r="AB736" s="39"/>
      <c r="AC736" s="40"/>
    </row>
    <row r="737" spans="1:29" ht="69.75" x14ac:dyDescent="0.25">
      <c r="A737" s="27" t="s">
        <v>2028</v>
      </c>
      <c r="B737" s="28" t="s">
        <v>2029</v>
      </c>
      <c r="C737" s="29" t="s">
        <v>1479</v>
      </c>
      <c r="D737" s="29" t="s">
        <v>1579</v>
      </c>
      <c r="E737" s="30">
        <f>SUM(E738:E738)+8064.05</f>
        <v>8064.05</v>
      </c>
      <c r="F737" s="30">
        <f>SUM(F738:F738)+4050</f>
        <v>4050</v>
      </c>
      <c r="G737" s="30">
        <f>SUM(G738:G738)</f>
        <v>0</v>
      </c>
      <c r="H737" s="30">
        <f>SUM(H738:H738)</f>
        <v>0</v>
      </c>
      <c r="I737" s="30">
        <f>SUM(I738:I738)+4014.05</f>
        <v>4014.05</v>
      </c>
      <c r="J737" s="30">
        <f>SUM(J738:J738)</f>
        <v>0</v>
      </c>
      <c r="K737" s="30">
        <f>SUM(K738:K738)</f>
        <v>0</v>
      </c>
      <c r="L737" s="30">
        <f>SUM(L738:L738)</f>
        <v>0</v>
      </c>
      <c r="M737" s="30">
        <f>SUM(M738:M738)</f>
        <v>0</v>
      </c>
      <c r="N737" s="30">
        <f>SUM(N738:N738)</f>
        <v>0</v>
      </c>
      <c r="O737" s="30">
        <f>SUM(O738:O738)+8033.66</f>
        <v>8033.66</v>
      </c>
      <c r="P737" s="30">
        <f>SUM(P738:P738)+4019.61</f>
        <v>4019.61</v>
      </c>
      <c r="Q737" s="30">
        <f t="shared" ref="Q737:X737" si="600">SUM(Q738:Q738)</f>
        <v>0</v>
      </c>
      <c r="R737" s="30">
        <f t="shared" si="600"/>
        <v>0</v>
      </c>
      <c r="S737" s="30">
        <f t="shared" si="600"/>
        <v>0</v>
      </c>
      <c r="T737" s="30">
        <f t="shared" si="600"/>
        <v>0</v>
      </c>
      <c r="U737" s="30">
        <f t="shared" si="600"/>
        <v>0</v>
      </c>
      <c r="V737" s="30">
        <f t="shared" si="600"/>
        <v>0</v>
      </c>
      <c r="W737" s="30">
        <f t="shared" si="600"/>
        <v>0</v>
      </c>
      <c r="X737" s="30">
        <f t="shared" si="600"/>
        <v>0</v>
      </c>
      <c r="Y737" s="29" t="s">
        <v>2017</v>
      </c>
      <c r="Z737" s="31" t="s">
        <v>40</v>
      </c>
      <c r="AA737" s="32" t="s">
        <v>41</v>
      </c>
      <c r="AB737" s="32" t="s">
        <v>69</v>
      </c>
      <c r="AC737" s="33" t="s">
        <v>2014</v>
      </c>
    </row>
    <row r="738" spans="1:29" ht="46.5" x14ac:dyDescent="0.25">
      <c r="A738" s="34" t="s">
        <v>2030</v>
      </c>
      <c r="B738" s="35" t="s">
        <v>2021</v>
      </c>
      <c r="C738" s="36"/>
      <c r="D738" s="36"/>
      <c r="E738" s="37">
        <v>0</v>
      </c>
      <c r="F738" s="37">
        <v>0</v>
      </c>
      <c r="G738" s="37">
        <v>0</v>
      </c>
      <c r="H738" s="37">
        <v>0</v>
      </c>
      <c r="I738" s="37">
        <v>0</v>
      </c>
      <c r="J738" s="37">
        <v>0</v>
      </c>
      <c r="K738" s="37">
        <v>0</v>
      </c>
      <c r="L738" s="37">
        <v>0</v>
      </c>
      <c r="M738" s="37">
        <v>0</v>
      </c>
      <c r="N738" s="37">
        <v>0</v>
      </c>
      <c r="O738" s="37">
        <v>0</v>
      </c>
      <c r="P738" s="37">
        <v>0</v>
      </c>
      <c r="Q738" s="37">
        <v>0</v>
      </c>
      <c r="R738" s="37">
        <v>0</v>
      </c>
      <c r="S738" s="37">
        <v>0</v>
      </c>
      <c r="T738" s="37">
        <v>0</v>
      </c>
      <c r="U738" s="37">
        <v>0</v>
      </c>
      <c r="V738" s="37">
        <v>0</v>
      </c>
      <c r="W738" s="37">
        <v>0</v>
      </c>
      <c r="X738" s="37">
        <v>0</v>
      </c>
      <c r="Y738" s="36"/>
      <c r="Z738" s="38"/>
      <c r="AA738" s="39"/>
      <c r="AB738" s="39"/>
      <c r="AC738" s="40"/>
    </row>
    <row r="739" spans="1:29" ht="69.75" x14ac:dyDescent="0.25">
      <c r="A739" s="27" t="s">
        <v>2031</v>
      </c>
      <c r="B739" s="28" t="s">
        <v>2032</v>
      </c>
      <c r="C739" s="29" t="s">
        <v>1479</v>
      </c>
      <c r="D739" s="29" t="s">
        <v>1579</v>
      </c>
      <c r="E739" s="30">
        <f>SUM(E740:E740)+8100</f>
        <v>8100</v>
      </c>
      <c r="F739" s="30">
        <f>SUM(F740:F740)+4050</f>
        <v>4050</v>
      </c>
      <c r="G739" s="30">
        <f>SUM(G740:G740)</f>
        <v>0</v>
      </c>
      <c r="H739" s="30">
        <f>SUM(H740:H740)</f>
        <v>0</v>
      </c>
      <c r="I739" s="30">
        <f>SUM(I740:I740)+4050</f>
        <v>4050</v>
      </c>
      <c r="J739" s="30">
        <f>SUM(J740:J740)</f>
        <v>0</v>
      </c>
      <c r="K739" s="30">
        <f>SUM(K740:K740)</f>
        <v>0</v>
      </c>
      <c r="L739" s="30">
        <f>SUM(L740:L740)</f>
        <v>0</v>
      </c>
      <c r="M739" s="30">
        <f>SUM(M740:M740)</f>
        <v>0</v>
      </c>
      <c r="N739" s="30">
        <f>SUM(N740:N740)</f>
        <v>0</v>
      </c>
      <c r="O739" s="30">
        <f>SUM(O740:O740)+8090.33</f>
        <v>8090.33</v>
      </c>
      <c r="P739" s="30">
        <f>SUM(P740:P740)+4040.33</f>
        <v>4040.33</v>
      </c>
      <c r="Q739" s="30">
        <f t="shared" ref="Q739:X739" si="601">SUM(Q740:Q740)</f>
        <v>0</v>
      </c>
      <c r="R739" s="30">
        <f t="shared" si="601"/>
        <v>0</v>
      </c>
      <c r="S739" s="30">
        <f t="shared" si="601"/>
        <v>0</v>
      </c>
      <c r="T739" s="30">
        <f t="shared" si="601"/>
        <v>0</v>
      </c>
      <c r="U739" s="30">
        <f t="shared" si="601"/>
        <v>0</v>
      </c>
      <c r="V739" s="30">
        <f t="shared" si="601"/>
        <v>0</v>
      </c>
      <c r="W739" s="30">
        <f t="shared" si="601"/>
        <v>0</v>
      </c>
      <c r="X739" s="30">
        <f t="shared" si="601"/>
        <v>0</v>
      </c>
      <c r="Y739" s="29" t="s">
        <v>2017</v>
      </c>
      <c r="Z739" s="31" t="s">
        <v>40</v>
      </c>
      <c r="AA739" s="32" t="s">
        <v>41</v>
      </c>
      <c r="AB739" s="32" t="s">
        <v>70</v>
      </c>
      <c r="AC739" s="33" t="s">
        <v>2014</v>
      </c>
    </row>
    <row r="740" spans="1:29" ht="46.5" x14ac:dyDescent="0.25">
      <c r="A740" s="34" t="s">
        <v>2033</v>
      </c>
      <c r="B740" s="35" t="s">
        <v>2021</v>
      </c>
      <c r="C740" s="36"/>
      <c r="D740" s="36"/>
      <c r="E740" s="37">
        <v>0</v>
      </c>
      <c r="F740" s="37">
        <v>0</v>
      </c>
      <c r="G740" s="37">
        <v>0</v>
      </c>
      <c r="H740" s="37">
        <v>0</v>
      </c>
      <c r="I740" s="37">
        <v>0</v>
      </c>
      <c r="J740" s="37">
        <v>0</v>
      </c>
      <c r="K740" s="37">
        <v>0</v>
      </c>
      <c r="L740" s="37">
        <v>0</v>
      </c>
      <c r="M740" s="37">
        <v>0</v>
      </c>
      <c r="N740" s="37">
        <v>0</v>
      </c>
      <c r="O740" s="37">
        <v>0</v>
      </c>
      <c r="P740" s="37">
        <v>0</v>
      </c>
      <c r="Q740" s="37">
        <v>0</v>
      </c>
      <c r="R740" s="37">
        <v>0</v>
      </c>
      <c r="S740" s="37">
        <v>0</v>
      </c>
      <c r="T740" s="37">
        <v>0</v>
      </c>
      <c r="U740" s="37">
        <v>0</v>
      </c>
      <c r="V740" s="37">
        <v>0</v>
      </c>
      <c r="W740" s="37">
        <v>0</v>
      </c>
      <c r="X740" s="37">
        <v>0</v>
      </c>
      <c r="Y740" s="36"/>
      <c r="Z740" s="38"/>
      <c r="AA740" s="39"/>
      <c r="AB740" s="39"/>
      <c r="AC740" s="40"/>
    </row>
    <row r="741" spans="1:29" ht="69.75" x14ac:dyDescent="0.25">
      <c r="A741" s="27" t="s">
        <v>2034</v>
      </c>
      <c r="B741" s="28" t="s">
        <v>2035</v>
      </c>
      <c r="C741" s="29" t="s">
        <v>1479</v>
      </c>
      <c r="D741" s="29" t="s">
        <v>1579</v>
      </c>
      <c r="E741" s="30">
        <f>SUM(E742:E742)+6255</f>
        <v>6255</v>
      </c>
      <c r="F741" s="30">
        <f>SUM(F742:F742)+2205</f>
        <v>2205</v>
      </c>
      <c r="G741" s="30">
        <f>SUM(G742:G742)</f>
        <v>0</v>
      </c>
      <c r="H741" s="30">
        <f>SUM(H742:H742)</f>
        <v>0</v>
      </c>
      <c r="I741" s="30">
        <f>SUM(I742:I742)+4050</f>
        <v>4050</v>
      </c>
      <c r="J741" s="30">
        <f>SUM(J742:J742)</f>
        <v>0</v>
      </c>
      <c r="K741" s="30">
        <f>SUM(K742:K742)</f>
        <v>0</v>
      </c>
      <c r="L741" s="30">
        <f>SUM(L742:L742)</f>
        <v>0</v>
      </c>
      <c r="M741" s="30">
        <f>SUM(M742:M742)</f>
        <v>0</v>
      </c>
      <c r="N741" s="30">
        <f>SUM(N742:N742)</f>
        <v>0</v>
      </c>
      <c r="O741" s="30">
        <f>SUM(O742:O742)+6133.11</f>
        <v>6133.11</v>
      </c>
      <c r="P741" s="30">
        <f>SUM(P742:P742)+2083.11</f>
        <v>2083.11</v>
      </c>
      <c r="Q741" s="30">
        <f t="shared" ref="Q741:X741" si="602">SUM(Q742:Q742)</f>
        <v>0</v>
      </c>
      <c r="R741" s="30">
        <f t="shared" si="602"/>
        <v>0</v>
      </c>
      <c r="S741" s="30">
        <f t="shared" si="602"/>
        <v>0</v>
      </c>
      <c r="T741" s="30">
        <f t="shared" si="602"/>
        <v>0</v>
      </c>
      <c r="U741" s="30">
        <f t="shared" si="602"/>
        <v>0</v>
      </c>
      <c r="V741" s="30">
        <f t="shared" si="602"/>
        <v>0</v>
      </c>
      <c r="W741" s="30">
        <f t="shared" si="602"/>
        <v>0</v>
      </c>
      <c r="X741" s="30">
        <f t="shared" si="602"/>
        <v>0</v>
      </c>
      <c r="Y741" s="29" t="s">
        <v>2017</v>
      </c>
      <c r="Z741" s="31" t="s">
        <v>40</v>
      </c>
      <c r="AA741" s="32" t="s">
        <v>41</v>
      </c>
      <c r="AB741" s="32" t="s">
        <v>70</v>
      </c>
      <c r="AC741" s="33" t="s">
        <v>2014</v>
      </c>
    </row>
    <row r="742" spans="1:29" ht="46.5" x14ac:dyDescent="0.25">
      <c r="A742" s="34" t="s">
        <v>2036</v>
      </c>
      <c r="B742" s="35" t="s">
        <v>2021</v>
      </c>
      <c r="C742" s="36"/>
      <c r="D742" s="36"/>
      <c r="E742" s="37">
        <v>0</v>
      </c>
      <c r="F742" s="37">
        <v>0</v>
      </c>
      <c r="G742" s="37">
        <v>0</v>
      </c>
      <c r="H742" s="37">
        <v>0</v>
      </c>
      <c r="I742" s="37">
        <v>0</v>
      </c>
      <c r="J742" s="37">
        <v>0</v>
      </c>
      <c r="K742" s="37">
        <v>0</v>
      </c>
      <c r="L742" s="37">
        <v>0</v>
      </c>
      <c r="M742" s="37">
        <v>0</v>
      </c>
      <c r="N742" s="37">
        <v>0</v>
      </c>
      <c r="O742" s="37">
        <v>0</v>
      </c>
      <c r="P742" s="37">
        <v>0</v>
      </c>
      <c r="Q742" s="37">
        <v>0</v>
      </c>
      <c r="R742" s="37">
        <v>0</v>
      </c>
      <c r="S742" s="37">
        <v>0</v>
      </c>
      <c r="T742" s="37">
        <v>0</v>
      </c>
      <c r="U742" s="37">
        <v>0</v>
      </c>
      <c r="V742" s="37">
        <v>0</v>
      </c>
      <c r="W742" s="37">
        <v>0</v>
      </c>
      <c r="X742" s="37">
        <v>0</v>
      </c>
      <c r="Y742" s="36"/>
      <c r="Z742" s="38"/>
      <c r="AA742" s="39"/>
      <c r="AB742" s="39"/>
      <c r="AC742" s="40"/>
    </row>
    <row r="743" spans="1:29" ht="46.5" x14ac:dyDescent="0.25">
      <c r="A743" s="27" t="s">
        <v>2037</v>
      </c>
      <c r="B743" s="28" t="s">
        <v>2038</v>
      </c>
      <c r="C743" s="29" t="s">
        <v>1479</v>
      </c>
      <c r="D743" s="29" t="s">
        <v>1579</v>
      </c>
      <c r="E743" s="30">
        <f>SUM(E744:E744)+8003</f>
        <v>8003</v>
      </c>
      <c r="F743" s="30">
        <f>SUM(F744:F744)+3953</f>
        <v>3953</v>
      </c>
      <c r="G743" s="30">
        <f>SUM(G744:G744)</f>
        <v>0</v>
      </c>
      <c r="H743" s="30">
        <f>SUM(H744:H744)</f>
        <v>0</v>
      </c>
      <c r="I743" s="30">
        <f>SUM(I744:I744)+4050</f>
        <v>4050</v>
      </c>
      <c r="J743" s="30">
        <f>SUM(J744:J744)</f>
        <v>0</v>
      </c>
      <c r="K743" s="30">
        <f>SUM(K744:K744)</f>
        <v>0</v>
      </c>
      <c r="L743" s="30">
        <f>SUM(L744:L744)</f>
        <v>0</v>
      </c>
      <c r="M743" s="30">
        <f>SUM(M744:M744)</f>
        <v>0</v>
      </c>
      <c r="N743" s="30">
        <f>SUM(N744:N744)</f>
        <v>0</v>
      </c>
      <c r="O743" s="30">
        <f>SUM(O744:O744)+8002.43</f>
        <v>8002.43</v>
      </c>
      <c r="P743" s="30">
        <f>SUM(P744:P744)+3952.43</f>
        <v>3952.43</v>
      </c>
      <c r="Q743" s="30">
        <f t="shared" ref="Q743:X743" si="603">SUM(Q744:Q744)</f>
        <v>0</v>
      </c>
      <c r="R743" s="30">
        <f t="shared" si="603"/>
        <v>0</v>
      </c>
      <c r="S743" s="30">
        <f t="shared" si="603"/>
        <v>0</v>
      </c>
      <c r="T743" s="30">
        <f t="shared" si="603"/>
        <v>0</v>
      </c>
      <c r="U743" s="30">
        <f t="shared" si="603"/>
        <v>0</v>
      </c>
      <c r="V743" s="30">
        <f t="shared" si="603"/>
        <v>0</v>
      </c>
      <c r="W743" s="30">
        <f t="shared" si="603"/>
        <v>0</v>
      </c>
      <c r="X743" s="30">
        <f t="shared" si="603"/>
        <v>0</v>
      </c>
      <c r="Y743" s="29" t="s">
        <v>2017</v>
      </c>
      <c r="Z743" s="31" t="s">
        <v>40</v>
      </c>
      <c r="AA743" s="32" t="s">
        <v>41</v>
      </c>
      <c r="AB743" s="32" t="s">
        <v>41</v>
      </c>
      <c r="AC743" s="33"/>
    </row>
    <row r="744" spans="1:29" ht="46.5" x14ac:dyDescent="0.25">
      <c r="A744" s="34" t="s">
        <v>2039</v>
      </c>
      <c r="B744" s="35" t="s">
        <v>2021</v>
      </c>
      <c r="C744" s="36"/>
      <c r="D744" s="36"/>
      <c r="E744" s="37">
        <v>0</v>
      </c>
      <c r="F744" s="37">
        <v>0</v>
      </c>
      <c r="G744" s="37">
        <v>0</v>
      </c>
      <c r="H744" s="37">
        <v>0</v>
      </c>
      <c r="I744" s="37">
        <v>0</v>
      </c>
      <c r="J744" s="37">
        <v>0</v>
      </c>
      <c r="K744" s="37">
        <v>0</v>
      </c>
      <c r="L744" s="37">
        <v>0</v>
      </c>
      <c r="M744" s="37">
        <v>0</v>
      </c>
      <c r="N744" s="37">
        <v>0</v>
      </c>
      <c r="O744" s="37">
        <v>0</v>
      </c>
      <c r="P744" s="37">
        <v>0</v>
      </c>
      <c r="Q744" s="37">
        <v>0</v>
      </c>
      <c r="R744" s="37">
        <v>0</v>
      </c>
      <c r="S744" s="37">
        <v>0</v>
      </c>
      <c r="T744" s="37">
        <v>0</v>
      </c>
      <c r="U744" s="37">
        <v>0</v>
      </c>
      <c r="V744" s="37">
        <v>0</v>
      </c>
      <c r="W744" s="37">
        <v>0</v>
      </c>
      <c r="X744" s="37">
        <v>0</v>
      </c>
      <c r="Y744" s="36"/>
      <c r="Z744" s="38"/>
      <c r="AA744" s="39"/>
      <c r="AB744" s="39"/>
      <c r="AC744" s="40"/>
    </row>
    <row r="745" spans="1:29" ht="46.5" x14ac:dyDescent="0.25">
      <c r="A745" s="27" t="s">
        <v>2040</v>
      </c>
      <c r="B745" s="28" t="s">
        <v>2041</v>
      </c>
      <c r="C745" s="29" t="s">
        <v>1479</v>
      </c>
      <c r="D745" s="29" t="s">
        <v>1579</v>
      </c>
      <c r="E745" s="30">
        <f>SUM(E746:E746)+8068.62</f>
        <v>8068.62</v>
      </c>
      <c r="F745" s="30">
        <f>SUM(F746:F746)+4050</f>
        <v>4050</v>
      </c>
      <c r="G745" s="30">
        <f>SUM(G746:G746)</f>
        <v>0</v>
      </c>
      <c r="H745" s="30">
        <f>SUM(H746:H746)</f>
        <v>0</v>
      </c>
      <c r="I745" s="30">
        <f>SUM(I746:I746)+4018.62</f>
        <v>4018.62</v>
      </c>
      <c r="J745" s="30">
        <f>SUM(J746:J746)</f>
        <v>0</v>
      </c>
      <c r="K745" s="30">
        <f>SUM(K746:K746)</f>
        <v>0</v>
      </c>
      <c r="L745" s="30">
        <f>SUM(L746:L746)</f>
        <v>0</v>
      </c>
      <c r="M745" s="30">
        <f>SUM(M746:M746)</f>
        <v>0</v>
      </c>
      <c r="N745" s="30">
        <f>SUM(N746:N746)</f>
        <v>0</v>
      </c>
      <c r="O745" s="30">
        <f>SUM(O746:O746)+8053.28</f>
        <v>8053.28</v>
      </c>
      <c r="P745" s="30">
        <f>SUM(P746:P746)+4034.66</f>
        <v>4034.66</v>
      </c>
      <c r="Q745" s="30">
        <f t="shared" ref="Q745:X745" si="604">SUM(Q746:Q746)</f>
        <v>0</v>
      </c>
      <c r="R745" s="30">
        <f t="shared" si="604"/>
        <v>0</v>
      </c>
      <c r="S745" s="30">
        <f t="shared" si="604"/>
        <v>0</v>
      </c>
      <c r="T745" s="30">
        <f t="shared" si="604"/>
        <v>0</v>
      </c>
      <c r="U745" s="30">
        <f t="shared" si="604"/>
        <v>0</v>
      </c>
      <c r="V745" s="30">
        <f t="shared" si="604"/>
        <v>0</v>
      </c>
      <c r="W745" s="30">
        <f t="shared" si="604"/>
        <v>0</v>
      </c>
      <c r="X745" s="30">
        <f t="shared" si="604"/>
        <v>0</v>
      </c>
      <c r="Y745" s="29" t="s">
        <v>2017</v>
      </c>
      <c r="Z745" s="31" t="s">
        <v>40</v>
      </c>
      <c r="AA745" s="32" t="s">
        <v>41</v>
      </c>
      <c r="AB745" s="32" t="s">
        <v>41</v>
      </c>
      <c r="AC745" s="33"/>
    </row>
    <row r="746" spans="1:29" ht="46.5" x14ac:dyDescent="0.25">
      <c r="A746" s="34" t="s">
        <v>2042</v>
      </c>
      <c r="B746" s="35" t="s">
        <v>2021</v>
      </c>
      <c r="C746" s="36"/>
      <c r="D746" s="36"/>
      <c r="E746" s="37">
        <v>0</v>
      </c>
      <c r="F746" s="37">
        <v>0</v>
      </c>
      <c r="G746" s="37">
        <v>0</v>
      </c>
      <c r="H746" s="37">
        <v>0</v>
      </c>
      <c r="I746" s="37">
        <v>0</v>
      </c>
      <c r="J746" s="37">
        <v>0</v>
      </c>
      <c r="K746" s="37">
        <v>0</v>
      </c>
      <c r="L746" s="37">
        <v>0</v>
      </c>
      <c r="M746" s="37">
        <v>0</v>
      </c>
      <c r="N746" s="37">
        <v>0</v>
      </c>
      <c r="O746" s="37">
        <v>0</v>
      </c>
      <c r="P746" s="37">
        <v>0</v>
      </c>
      <c r="Q746" s="37">
        <v>0</v>
      </c>
      <c r="R746" s="37">
        <v>0</v>
      </c>
      <c r="S746" s="37">
        <v>0</v>
      </c>
      <c r="T746" s="37">
        <v>0</v>
      </c>
      <c r="U746" s="37">
        <v>0</v>
      </c>
      <c r="V746" s="37">
        <v>0</v>
      </c>
      <c r="W746" s="37">
        <v>0</v>
      </c>
      <c r="X746" s="37">
        <v>0</v>
      </c>
      <c r="Y746" s="36"/>
      <c r="Z746" s="38"/>
      <c r="AA746" s="39"/>
      <c r="AB746" s="39"/>
      <c r="AC746" s="40"/>
    </row>
    <row r="747" spans="1:29" ht="46.5" x14ac:dyDescent="0.25">
      <c r="A747" s="27" t="s">
        <v>2043</v>
      </c>
      <c r="B747" s="28" t="s">
        <v>2044</v>
      </c>
      <c r="C747" s="29" t="s">
        <v>1479</v>
      </c>
      <c r="D747" s="29" t="s">
        <v>1579</v>
      </c>
      <c r="E747" s="30">
        <f>SUM(E748:E748)+3890</f>
        <v>3890</v>
      </c>
      <c r="F747" s="30">
        <f>SUM(F748:F748)+1865</f>
        <v>1865</v>
      </c>
      <c r="G747" s="30">
        <f>SUM(G748:G748)</f>
        <v>0</v>
      </c>
      <c r="H747" s="30">
        <f>SUM(H748:H748)</f>
        <v>0</v>
      </c>
      <c r="I747" s="30">
        <f>SUM(I748:I748)+2025</f>
        <v>2025</v>
      </c>
      <c r="J747" s="30">
        <f>SUM(J748:J748)</f>
        <v>0</v>
      </c>
      <c r="K747" s="30">
        <f>SUM(K748:K748)</f>
        <v>0</v>
      </c>
      <c r="L747" s="30">
        <f>SUM(L748:L748)</f>
        <v>0</v>
      </c>
      <c r="M747" s="30">
        <f>SUM(M748:M748)</f>
        <v>0</v>
      </c>
      <c r="N747" s="30">
        <f>SUM(N748:N748)</f>
        <v>0</v>
      </c>
      <c r="O747" s="30">
        <f>SUM(O748:O748)+3889.18</f>
        <v>3889.18</v>
      </c>
      <c r="P747" s="30">
        <f>SUM(P748:P748)+1864.18</f>
        <v>1864.18</v>
      </c>
      <c r="Q747" s="30">
        <f t="shared" ref="Q747:X747" si="605">SUM(Q748:Q748)</f>
        <v>0</v>
      </c>
      <c r="R747" s="30">
        <f t="shared" si="605"/>
        <v>0</v>
      </c>
      <c r="S747" s="30">
        <f t="shared" si="605"/>
        <v>0</v>
      </c>
      <c r="T747" s="30">
        <f t="shared" si="605"/>
        <v>0</v>
      </c>
      <c r="U747" s="30">
        <f t="shared" si="605"/>
        <v>0</v>
      </c>
      <c r="V747" s="30">
        <f t="shared" si="605"/>
        <v>0</v>
      </c>
      <c r="W747" s="30">
        <f t="shared" si="605"/>
        <v>0</v>
      </c>
      <c r="X747" s="30">
        <f t="shared" si="605"/>
        <v>0</v>
      </c>
      <c r="Y747" s="29" t="s">
        <v>2017</v>
      </c>
      <c r="Z747" s="31" t="s">
        <v>40</v>
      </c>
      <c r="AA747" s="32" t="s">
        <v>54</v>
      </c>
      <c r="AB747" s="32" t="s">
        <v>54</v>
      </c>
      <c r="AC747" s="33"/>
    </row>
    <row r="748" spans="1:29" ht="46.5" x14ac:dyDescent="0.25">
      <c r="A748" s="34" t="s">
        <v>2045</v>
      </c>
      <c r="B748" s="35" t="s">
        <v>2021</v>
      </c>
      <c r="C748" s="36"/>
      <c r="D748" s="36"/>
      <c r="E748" s="37">
        <v>0</v>
      </c>
      <c r="F748" s="37">
        <v>0</v>
      </c>
      <c r="G748" s="37">
        <v>0</v>
      </c>
      <c r="H748" s="37">
        <v>0</v>
      </c>
      <c r="I748" s="37">
        <v>0</v>
      </c>
      <c r="J748" s="37">
        <v>0</v>
      </c>
      <c r="K748" s="37">
        <v>0</v>
      </c>
      <c r="L748" s="37">
        <v>0</v>
      </c>
      <c r="M748" s="37">
        <v>0</v>
      </c>
      <c r="N748" s="37">
        <v>0</v>
      </c>
      <c r="O748" s="37">
        <v>0</v>
      </c>
      <c r="P748" s="37">
        <v>0</v>
      </c>
      <c r="Q748" s="37">
        <v>0</v>
      </c>
      <c r="R748" s="37">
        <v>0</v>
      </c>
      <c r="S748" s="37">
        <v>0</v>
      </c>
      <c r="T748" s="37">
        <v>0</v>
      </c>
      <c r="U748" s="37">
        <v>0</v>
      </c>
      <c r="V748" s="37">
        <v>0</v>
      </c>
      <c r="W748" s="37">
        <v>0</v>
      </c>
      <c r="X748" s="37">
        <v>0</v>
      </c>
      <c r="Y748" s="36"/>
      <c r="Z748" s="38"/>
      <c r="AA748" s="39"/>
      <c r="AB748" s="39"/>
      <c r="AC748" s="40"/>
    </row>
    <row r="749" spans="1:29" ht="69.75" x14ac:dyDescent="0.25">
      <c r="A749" s="27" t="s">
        <v>2046</v>
      </c>
      <c r="B749" s="28" t="s">
        <v>2047</v>
      </c>
      <c r="C749" s="29" t="s">
        <v>1479</v>
      </c>
      <c r="D749" s="29" t="s">
        <v>1579</v>
      </c>
      <c r="E749" s="30">
        <f>SUM(E750:E750)+4050</f>
        <v>4050</v>
      </c>
      <c r="F749" s="30">
        <f>SUM(F750:F750)+2025</f>
        <v>2025</v>
      </c>
      <c r="G749" s="30">
        <f>SUM(G750:G750)</f>
        <v>0</v>
      </c>
      <c r="H749" s="30">
        <f>SUM(H750:H750)</f>
        <v>0</v>
      </c>
      <c r="I749" s="30">
        <f>SUM(I750:I750)+2025</f>
        <v>2025</v>
      </c>
      <c r="J749" s="30">
        <f>SUM(J750:J750)</f>
        <v>0</v>
      </c>
      <c r="K749" s="30">
        <f>SUM(K750:K750)</f>
        <v>0</v>
      </c>
      <c r="L749" s="30">
        <f>SUM(L750:L750)</f>
        <v>0</v>
      </c>
      <c r="M749" s="30">
        <f>SUM(M750:M750)</f>
        <v>0</v>
      </c>
      <c r="N749" s="30">
        <f>SUM(N750:N750)</f>
        <v>0</v>
      </c>
      <c r="O749" s="30">
        <f>SUM(O750:O750)+3714.55</f>
        <v>3714.55</v>
      </c>
      <c r="P749" s="30">
        <f>SUM(P750:P750)+1689.55</f>
        <v>1689.55</v>
      </c>
      <c r="Q749" s="30">
        <f t="shared" ref="Q749:X749" si="606">SUM(Q750:Q750)</f>
        <v>0</v>
      </c>
      <c r="R749" s="30">
        <f t="shared" si="606"/>
        <v>0</v>
      </c>
      <c r="S749" s="30">
        <f t="shared" si="606"/>
        <v>0</v>
      </c>
      <c r="T749" s="30">
        <f t="shared" si="606"/>
        <v>0</v>
      </c>
      <c r="U749" s="30">
        <f t="shared" si="606"/>
        <v>0</v>
      </c>
      <c r="V749" s="30">
        <f t="shared" si="606"/>
        <v>0</v>
      </c>
      <c r="W749" s="30">
        <f t="shared" si="606"/>
        <v>0</v>
      </c>
      <c r="X749" s="30">
        <f t="shared" si="606"/>
        <v>0</v>
      </c>
      <c r="Y749" s="29" t="s">
        <v>2017</v>
      </c>
      <c r="Z749" s="31" t="s">
        <v>40</v>
      </c>
      <c r="AA749" s="32" t="s">
        <v>54</v>
      </c>
      <c r="AB749" s="32" t="s">
        <v>41</v>
      </c>
      <c r="AC749" s="33" t="s">
        <v>2014</v>
      </c>
    </row>
    <row r="750" spans="1:29" ht="46.5" x14ac:dyDescent="0.25">
      <c r="A750" s="34" t="s">
        <v>2048</v>
      </c>
      <c r="B750" s="35" t="s">
        <v>2021</v>
      </c>
      <c r="C750" s="36"/>
      <c r="D750" s="36"/>
      <c r="E750" s="37">
        <v>0</v>
      </c>
      <c r="F750" s="37">
        <v>0</v>
      </c>
      <c r="G750" s="37">
        <v>0</v>
      </c>
      <c r="H750" s="37">
        <v>0</v>
      </c>
      <c r="I750" s="37">
        <v>0</v>
      </c>
      <c r="J750" s="37">
        <v>0</v>
      </c>
      <c r="K750" s="37">
        <v>0</v>
      </c>
      <c r="L750" s="37">
        <v>0</v>
      </c>
      <c r="M750" s="37">
        <v>0</v>
      </c>
      <c r="N750" s="37">
        <v>0</v>
      </c>
      <c r="O750" s="37">
        <v>0</v>
      </c>
      <c r="P750" s="37">
        <v>0</v>
      </c>
      <c r="Q750" s="37">
        <v>0</v>
      </c>
      <c r="R750" s="37">
        <v>0</v>
      </c>
      <c r="S750" s="37">
        <v>0</v>
      </c>
      <c r="T750" s="37">
        <v>0</v>
      </c>
      <c r="U750" s="37">
        <v>0</v>
      </c>
      <c r="V750" s="37">
        <v>0</v>
      </c>
      <c r="W750" s="37">
        <v>0</v>
      </c>
      <c r="X750" s="37">
        <v>0</v>
      </c>
      <c r="Y750" s="36"/>
      <c r="Z750" s="38"/>
      <c r="AA750" s="39"/>
      <c r="AB750" s="39"/>
      <c r="AC750" s="40"/>
    </row>
    <row r="751" spans="1:29" ht="46.5" x14ac:dyDescent="0.25">
      <c r="A751" s="27" t="s">
        <v>2049</v>
      </c>
      <c r="B751" s="28" t="s">
        <v>2050</v>
      </c>
      <c r="C751" s="29" t="s">
        <v>1479</v>
      </c>
      <c r="D751" s="29" t="s">
        <v>1579</v>
      </c>
      <c r="E751" s="30">
        <f>SUM(E752:E752)+4050</f>
        <v>4050</v>
      </c>
      <c r="F751" s="30">
        <f>SUM(F752:F752)+2025</f>
        <v>2025</v>
      </c>
      <c r="G751" s="30">
        <f>SUM(G752:G752)</f>
        <v>0</v>
      </c>
      <c r="H751" s="30">
        <f>SUM(H752:H752)</f>
        <v>0</v>
      </c>
      <c r="I751" s="30">
        <f>SUM(I752:I752)+2025</f>
        <v>2025</v>
      </c>
      <c r="J751" s="30">
        <f>SUM(J752:J752)</f>
        <v>0</v>
      </c>
      <c r="K751" s="30">
        <f>SUM(K752:K752)</f>
        <v>0</v>
      </c>
      <c r="L751" s="30">
        <f>SUM(L752:L752)</f>
        <v>0</v>
      </c>
      <c r="M751" s="30">
        <f>SUM(M752:M752)</f>
        <v>0</v>
      </c>
      <c r="N751" s="30">
        <f>SUM(N752:N752)</f>
        <v>0</v>
      </c>
      <c r="O751" s="30">
        <f>SUM(O752:O752)+4014.23</f>
        <v>4014.23</v>
      </c>
      <c r="P751" s="30">
        <f>SUM(P752:P752)+1989.23</f>
        <v>1989.23</v>
      </c>
      <c r="Q751" s="30">
        <f t="shared" ref="Q751:X751" si="607">SUM(Q752:Q752)</f>
        <v>0</v>
      </c>
      <c r="R751" s="30">
        <f t="shared" si="607"/>
        <v>0</v>
      </c>
      <c r="S751" s="30">
        <f t="shared" si="607"/>
        <v>0</v>
      </c>
      <c r="T751" s="30">
        <f t="shared" si="607"/>
        <v>0</v>
      </c>
      <c r="U751" s="30">
        <f t="shared" si="607"/>
        <v>0</v>
      </c>
      <c r="V751" s="30">
        <f t="shared" si="607"/>
        <v>0</v>
      </c>
      <c r="W751" s="30">
        <f t="shared" si="607"/>
        <v>0</v>
      </c>
      <c r="X751" s="30">
        <f t="shared" si="607"/>
        <v>0</v>
      </c>
      <c r="Y751" s="29" t="s">
        <v>2017</v>
      </c>
      <c r="Z751" s="31" t="s">
        <v>40</v>
      </c>
      <c r="AA751" s="32" t="s">
        <v>54</v>
      </c>
      <c r="AB751" s="32" t="s">
        <v>54</v>
      </c>
      <c r="AC751" s="33"/>
    </row>
    <row r="752" spans="1:29" ht="46.5" x14ac:dyDescent="0.25">
      <c r="A752" s="34" t="s">
        <v>2051</v>
      </c>
      <c r="B752" s="35" t="s">
        <v>2021</v>
      </c>
      <c r="C752" s="36"/>
      <c r="D752" s="36"/>
      <c r="E752" s="37">
        <v>0</v>
      </c>
      <c r="F752" s="37">
        <v>0</v>
      </c>
      <c r="G752" s="37">
        <v>0</v>
      </c>
      <c r="H752" s="37">
        <v>0</v>
      </c>
      <c r="I752" s="37">
        <v>0</v>
      </c>
      <c r="J752" s="37">
        <v>0</v>
      </c>
      <c r="K752" s="37">
        <v>0</v>
      </c>
      <c r="L752" s="37">
        <v>0</v>
      </c>
      <c r="M752" s="37">
        <v>0</v>
      </c>
      <c r="N752" s="37">
        <v>0</v>
      </c>
      <c r="O752" s="37">
        <v>0</v>
      </c>
      <c r="P752" s="37">
        <v>0</v>
      </c>
      <c r="Q752" s="37">
        <v>0</v>
      </c>
      <c r="R752" s="37">
        <v>0</v>
      </c>
      <c r="S752" s="37">
        <v>0</v>
      </c>
      <c r="T752" s="37">
        <v>0</v>
      </c>
      <c r="U752" s="37">
        <v>0</v>
      </c>
      <c r="V752" s="37">
        <v>0</v>
      </c>
      <c r="W752" s="37">
        <v>0</v>
      </c>
      <c r="X752" s="37">
        <v>0</v>
      </c>
      <c r="Y752" s="36"/>
      <c r="Z752" s="38"/>
      <c r="AA752" s="39"/>
      <c r="AB752" s="39"/>
      <c r="AC752" s="40"/>
    </row>
    <row r="753" spans="1:29" ht="46.5" x14ac:dyDescent="0.25">
      <c r="A753" s="27" t="s">
        <v>2052</v>
      </c>
      <c r="B753" s="28" t="s">
        <v>2053</v>
      </c>
      <c r="C753" s="29" t="s">
        <v>1479</v>
      </c>
      <c r="D753" s="29" t="s">
        <v>1579</v>
      </c>
      <c r="E753" s="30">
        <f>SUM(E754:E754)+7747</f>
        <v>7747</v>
      </c>
      <c r="F753" s="30">
        <f>SUM(F754:F754)+3697</f>
        <v>3697</v>
      </c>
      <c r="G753" s="30">
        <f>SUM(G754:G754)</f>
        <v>0</v>
      </c>
      <c r="H753" s="30">
        <f>SUM(H754:H754)</f>
        <v>0</v>
      </c>
      <c r="I753" s="30">
        <f>SUM(I754:I754)+4050</f>
        <v>4050</v>
      </c>
      <c r="J753" s="30">
        <f>SUM(J754:J754)</f>
        <v>0</v>
      </c>
      <c r="K753" s="30">
        <f>SUM(K754:K754)</f>
        <v>0</v>
      </c>
      <c r="L753" s="30">
        <f>SUM(L754:L754)</f>
        <v>0</v>
      </c>
      <c r="M753" s="30">
        <f>SUM(M754:M754)</f>
        <v>0</v>
      </c>
      <c r="N753" s="30">
        <f>SUM(N754:N754)</f>
        <v>0</v>
      </c>
      <c r="O753" s="30">
        <f>SUM(O754:O754)+7746.75</f>
        <v>7746.75</v>
      </c>
      <c r="P753" s="30">
        <f>SUM(P754:P754)+3696.75</f>
        <v>3696.75</v>
      </c>
      <c r="Q753" s="30">
        <f t="shared" ref="Q753:X753" si="608">SUM(Q754:Q754)</f>
        <v>0</v>
      </c>
      <c r="R753" s="30">
        <f t="shared" si="608"/>
        <v>0</v>
      </c>
      <c r="S753" s="30">
        <f t="shared" si="608"/>
        <v>0</v>
      </c>
      <c r="T753" s="30">
        <f t="shared" si="608"/>
        <v>0</v>
      </c>
      <c r="U753" s="30">
        <f t="shared" si="608"/>
        <v>0</v>
      </c>
      <c r="V753" s="30">
        <f t="shared" si="608"/>
        <v>0</v>
      </c>
      <c r="W753" s="30">
        <f t="shared" si="608"/>
        <v>0</v>
      </c>
      <c r="X753" s="30">
        <f t="shared" si="608"/>
        <v>0</v>
      </c>
      <c r="Y753" s="29" t="s">
        <v>2017</v>
      </c>
      <c r="Z753" s="31" t="s">
        <v>40</v>
      </c>
      <c r="AA753" s="32" t="s">
        <v>41</v>
      </c>
      <c r="AB753" s="32" t="s">
        <v>41</v>
      </c>
      <c r="AC753" s="33"/>
    </row>
    <row r="754" spans="1:29" ht="46.5" x14ac:dyDescent="0.25">
      <c r="A754" s="34" t="s">
        <v>2054</v>
      </c>
      <c r="B754" s="35" t="s">
        <v>2021</v>
      </c>
      <c r="C754" s="36"/>
      <c r="D754" s="36"/>
      <c r="E754" s="37">
        <v>0</v>
      </c>
      <c r="F754" s="37">
        <v>0</v>
      </c>
      <c r="G754" s="37">
        <v>0</v>
      </c>
      <c r="H754" s="37">
        <v>0</v>
      </c>
      <c r="I754" s="37">
        <v>0</v>
      </c>
      <c r="J754" s="37">
        <v>0</v>
      </c>
      <c r="K754" s="37">
        <v>0</v>
      </c>
      <c r="L754" s="37">
        <v>0</v>
      </c>
      <c r="M754" s="37">
        <v>0</v>
      </c>
      <c r="N754" s="37">
        <v>0</v>
      </c>
      <c r="O754" s="37">
        <v>0</v>
      </c>
      <c r="P754" s="37">
        <v>0</v>
      </c>
      <c r="Q754" s="37">
        <v>0</v>
      </c>
      <c r="R754" s="37">
        <v>0</v>
      </c>
      <c r="S754" s="37">
        <v>0</v>
      </c>
      <c r="T754" s="37">
        <v>0</v>
      </c>
      <c r="U754" s="37">
        <v>0</v>
      </c>
      <c r="V754" s="37">
        <v>0</v>
      </c>
      <c r="W754" s="37">
        <v>0</v>
      </c>
      <c r="X754" s="37">
        <v>0</v>
      </c>
      <c r="Y754" s="36"/>
      <c r="Z754" s="38"/>
      <c r="AA754" s="39"/>
      <c r="AB754" s="39"/>
      <c r="AC754" s="40"/>
    </row>
    <row r="755" spans="1:29" ht="69.75" x14ac:dyDescent="0.25">
      <c r="A755" s="27" t="s">
        <v>2055</v>
      </c>
      <c r="B755" s="28" t="s">
        <v>2056</v>
      </c>
      <c r="C755" s="29" t="s">
        <v>1479</v>
      </c>
      <c r="D755" s="29" t="s">
        <v>1579</v>
      </c>
      <c r="E755" s="30">
        <f>SUM(E756:E756)+20327.33</f>
        <v>20327.330000000002</v>
      </c>
      <c r="F755" s="30">
        <f>SUM(F756:F756)+10130</f>
        <v>10130</v>
      </c>
      <c r="G755" s="30">
        <f>SUM(G756:G756)</f>
        <v>0</v>
      </c>
      <c r="H755" s="30">
        <f>SUM(H756:H756)</f>
        <v>0</v>
      </c>
      <c r="I755" s="30">
        <f>SUM(I756:I756)+10197.33</f>
        <v>10197.33</v>
      </c>
      <c r="J755" s="30">
        <f>SUM(J756:J756)</f>
        <v>0</v>
      </c>
      <c r="K755" s="30">
        <f>SUM(K756:K756)</f>
        <v>0</v>
      </c>
      <c r="L755" s="30">
        <f>SUM(L756:L756)</f>
        <v>0</v>
      </c>
      <c r="M755" s="30">
        <f>SUM(M756:M756)</f>
        <v>0</v>
      </c>
      <c r="N755" s="30">
        <f>SUM(N756:N756)</f>
        <v>0</v>
      </c>
      <c r="O755" s="30">
        <f>SUM(O756:O756)+20240.67</f>
        <v>20240.669999999998</v>
      </c>
      <c r="P755" s="30">
        <f>SUM(P756:P756)+10043.34</f>
        <v>10043.34</v>
      </c>
      <c r="Q755" s="30">
        <f t="shared" ref="Q755:X755" si="609">SUM(Q756:Q756)</f>
        <v>0</v>
      </c>
      <c r="R755" s="30">
        <f t="shared" si="609"/>
        <v>0</v>
      </c>
      <c r="S755" s="30">
        <f t="shared" si="609"/>
        <v>0</v>
      </c>
      <c r="T755" s="30">
        <f t="shared" si="609"/>
        <v>0</v>
      </c>
      <c r="U755" s="30">
        <f t="shared" si="609"/>
        <v>0</v>
      </c>
      <c r="V755" s="30">
        <f t="shared" si="609"/>
        <v>0</v>
      </c>
      <c r="W755" s="30">
        <f t="shared" si="609"/>
        <v>0</v>
      </c>
      <c r="X755" s="30">
        <f t="shared" si="609"/>
        <v>0</v>
      </c>
      <c r="Y755" s="29" t="s">
        <v>2017</v>
      </c>
      <c r="Z755" s="31" t="s">
        <v>40</v>
      </c>
      <c r="AA755" s="32" t="s">
        <v>267</v>
      </c>
      <c r="AB755" s="32" t="s">
        <v>69</v>
      </c>
      <c r="AC755" s="33" t="s">
        <v>2057</v>
      </c>
    </row>
    <row r="756" spans="1:29" ht="46.5" x14ac:dyDescent="0.25">
      <c r="A756" s="34" t="s">
        <v>2058</v>
      </c>
      <c r="B756" s="35" t="s">
        <v>2021</v>
      </c>
      <c r="C756" s="36"/>
      <c r="D756" s="36"/>
      <c r="E756" s="37">
        <v>0</v>
      </c>
      <c r="F756" s="37">
        <v>0</v>
      </c>
      <c r="G756" s="37">
        <v>0</v>
      </c>
      <c r="H756" s="37">
        <v>0</v>
      </c>
      <c r="I756" s="37">
        <v>0</v>
      </c>
      <c r="J756" s="37">
        <v>0</v>
      </c>
      <c r="K756" s="37">
        <v>0</v>
      </c>
      <c r="L756" s="37">
        <v>0</v>
      </c>
      <c r="M756" s="37">
        <v>0</v>
      </c>
      <c r="N756" s="37">
        <v>0</v>
      </c>
      <c r="O756" s="37">
        <v>0</v>
      </c>
      <c r="P756" s="37">
        <v>0</v>
      </c>
      <c r="Q756" s="37">
        <v>0</v>
      </c>
      <c r="R756" s="37">
        <v>0</v>
      </c>
      <c r="S756" s="37">
        <v>0</v>
      </c>
      <c r="T756" s="37">
        <v>0</v>
      </c>
      <c r="U756" s="37">
        <v>0</v>
      </c>
      <c r="V756" s="37">
        <v>0</v>
      </c>
      <c r="W756" s="37">
        <v>0</v>
      </c>
      <c r="X756" s="37">
        <v>0</v>
      </c>
      <c r="Y756" s="36"/>
      <c r="Z756" s="38"/>
      <c r="AA756" s="39"/>
      <c r="AB756" s="39"/>
      <c r="AC756" s="40"/>
    </row>
    <row r="757" spans="1:29" ht="69.75" x14ac:dyDescent="0.25">
      <c r="A757" s="27" t="s">
        <v>2059</v>
      </c>
      <c r="B757" s="28" t="s">
        <v>2060</v>
      </c>
      <c r="C757" s="29" t="s">
        <v>1479</v>
      </c>
      <c r="D757" s="29" t="s">
        <v>1579</v>
      </c>
      <c r="E757" s="30">
        <f>SUM(E758:E758)+4050</f>
        <v>4050</v>
      </c>
      <c r="F757" s="30">
        <f>SUM(F758:F758)+2025</f>
        <v>2025</v>
      </c>
      <c r="G757" s="30">
        <f>SUM(G758:G758)</f>
        <v>0</v>
      </c>
      <c r="H757" s="30">
        <f>SUM(H758:H758)</f>
        <v>0</v>
      </c>
      <c r="I757" s="30">
        <f>SUM(I758:I758)+2025</f>
        <v>2025</v>
      </c>
      <c r="J757" s="30">
        <f>SUM(J758:J758)</f>
        <v>0</v>
      </c>
      <c r="K757" s="30">
        <f>SUM(K758:K758)</f>
        <v>0</v>
      </c>
      <c r="L757" s="30">
        <f>SUM(L758:L758)</f>
        <v>0</v>
      </c>
      <c r="M757" s="30">
        <f>SUM(M758:M758)</f>
        <v>0</v>
      </c>
      <c r="N757" s="30">
        <f>SUM(N758:N758)</f>
        <v>0</v>
      </c>
      <c r="O757" s="30">
        <f>SUM(O758:O758)+4049.68</f>
        <v>4049.68</v>
      </c>
      <c r="P757" s="30">
        <f>SUM(P758:P758)+2024.68</f>
        <v>2024.68</v>
      </c>
      <c r="Q757" s="30">
        <f t="shared" ref="Q757:X757" si="610">SUM(Q758:Q758)</f>
        <v>0</v>
      </c>
      <c r="R757" s="30">
        <f t="shared" si="610"/>
        <v>0</v>
      </c>
      <c r="S757" s="30">
        <f t="shared" si="610"/>
        <v>0</v>
      </c>
      <c r="T757" s="30">
        <f t="shared" si="610"/>
        <v>0</v>
      </c>
      <c r="U757" s="30">
        <f t="shared" si="610"/>
        <v>0</v>
      </c>
      <c r="V757" s="30">
        <f t="shared" si="610"/>
        <v>0</v>
      </c>
      <c r="W757" s="30">
        <f t="shared" si="610"/>
        <v>0</v>
      </c>
      <c r="X757" s="30">
        <f t="shared" si="610"/>
        <v>0</v>
      </c>
      <c r="Y757" s="29" t="s">
        <v>2017</v>
      </c>
      <c r="Z757" s="31" t="s">
        <v>40</v>
      </c>
      <c r="AA757" s="32" t="s">
        <v>54</v>
      </c>
      <c r="AB757" s="32" t="s">
        <v>54</v>
      </c>
      <c r="AC757" s="33"/>
    </row>
    <row r="758" spans="1:29" ht="46.5" x14ac:dyDescent="0.25">
      <c r="A758" s="34" t="s">
        <v>2061</v>
      </c>
      <c r="B758" s="35" t="s">
        <v>2021</v>
      </c>
      <c r="C758" s="36"/>
      <c r="D758" s="36"/>
      <c r="E758" s="37">
        <v>0</v>
      </c>
      <c r="F758" s="37">
        <v>0</v>
      </c>
      <c r="G758" s="37">
        <v>0</v>
      </c>
      <c r="H758" s="37">
        <v>0</v>
      </c>
      <c r="I758" s="37">
        <v>0</v>
      </c>
      <c r="J758" s="37">
        <v>0</v>
      </c>
      <c r="K758" s="37">
        <v>0</v>
      </c>
      <c r="L758" s="37">
        <v>0</v>
      </c>
      <c r="M758" s="37">
        <v>0</v>
      </c>
      <c r="N758" s="37">
        <v>0</v>
      </c>
      <c r="O758" s="37">
        <v>0</v>
      </c>
      <c r="P758" s="37">
        <v>0</v>
      </c>
      <c r="Q758" s="37">
        <v>0</v>
      </c>
      <c r="R758" s="37">
        <v>0</v>
      </c>
      <c r="S758" s="37">
        <v>0</v>
      </c>
      <c r="T758" s="37">
        <v>0</v>
      </c>
      <c r="U758" s="37">
        <v>0</v>
      </c>
      <c r="V758" s="37">
        <v>0</v>
      </c>
      <c r="W758" s="37">
        <v>0</v>
      </c>
      <c r="X758" s="37">
        <v>0</v>
      </c>
      <c r="Y758" s="36"/>
      <c r="Z758" s="38"/>
      <c r="AA758" s="39"/>
      <c r="AB758" s="39"/>
      <c r="AC758" s="40"/>
    </row>
    <row r="759" spans="1:29" ht="67.5" x14ac:dyDescent="0.25">
      <c r="A759" s="13" t="s">
        <v>2062</v>
      </c>
      <c r="B759" s="14" t="s">
        <v>2063</v>
      </c>
      <c r="C759" s="15" t="s">
        <v>1479</v>
      </c>
      <c r="D759" s="15" t="s">
        <v>1482</v>
      </c>
      <c r="E759" s="16">
        <f t="shared" ref="E759:X759" si="611">SUM(E760:E760)</f>
        <v>258950.84</v>
      </c>
      <c r="F759" s="16">
        <f t="shared" si="611"/>
        <v>67037</v>
      </c>
      <c r="G759" s="16">
        <f t="shared" si="611"/>
        <v>0</v>
      </c>
      <c r="H759" s="16">
        <f t="shared" si="611"/>
        <v>0</v>
      </c>
      <c r="I759" s="16">
        <f t="shared" si="611"/>
        <v>0</v>
      </c>
      <c r="J759" s="16">
        <f t="shared" si="611"/>
        <v>0</v>
      </c>
      <c r="K759" s="16">
        <f t="shared" si="611"/>
        <v>43608.09</v>
      </c>
      <c r="L759" s="16">
        <f t="shared" si="611"/>
        <v>13205.75</v>
      </c>
      <c r="M759" s="16">
        <f t="shared" si="611"/>
        <v>0</v>
      </c>
      <c r="N759" s="16">
        <f t="shared" si="611"/>
        <v>0</v>
      </c>
      <c r="O759" s="16">
        <f t="shared" si="611"/>
        <v>123854.31</v>
      </c>
      <c r="P759" s="16">
        <f t="shared" si="611"/>
        <v>67037</v>
      </c>
      <c r="Q759" s="16">
        <f t="shared" si="611"/>
        <v>0</v>
      </c>
      <c r="R759" s="16">
        <f t="shared" si="611"/>
        <v>0</v>
      </c>
      <c r="S759" s="16">
        <f t="shared" si="611"/>
        <v>0</v>
      </c>
      <c r="T759" s="16">
        <f t="shared" si="611"/>
        <v>0</v>
      </c>
      <c r="U759" s="16">
        <f t="shared" si="611"/>
        <v>18589.060000000001</v>
      </c>
      <c r="V759" s="16">
        <f t="shared" si="611"/>
        <v>6846.81</v>
      </c>
      <c r="W759" s="16">
        <f t="shared" si="611"/>
        <v>0</v>
      </c>
      <c r="X759" s="16">
        <f t="shared" si="611"/>
        <v>0</v>
      </c>
      <c r="Y759" s="15" t="s">
        <v>527</v>
      </c>
      <c r="Z759" s="17" t="s">
        <v>34</v>
      </c>
      <c r="AA759" s="18" t="s">
        <v>2064</v>
      </c>
      <c r="AB759" s="18" t="s">
        <v>321</v>
      </c>
      <c r="AC759" s="19" t="s">
        <v>2065</v>
      </c>
    </row>
    <row r="760" spans="1:29" ht="135" x14ac:dyDescent="0.25">
      <c r="A760" s="20" t="s">
        <v>2066</v>
      </c>
      <c r="B760" s="21" t="s">
        <v>529</v>
      </c>
      <c r="C760" s="22" t="s">
        <v>1479</v>
      </c>
      <c r="D760" s="22" t="s">
        <v>1482</v>
      </c>
      <c r="E760" s="23">
        <f t="shared" ref="E760:X760" si="612">E761+E763+E767+E769</f>
        <v>258950.84</v>
      </c>
      <c r="F760" s="23">
        <f t="shared" si="612"/>
        <v>67037</v>
      </c>
      <c r="G760" s="23">
        <f t="shared" si="612"/>
        <v>0</v>
      </c>
      <c r="H760" s="23">
        <f t="shared" si="612"/>
        <v>0</v>
      </c>
      <c r="I760" s="23">
        <f t="shared" si="612"/>
        <v>0</v>
      </c>
      <c r="J760" s="23">
        <f t="shared" si="612"/>
        <v>0</v>
      </c>
      <c r="K760" s="23">
        <f t="shared" si="612"/>
        <v>43608.09</v>
      </c>
      <c r="L760" s="23">
        <f t="shared" si="612"/>
        <v>13205.75</v>
      </c>
      <c r="M760" s="23">
        <f t="shared" si="612"/>
        <v>0</v>
      </c>
      <c r="N760" s="23">
        <f t="shared" si="612"/>
        <v>0</v>
      </c>
      <c r="O760" s="23">
        <f t="shared" si="612"/>
        <v>123854.31</v>
      </c>
      <c r="P760" s="23">
        <f t="shared" si="612"/>
        <v>67037</v>
      </c>
      <c r="Q760" s="23">
        <f t="shared" si="612"/>
        <v>0</v>
      </c>
      <c r="R760" s="23">
        <f t="shared" si="612"/>
        <v>0</v>
      </c>
      <c r="S760" s="23">
        <f t="shared" si="612"/>
        <v>0</v>
      </c>
      <c r="T760" s="23">
        <f t="shared" si="612"/>
        <v>0</v>
      </c>
      <c r="U760" s="23">
        <f t="shared" si="612"/>
        <v>18589.060000000001</v>
      </c>
      <c r="V760" s="23">
        <f t="shared" si="612"/>
        <v>6846.81</v>
      </c>
      <c r="W760" s="23">
        <f t="shared" si="612"/>
        <v>0</v>
      </c>
      <c r="X760" s="23">
        <f t="shared" si="612"/>
        <v>0</v>
      </c>
      <c r="Y760" s="22" t="s">
        <v>2067</v>
      </c>
      <c r="Z760" s="24" t="s">
        <v>1237</v>
      </c>
      <c r="AA760" s="25" t="s">
        <v>2068</v>
      </c>
      <c r="AB760" s="25" t="s">
        <v>2068</v>
      </c>
      <c r="AC760" s="26"/>
    </row>
    <row r="761" spans="1:29" ht="162.75" x14ac:dyDescent="0.25">
      <c r="A761" s="27" t="s">
        <v>2069</v>
      </c>
      <c r="B761" s="28" t="s">
        <v>2070</v>
      </c>
      <c r="C761" s="29" t="s">
        <v>1479</v>
      </c>
      <c r="D761" s="29" t="s">
        <v>1553</v>
      </c>
      <c r="E761" s="30">
        <f>SUM(E762:E762)+5379.69</f>
        <v>5379.69</v>
      </c>
      <c r="F761" s="30">
        <f t="shared" ref="F761:K761" si="613">SUM(F762:F762)</f>
        <v>0</v>
      </c>
      <c r="G761" s="30">
        <f t="shared" si="613"/>
        <v>0</v>
      </c>
      <c r="H761" s="30">
        <f t="shared" si="613"/>
        <v>0</v>
      </c>
      <c r="I761" s="30">
        <f t="shared" si="613"/>
        <v>0</v>
      </c>
      <c r="J761" s="30">
        <f t="shared" si="613"/>
        <v>0</v>
      </c>
      <c r="K761" s="30">
        <f t="shared" si="613"/>
        <v>0</v>
      </c>
      <c r="L761" s="30">
        <f>SUM(L762:L762)+5379.69</f>
        <v>5379.69</v>
      </c>
      <c r="M761" s="30">
        <f>SUM(M762:M762)</f>
        <v>0</v>
      </c>
      <c r="N761" s="30">
        <f>SUM(N762:N762)</f>
        <v>0</v>
      </c>
      <c r="O761" s="30">
        <f>SUM(O762:O762)+5379.69</f>
        <v>5379.69</v>
      </c>
      <c r="P761" s="30">
        <f t="shared" ref="P761:X761" si="614">SUM(P762:P762)</f>
        <v>0</v>
      </c>
      <c r="Q761" s="30">
        <f t="shared" si="614"/>
        <v>0</v>
      </c>
      <c r="R761" s="30">
        <f t="shared" si="614"/>
        <v>0</v>
      </c>
      <c r="S761" s="30">
        <f t="shared" si="614"/>
        <v>0</v>
      </c>
      <c r="T761" s="30">
        <f t="shared" si="614"/>
        <v>0</v>
      </c>
      <c r="U761" s="30">
        <f t="shared" si="614"/>
        <v>0</v>
      </c>
      <c r="V761" s="30">
        <f t="shared" si="614"/>
        <v>0</v>
      </c>
      <c r="W761" s="30">
        <f t="shared" si="614"/>
        <v>0</v>
      </c>
      <c r="X761" s="30">
        <f t="shared" si="614"/>
        <v>0</v>
      </c>
      <c r="Y761" s="29" t="s">
        <v>2071</v>
      </c>
      <c r="Z761" s="31" t="s">
        <v>40</v>
      </c>
      <c r="AA761" s="32" t="s">
        <v>217</v>
      </c>
      <c r="AB761" s="32" t="s">
        <v>217</v>
      </c>
      <c r="AC761" s="33"/>
    </row>
    <row r="762" spans="1:29" ht="47.25" thickBot="1" x14ac:dyDescent="0.3">
      <c r="A762" s="34" t="s">
        <v>2072</v>
      </c>
      <c r="B762" s="35" t="s">
        <v>2073</v>
      </c>
      <c r="C762" s="36"/>
      <c r="D762" s="36"/>
      <c r="E762" s="37">
        <v>0</v>
      </c>
      <c r="F762" s="37">
        <v>0</v>
      </c>
      <c r="G762" s="37">
        <v>0</v>
      </c>
      <c r="H762" s="37">
        <v>0</v>
      </c>
      <c r="I762" s="37">
        <v>0</v>
      </c>
      <c r="J762" s="37">
        <v>0</v>
      </c>
      <c r="K762" s="37">
        <v>0</v>
      </c>
      <c r="L762" s="37">
        <v>0</v>
      </c>
      <c r="M762" s="37">
        <v>0</v>
      </c>
      <c r="N762" s="37">
        <v>0</v>
      </c>
      <c r="O762" s="37">
        <v>0</v>
      </c>
      <c r="P762" s="37">
        <v>0</v>
      </c>
      <c r="Q762" s="37">
        <v>0</v>
      </c>
      <c r="R762" s="37">
        <v>0</v>
      </c>
      <c r="S762" s="37">
        <v>0</v>
      </c>
      <c r="T762" s="37">
        <v>0</v>
      </c>
      <c r="U762" s="37">
        <v>0</v>
      </c>
      <c r="V762" s="37">
        <v>0</v>
      </c>
      <c r="W762" s="37">
        <v>0</v>
      </c>
      <c r="X762" s="37">
        <v>0</v>
      </c>
      <c r="Y762" s="36"/>
      <c r="Z762" s="38"/>
      <c r="AA762" s="39"/>
      <c r="AB762" s="39"/>
      <c r="AC762" s="40"/>
    </row>
    <row r="763" spans="1:29" ht="116.25" x14ac:dyDescent="0.25">
      <c r="A763" s="27" t="s">
        <v>2074</v>
      </c>
      <c r="B763" s="28" t="s">
        <v>2075</v>
      </c>
      <c r="C763" s="29" t="s">
        <v>1479</v>
      </c>
      <c r="D763" s="29" t="s">
        <v>1502</v>
      </c>
      <c r="E763" s="30">
        <f>SUM(E764:E766)+118471.15</f>
        <v>118471.15</v>
      </c>
      <c r="F763" s="30">
        <f>SUM(F764:F766)+67037</f>
        <v>67037</v>
      </c>
      <c r="G763" s="30">
        <f>SUM(G764:G766)</f>
        <v>0</v>
      </c>
      <c r="H763" s="30">
        <f>SUM(H764:H766)</f>
        <v>0</v>
      </c>
      <c r="I763" s="30">
        <f>SUM(I764:I766)</f>
        <v>0</v>
      </c>
      <c r="J763" s="30">
        <f>SUM(J764:J766)</f>
        <v>0</v>
      </c>
      <c r="K763" s="30">
        <f>SUM(K764:K766)+43608.09</f>
        <v>43608.09</v>
      </c>
      <c r="L763" s="30">
        <f>SUM(L764:L766)+7826.06</f>
        <v>7826.06</v>
      </c>
      <c r="M763" s="30">
        <f>SUM(M764:M766)</f>
        <v>0</v>
      </c>
      <c r="N763" s="30">
        <f>SUM(N764:N766)</f>
        <v>0</v>
      </c>
      <c r="O763" s="30">
        <f>SUM(O764:O766)+114385.86</f>
        <v>114385.86</v>
      </c>
      <c r="P763" s="30">
        <f>SUM(P764:P766)+67037</f>
        <v>67037</v>
      </c>
      <c r="Q763" s="30">
        <f>SUM(Q764:Q766)</f>
        <v>0</v>
      </c>
      <c r="R763" s="30">
        <f>SUM(R764:R766)</f>
        <v>0</v>
      </c>
      <c r="S763" s="30">
        <f>SUM(S764:S766)</f>
        <v>0</v>
      </c>
      <c r="T763" s="30">
        <f>SUM(T764:T766)</f>
        <v>0</v>
      </c>
      <c r="U763" s="30">
        <f>SUM(U764:U766)+18589.06</f>
        <v>18589.060000000001</v>
      </c>
      <c r="V763" s="30">
        <f>SUM(V764:V766)+6846.81</f>
        <v>6846.81</v>
      </c>
      <c r="W763" s="30">
        <f>SUM(W764:W766)</f>
        <v>0</v>
      </c>
      <c r="X763" s="30">
        <f>SUM(X764:X766)</f>
        <v>0</v>
      </c>
      <c r="Y763" s="29" t="s">
        <v>2076</v>
      </c>
      <c r="Z763" s="31" t="s">
        <v>40</v>
      </c>
      <c r="AA763" s="32" t="s">
        <v>176</v>
      </c>
      <c r="AB763" s="32" t="s">
        <v>176</v>
      </c>
      <c r="AC763" s="33"/>
    </row>
    <row r="764" spans="1:29" ht="93" x14ac:dyDescent="0.25">
      <c r="A764" s="41"/>
      <c r="B764" s="42"/>
      <c r="C764" s="43"/>
      <c r="D764" s="43"/>
      <c r="E764" s="44">
        <v>0</v>
      </c>
      <c r="F764" s="44">
        <v>0</v>
      </c>
      <c r="G764" s="44">
        <v>0</v>
      </c>
      <c r="H764" s="44">
        <v>0</v>
      </c>
      <c r="I764" s="44">
        <v>0</v>
      </c>
      <c r="J764" s="44">
        <v>0</v>
      </c>
      <c r="K764" s="44">
        <v>0</v>
      </c>
      <c r="L764" s="44">
        <v>0</v>
      </c>
      <c r="M764" s="44">
        <v>0</v>
      </c>
      <c r="N764" s="44">
        <v>0</v>
      </c>
      <c r="O764" s="44">
        <v>0</v>
      </c>
      <c r="P764" s="44">
        <v>0</v>
      </c>
      <c r="Q764" s="44">
        <v>0</v>
      </c>
      <c r="R764" s="44">
        <v>0</v>
      </c>
      <c r="S764" s="44">
        <v>0</v>
      </c>
      <c r="T764" s="44">
        <v>0</v>
      </c>
      <c r="U764" s="44">
        <v>0</v>
      </c>
      <c r="V764" s="44">
        <v>0</v>
      </c>
      <c r="W764" s="44">
        <v>0</v>
      </c>
      <c r="X764" s="44">
        <v>0</v>
      </c>
      <c r="Y764" s="43" t="s">
        <v>2077</v>
      </c>
      <c r="Z764" s="45" t="s">
        <v>40</v>
      </c>
      <c r="AA764" s="46" t="s">
        <v>176</v>
      </c>
      <c r="AB764" s="46" t="s">
        <v>176</v>
      </c>
      <c r="AC764" s="47"/>
    </row>
    <row r="765" spans="1:29" ht="46.5" x14ac:dyDescent="0.25">
      <c r="A765" s="41"/>
      <c r="B765" s="42"/>
      <c r="C765" s="43"/>
      <c r="D765" s="43"/>
      <c r="E765" s="44">
        <v>0</v>
      </c>
      <c r="F765" s="44">
        <v>0</v>
      </c>
      <c r="G765" s="44">
        <v>0</v>
      </c>
      <c r="H765" s="44">
        <v>0</v>
      </c>
      <c r="I765" s="44">
        <v>0</v>
      </c>
      <c r="J765" s="44">
        <v>0</v>
      </c>
      <c r="K765" s="44">
        <v>0</v>
      </c>
      <c r="L765" s="44">
        <v>0</v>
      </c>
      <c r="M765" s="44">
        <v>0</v>
      </c>
      <c r="N765" s="44">
        <v>0</v>
      </c>
      <c r="O765" s="44">
        <v>0</v>
      </c>
      <c r="P765" s="44">
        <v>0</v>
      </c>
      <c r="Q765" s="44">
        <v>0</v>
      </c>
      <c r="R765" s="44">
        <v>0</v>
      </c>
      <c r="S765" s="44">
        <v>0</v>
      </c>
      <c r="T765" s="44">
        <v>0</v>
      </c>
      <c r="U765" s="44">
        <v>0</v>
      </c>
      <c r="V765" s="44">
        <v>0</v>
      </c>
      <c r="W765" s="44">
        <v>0</v>
      </c>
      <c r="X765" s="44">
        <v>0</v>
      </c>
      <c r="Y765" s="43" t="s">
        <v>2078</v>
      </c>
      <c r="Z765" s="45" t="s">
        <v>40</v>
      </c>
      <c r="AA765" s="46" t="s">
        <v>54</v>
      </c>
      <c r="AB765" s="46" t="s">
        <v>54</v>
      </c>
      <c r="AC765" s="47"/>
    </row>
    <row r="766" spans="1:29" ht="116.25" x14ac:dyDescent="0.25">
      <c r="A766" s="34" t="s">
        <v>2079</v>
      </c>
      <c r="B766" s="35" t="s">
        <v>2080</v>
      </c>
      <c r="C766" s="36"/>
      <c r="D766" s="36"/>
      <c r="E766" s="37">
        <v>0</v>
      </c>
      <c r="F766" s="37">
        <v>0</v>
      </c>
      <c r="G766" s="37">
        <v>0</v>
      </c>
      <c r="H766" s="37">
        <v>0</v>
      </c>
      <c r="I766" s="37">
        <v>0</v>
      </c>
      <c r="J766" s="37">
        <v>0</v>
      </c>
      <c r="K766" s="37">
        <v>0</v>
      </c>
      <c r="L766" s="37">
        <v>0</v>
      </c>
      <c r="M766" s="37">
        <v>0</v>
      </c>
      <c r="N766" s="37">
        <v>0</v>
      </c>
      <c r="O766" s="37">
        <v>0</v>
      </c>
      <c r="P766" s="37">
        <v>0</v>
      </c>
      <c r="Q766" s="37">
        <v>0</v>
      </c>
      <c r="R766" s="37">
        <v>0</v>
      </c>
      <c r="S766" s="37">
        <v>0</v>
      </c>
      <c r="T766" s="37">
        <v>0</v>
      </c>
      <c r="U766" s="37">
        <v>0</v>
      </c>
      <c r="V766" s="37">
        <v>0</v>
      </c>
      <c r="W766" s="37">
        <v>0</v>
      </c>
      <c r="X766" s="37">
        <v>0</v>
      </c>
      <c r="Y766" s="36"/>
      <c r="Z766" s="38"/>
      <c r="AA766" s="39"/>
      <c r="AB766" s="39"/>
      <c r="AC766" s="40"/>
    </row>
    <row r="767" spans="1:29" ht="46.5" x14ac:dyDescent="0.25">
      <c r="A767" s="27" t="s">
        <v>2081</v>
      </c>
      <c r="B767" s="28" t="s">
        <v>2082</v>
      </c>
      <c r="C767" s="29" t="s">
        <v>1479</v>
      </c>
      <c r="D767" s="29" t="s">
        <v>1553</v>
      </c>
      <c r="E767" s="30">
        <f>SUM(E768:E768)+132400</f>
        <v>132400</v>
      </c>
      <c r="F767" s="30">
        <f t="shared" ref="F767:N767" si="615">SUM(F768:F768)</f>
        <v>0</v>
      </c>
      <c r="G767" s="30">
        <f t="shared" si="615"/>
        <v>0</v>
      </c>
      <c r="H767" s="30">
        <f t="shared" si="615"/>
        <v>0</v>
      </c>
      <c r="I767" s="30">
        <f t="shared" si="615"/>
        <v>0</v>
      </c>
      <c r="J767" s="30">
        <f t="shared" si="615"/>
        <v>0</v>
      </c>
      <c r="K767" s="30">
        <f t="shared" si="615"/>
        <v>0</v>
      </c>
      <c r="L767" s="30">
        <f t="shared" si="615"/>
        <v>0</v>
      </c>
      <c r="M767" s="30">
        <f t="shared" si="615"/>
        <v>0</v>
      </c>
      <c r="N767" s="30">
        <f t="shared" si="615"/>
        <v>0</v>
      </c>
      <c r="O767" s="30">
        <f>SUM(O768:O768)+4088.76</f>
        <v>4088.76</v>
      </c>
      <c r="P767" s="30">
        <f t="shared" ref="P767:X767" si="616">SUM(P768:P768)</f>
        <v>0</v>
      </c>
      <c r="Q767" s="30">
        <f t="shared" si="616"/>
        <v>0</v>
      </c>
      <c r="R767" s="30">
        <f t="shared" si="616"/>
        <v>0</v>
      </c>
      <c r="S767" s="30">
        <f t="shared" si="616"/>
        <v>0</v>
      </c>
      <c r="T767" s="30">
        <f t="shared" si="616"/>
        <v>0</v>
      </c>
      <c r="U767" s="30">
        <f t="shared" si="616"/>
        <v>0</v>
      </c>
      <c r="V767" s="30">
        <f t="shared" si="616"/>
        <v>0</v>
      </c>
      <c r="W767" s="30">
        <f t="shared" si="616"/>
        <v>0</v>
      </c>
      <c r="X767" s="30">
        <f t="shared" si="616"/>
        <v>0</v>
      </c>
      <c r="Y767" s="29" t="s">
        <v>2083</v>
      </c>
      <c r="Z767" s="31" t="s">
        <v>40</v>
      </c>
      <c r="AA767" s="32" t="s">
        <v>177</v>
      </c>
      <c r="AB767" s="32" t="s">
        <v>1013</v>
      </c>
      <c r="AC767" s="33" t="s">
        <v>2084</v>
      </c>
    </row>
    <row r="768" spans="1:29" ht="46.5" x14ac:dyDescent="0.25">
      <c r="A768" s="34" t="s">
        <v>2085</v>
      </c>
      <c r="B768" s="35" t="s">
        <v>2086</v>
      </c>
      <c r="C768" s="36"/>
      <c r="D768" s="36"/>
      <c r="E768" s="37">
        <v>0</v>
      </c>
      <c r="F768" s="37">
        <v>0</v>
      </c>
      <c r="G768" s="37">
        <v>0</v>
      </c>
      <c r="H768" s="37">
        <v>0</v>
      </c>
      <c r="I768" s="37">
        <v>0</v>
      </c>
      <c r="J768" s="37">
        <v>0</v>
      </c>
      <c r="K768" s="37">
        <v>0</v>
      </c>
      <c r="L768" s="37">
        <v>0</v>
      </c>
      <c r="M768" s="37">
        <v>0</v>
      </c>
      <c r="N768" s="37">
        <v>0</v>
      </c>
      <c r="O768" s="37">
        <v>0</v>
      </c>
      <c r="P768" s="37">
        <v>0</v>
      </c>
      <c r="Q768" s="37">
        <v>0</v>
      </c>
      <c r="R768" s="37">
        <v>0</v>
      </c>
      <c r="S768" s="37">
        <v>0</v>
      </c>
      <c r="T768" s="37">
        <v>0</v>
      </c>
      <c r="U768" s="37">
        <v>0</v>
      </c>
      <c r="V768" s="37">
        <v>0</v>
      </c>
      <c r="W768" s="37">
        <v>0</v>
      </c>
      <c r="X768" s="37">
        <v>0</v>
      </c>
      <c r="Y768" s="36"/>
      <c r="Z768" s="38"/>
      <c r="AA768" s="39"/>
      <c r="AB768" s="39"/>
      <c r="AC768" s="40"/>
    </row>
    <row r="769" spans="1:29" ht="69.75" x14ac:dyDescent="0.25">
      <c r="A769" s="27" t="s">
        <v>2087</v>
      </c>
      <c r="B769" s="28" t="s">
        <v>2088</v>
      </c>
      <c r="C769" s="29" t="s">
        <v>1479</v>
      </c>
      <c r="D769" s="29" t="s">
        <v>1553</v>
      </c>
      <c r="E769" s="30">
        <f>SUM(E770:E770)+2700</f>
        <v>2700</v>
      </c>
      <c r="F769" s="30">
        <f t="shared" ref="F769:X769" si="617">SUM(F770:F770)</f>
        <v>0</v>
      </c>
      <c r="G769" s="30">
        <f t="shared" si="617"/>
        <v>0</v>
      </c>
      <c r="H769" s="30">
        <f t="shared" si="617"/>
        <v>0</v>
      </c>
      <c r="I769" s="30">
        <f t="shared" si="617"/>
        <v>0</v>
      </c>
      <c r="J769" s="30">
        <f t="shared" si="617"/>
        <v>0</v>
      </c>
      <c r="K769" s="30">
        <f t="shared" si="617"/>
        <v>0</v>
      </c>
      <c r="L769" s="30">
        <f t="shared" si="617"/>
        <v>0</v>
      </c>
      <c r="M769" s="30">
        <f t="shared" si="617"/>
        <v>0</v>
      </c>
      <c r="N769" s="30">
        <f t="shared" si="617"/>
        <v>0</v>
      </c>
      <c r="O769" s="30">
        <f t="shared" si="617"/>
        <v>0</v>
      </c>
      <c r="P769" s="30">
        <f t="shared" si="617"/>
        <v>0</v>
      </c>
      <c r="Q769" s="30">
        <f t="shared" si="617"/>
        <v>0</v>
      </c>
      <c r="R769" s="30">
        <f t="shared" si="617"/>
        <v>0</v>
      </c>
      <c r="S769" s="30">
        <f t="shared" si="617"/>
        <v>0</v>
      </c>
      <c r="T769" s="30">
        <f t="shared" si="617"/>
        <v>0</v>
      </c>
      <c r="U769" s="30">
        <f t="shared" si="617"/>
        <v>0</v>
      </c>
      <c r="V769" s="30">
        <f t="shared" si="617"/>
        <v>0</v>
      </c>
      <c r="W769" s="30">
        <f t="shared" si="617"/>
        <v>0</v>
      </c>
      <c r="X769" s="30">
        <f t="shared" si="617"/>
        <v>0</v>
      </c>
      <c r="Y769" s="29" t="s">
        <v>2089</v>
      </c>
      <c r="Z769" s="31" t="s">
        <v>40</v>
      </c>
      <c r="AA769" s="32" t="s">
        <v>70</v>
      </c>
      <c r="AB769" s="32" t="s">
        <v>70</v>
      </c>
      <c r="AC769" s="33"/>
    </row>
    <row r="770" spans="1:29" ht="46.5" x14ac:dyDescent="0.25">
      <c r="A770" s="34" t="s">
        <v>2090</v>
      </c>
      <c r="B770" s="35" t="s">
        <v>2091</v>
      </c>
      <c r="C770" s="36"/>
      <c r="D770" s="36"/>
      <c r="E770" s="37">
        <v>0</v>
      </c>
      <c r="F770" s="37">
        <v>0</v>
      </c>
      <c r="G770" s="37">
        <v>0</v>
      </c>
      <c r="H770" s="37">
        <v>0</v>
      </c>
      <c r="I770" s="37">
        <v>0</v>
      </c>
      <c r="J770" s="37">
        <v>0</v>
      </c>
      <c r="K770" s="37">
        <v>0</v>
      </c>
      <c r="L770" s="37">
        <v>0</v>
      </c>
      <c r="M770" s="37">
        <v>0</v>
      </c>
      <c r="N770" s="37">
        <v>0</v>
      </c>
      <c r="O770" s="37">
        <v>0</v>
      </c>
      <c r="P770" s="37">
        <v>0</v>
      </c>
      <c r="Q770" s="37">
        <v>0</v>
      </c>
      <c r="R770" s="37">
        <v>0</v>
      </c>
      <c r="S770" s="37">
        <v>0</v>
      </c>
      <c r="T770" s="37">
        <v>0</v>
      </c>
      <c r="U770" s="37">
        <v>0</v>
      </c>
      <c r="V770" s="37">
        <v>0</v>
      </c>
      <c r="W770" s="37">
        <v>0</v>
      </c>
      <c r="X770" s="37">
        <v>0</v>
      </c>
      <c r="Y770" s="36"/>
      <c r="Z770" s="38"/>
      <c r="AA770" s="39"/>
      <c r="AB770" s="39"/>
      <c r="AC770" s="40"/>
    </row>
    <row r="771" spans="1:29" ht="112.5" x14ac:dyDescent="0.25">
      <c r="A771" s="13" t="s">
        <v>2092</v>
      </c>
      <c r="B771" s="14" t="s">
        <v>2093</v>
      </c>
      <c r="C771" s="15" t="s">
        <v>1479</v>
      </c>
      <c r="D771" s="15" t="s">
        <v>1482</v>
      </c>
      <c r="E771" s="16">
        <f t="shared" ref="E771:X771" si="618">SUM(E772:E772)</f>
        <v>0</v>
      </c>
      <c r="F771" s="16">
        <f t="shared" si="618"/>
        <v>0</v>
      </c>
      <c r="G771" s="16">
        <f t="shared" si="618"/>
        <v>0</v>
      </c>
      <c r="H771" s="16">
        <f t="shared" si="618"/>
        <v>0</v>
      </c>
      <c r="I771" s="16">
        <f t="shared" si="618"/>
        <v>0</v>
      </c>
      <c r="J771" s="16">
        <f t="shared" si="618"/>
        <v>0</v>
      </c>
      <c r="K771" s="16">
        <f t="shared" si="618"/>
        <v>0</v>
      </c>
      <c r="L771" s="16">
        <f t="shared" si="618"/>
        <v>0</v>
      </c>
      <c r="M771" s="16">
        <f t="shared" si="618"/>
        <v>0</v>
      </c>
      <c r="N771" s="16">
        <f t="shared" si="618"/>
        <v>0</v>
      </c>
      <c r="O771" s="16">
        <f t="shared" si="618"/>
        <v>0</v>
      </c>
      <c r="P771" s="16">
        <f t="shared" si="618"/>
        <v>0</v>
      </c>
      <c r="Q771" s="16">
        <f t="shared" si="618"/>
        <v>0</v>
      </c>
      <c r="R771" s="16">
        <f t="shared" si="618"/>
        <v>0</v>
      </c>
      <c r="S771" s="16">
        <f t="shared" si="618"/>
        <v>0</v>
      </c>
      <c r="T771" s="16">
        <f t="shared" si="618"/>
        <v>0</v>
      </c>
      <c r="U771" s="16">
        <f t="shared" si="618"/>
        <v>0</v>
      </c>
      <c r="V771" s="16">
        <f t="shared" si="618"/>
        <v>0</v>
      </c>
      <c r="W771" s="16">
        <f t="shared" si="618"/>
        <v>0</v>
      </c>
      <c r="X771" s="16">
        <f t="shared" si="618"/>
        <v>0</v>
      </c>
      <c r="Y771" s="15" t="s">
        <v>259</v>
      </c>
      <c r="Z771" s="17" t="s">
        <v>34</v>
      </c>
      <c r="AA771" s="18" t="s">
        <v>111</v>
      </c>
      <c r="AB771" s="18" t="s">
        <v>111</v>
      </c>
      <c r="AC771" s="19"/>
    </row>
    <row r="772" spans="1:29" ht="67.5" x14ac:dyDescent="0.25">
      <c r="A772" s="20" t="s">
        <v>2094</v>
      </c>
      <c r="B772" s="21" t="s">
        <v>261</v>
      </c>
      <c r="C772" s="22" t="s">
        <v>1479</v>
      </c>
      <c r="D772" s="22" t="s">
        <v>1482</v>
      </c>
      <c r="E772" s="23">
        <f t="shared" ref="E772:X772" si="619">E773+E775</f>
        <v>0</v>
      </c>
      <c r="F772" s="23">
        <f t="shared" si="619"/>
        <v>0</v>
      </c>
      <c r="G772" s="23">
        <f t="shared" si="619"/>
        <v>0</v>
      </c>
      <c r="H772" s="23">
        <f t="shared" si="619"/>
        <v>0</v>
      </c>
      <c r="I772" s="23">
        <f t="shared" si="619"/>
        <v>0</v>
      </c>
      <c r="J772" s="23">
        <f t="shared" si="619"/>
        <v>0</v>
      </c>
      <c r="K772" s="23">
        <f t="shared" si="619"/>
        <v>0</v>
      </c>
      <c r="L772" s="23">
        <f t="shared" si="619"/>
        <v>0</v>
      </c>
      <c r="M772" s="23">
        <f t="shared" si="619"/>
        <v>0</v>
      </c>
      <c r="N772" s="23">
        <f t="shared" si="619"/>
        <v>0</v>
      </c>
      <c r="O772" s="23">
        <f t="shared" si="619"/>
        <v>0</v>
      </c>
      <c r="P772" s="23">
        <f t="shared" si="619"/>
        <v>0</v>
      </c>
      <c r="Q772" s="23">
        <f t="shared" si="619"/>
        <v>0</v>
      </c>
      <c r="R772" s="23">
        <f t="shared" si="619"/>
        <v>0</v>
      </c>
      <c r="S772" s="23">
        <f t="shared" si="619"/>
        <v>0</v>
      </c>
      <c r="T772" s="23">
        <f t="shared" si="619"/>
        <v>0</v>
      </c>
      <c r="U772" s="23">
        <f t="shared" si="619"/>
        <v>0</v>
      </c>
      <c r="V772" s="23">
        <f t="shared" si="619"/>
        <v>0</v>
      </c>
      <c r="W772" s="23">
        <f t="shared" si="619"/>
        <v>0</v>
      </c>
      <c r="X772" s="23">
        <f t="shared" si="619"/>
        <v>0</v>
      </c>
      <c r="Y772" s="22" t="s">
        <v>262</v>
      </c>
      <c r="Z772" s="24" t="s">
        <v>34</v>
      </c>
      <c r="AA772" s="25" t="s">
        <v>263</v>
      </c>
      <c r="AB772" s="25" t="s">
        <v>263</v>
      </c>
      <c r="AC772" s="26"/>
    </row>
    <row r="773" spans="1:29" ht="69.75" x14ac:dyDescent="0.25">
      <c r="A773" s="27" t="s">
        <v>2095</v>
      </c>
      <c r="B773" s="28" t="s">
        <v>2096</v>
      </c>
      <c r="C773" s="29" t="s">
        <v>1479</v>
      </c>
      <c r="D773" s="29" t="s">
        <v>1482</v>
      </c>
      <c r="E773" s="30">
        <f t="shared" ref="E773:X773" si="620">SUM(E774:E774)</f>
        <v>0</v>
      </c>
      <c r="F773" s="30">
        <f t="shared" si="620"/>
        <v>0</v>
      </c>
      <c r="G773" s="30">
        <f t="shared" si="620"/>
        <v>0</v>
      </c>
      <c r="H773" s="30">
        <f t="shared" si="620"/>
        <v>0</v>
      </c>
      <c r="I773" s="30">
        <f t="shared" si="620"/>
        <v>0</v>
      </c>
      <c r="J773" s="30">
        <f t="shared" si="620"/>
        <v>0</v>
      </c>
      <c r="K773" s="30">
        <f t="shared" si="620"/>
        <v>0</v>
      </c>
      <c r="L773" s="30">
        <f t="shared" si="620"/>
        <v>0</v>
      </c>
      <c r="M773" s="30">
        <f t="shared" si="620"/>
        <v>0</v>
      </c>
      <c r="N773" s="30">
        <f t="shared" si="620"/>
        <v>0</v>
      </c>
      <c r="O773" s="30">
        <f t="shared" si="620"/>
        <v>0</v>
      </c>
      <c r="P773" s="30">
        <f t="shared" si="620"/>
        <v>0</v>
      </c>
      <c r="Q773" s="30">
        <f t="shared" si="620"/>
        <v>0</v>
      </c>
      <c r="R773" s="30">
        <f t="shared" si="620"/>
        <v>0</v>
      </c>
      <c r="S773" s="30">
        <f t="shared" si="620"/>
        <v>0</v>
      </c>
      <c r="T773" s="30">
        <f t="shared" si="620"/>
        <v>0</v>
      </c>
      <c r="U773" s="30">
        <f t="shared" si="620"/>
        <v>0</v>
      </c>
      <c r="V773" s="30">
        <f t="shared" si="620"/>
        <v>0</v>
      </c>
      <c r="W773" s="30">
        <f t="shared" si="620"/>
        <v>0</v>
      </c>
      <c r="X773" s="30">
        <f t="shared" si="620"/>
        <v>0</v>
      </c>
      <c r="Y773" s="29" t="s">
        <v>2097</v>
      </c>
      <c r="Z773" s="31" t="s">
        <v>40</v>
      </c>
      <c r="AA773" s="32" t="s">
        <v>54</v>
      </c>
      <c r="AB773" s="32" t="s">
        <v>47</v>
      </c>
      <c r="AC773" s="33"/>
    </row>
    <row r="774" spans="1:29" ht="46.5" x14ac:dyDescent="0.25">
      <c r="A774" s="34" t="s">
        <v>2098</v>
      </c>
      <c r="B774" s="35" t="s">
        <v>2099</v>
      </c>
      <c r="C774" s="36"/>
      <c r="D774" s="36"/>
      <c r="E774" s="37">
        <v>0</v>
      </c>
      <c r="F774" s="37">
        <v>0</v>
      </c>
      <c r="G774" s="37">
        <v>0</v>
      </c>
      <c r="H774" s="37">
        <v>0</v>
      </c>
      <c r="I774" s="37">
        <v>0</v>
      </c>
      <c r="J774" s="37">
        <v>0</v>
      </c>
      <c r="K774" s="37">
        <v>0</v>
      </c>
      <c r="L774" s="37">
        <v>0</v>
      </c>
      <c r="M774" s="37">
        <v>0</v>
      </c>
      <c r="N774" s="37">
        <v>0</v>
      </c>
      <c r="O774" s="37">
        <v>0</v>
      </c>
      <c r="P774" s="37">
        <v>0</v>
      </c>
      <c r="Q774" s="37">
        <v>0</v>
      </c>
      <c r="R774" s="37">
        <v>0</v>
      </c>
      <c r="S774" s="37">
        <v>0</v>
      </c>
      <c r="T774" s="37">
        <v>0</v>
      </c>
      <c r="U774" s="37">
        <v>0</v>
      </c>
      <c r="V774" s="37">
        <v>0</v>
      </c>
      <c r="W774" s="37">
        <v>0</v>
      </c>
      <c r="X774" s="37">
        <v>0</v>
      </c>
      <c r="Y774" s="36"/>
      <c r="Z774" s="38"/>
      <c r="AA774" s="39"/>
      <c r="AB774" s="39"/>
      <c r="AC774" s="40"/>
    </row>
    <row r="775" spans="1:29" ht="93" x14ac:dyDescent="0.25">
      <c r="A775" s="27" t="s">
        <v>2100</v>
      </c>
      <c r="B775" s="28" t="s">
        <v>2101</v>
      </c>
      <c r="C775" s="29" t="s">
        <v>1479</v>
      </c>
      <c r="D775" s="29" t="s">
        <v>1482</v>
      </c>
      <c r="E775" s="30">
        <f t="shared" ref="E775:X775" si="621">SUM(E776:E776)</f>
        <v>0</v>
      </c>
      <c r="F775" s="30">
        <f t="shared" si="621"/>
        <v>0</v>
      </c>
      <c r="G775" s="30">
        <f t="shared" si="621"/>
        <v>0</v>
      </c>
      <c r="H775" s="30">
        <f t="shared" si="621"/>
        <v>0</v>
      </c>
      <c r="I775" s="30">
        <f t="shared" si="621"/>
        <v>0</v>
      </c>
      <c r="J775" s="30">
        <f t="shared" si="621"/>
        <v>0</v>
      </c>
      <c r="K775" s="30">
        <f t="shared" si="621"/>
        <v>0</v>
      </c>
      <c r="L775" s="30">
        <f t="shared" si="621"/>
        <v>0</v>
      </c>
      <c r="M775" s="30">
        <f t="shared" si="621"/>
        <v>0</v>
      </c>
      <c r="N775" s="30">
        <f t="shared" si="621"/>
        <v>0</v>
      </c>
      <c r="O775" s="30">
        <f t="shared" si="621"/>
        <v>0</v>
      </c>
      <c r="P775" s="30">
        <f t="shared" si="621"/>
        <v>0</v>
      </c>
      <c r="Q775" s="30">
        <f t="shared" si="621"/>
        <v>0</v>
      </c>
      <c r="R775" s="30">
        <f t="shared" si="621"/>
        <v>0</v>
      </c>
      <c r="S775" s="30">
        <f t="shared" si="621"/>
        <v>0</v>
      </c>
      <c r="T775" s="30">
        <f t="shared" si="621"/>
        <v>0</v>
      </c>
      <c r="U775" s="30">
        <f t="shared" si="621"/>
        <v>0</v>
      </c>
      <c r="V775" s="30">
        <f t="shared" si="621"/>
        <v>0</v>
      </c>
      <c r="W775" s="30">
        <f t="shared" si="621"/>
        <v>0</v>
      </c>
      <c r="X775" s="30">
        <f t="shared" si="621"/>
        <v>0</v>
      </c>
      <c r="Y775" s="29" t="s">
        <v>2102</v>
      </c>
      <c r="Z775" s="31" t="s">
        <v>40</v>
      </c>
      <c r="AA775" s="32" t="s">
        <v>2103</v>
      </c>
      <c r="AB775" s="32" t="s">
        <v>2104</v>
      </c>
      <c r="AC775" s="33"/>
    </row>
    <row r="776" spans="1:29" ht="69.75" x14ac:dyDescent="0.25">
      <c r="A776" s="50" t="s">
        <v>2105</v>
      </c>
      <c r="B776" s="51" t="s">
        <v>2106</v>
      </c>
      <c r="C776" s="52"/>
      <c r="D776" s="52"/>
      <c r="E776" s="53">
        <v>0</v>
      </c>
      <c r="F776" s="53">
        <v>0</v>
      </c>
      <c r="G776" s="53">
        <v>0</v>
      </c>
      <c r="H776" s="53">
        <v>0</v>
      </c>
      <c r="I776" s="53">
        <v>0</v>
      </c>
      <c r="J776" s="53">
        <v>0</v>
      </c>
      <c r="K776" s="53">
        <v>0</v>
      </c>
      <c r="L776" s="53">
        <v>0</v>
      </c>
      <c r="M776" s="53">
        <v>0</v>
      </c>
      <c r="N776" s="53">
        <v>0</v>
      </c>
      <c r="O776" s="53">
        <v>0</v>
      </c>
      <c r="P776" s="53">
        <v>0</v>
      </c>
      <c r="Q776" s="53">
        <v>0</v>
      </c>
      <c r="R776" s="53">
        <v>0</v>
      </c>
      <c r="S776" s="53">
        <v>0</v>
      </c>
      <c r="T776" s="53">
        <v>0</v>
      </c>
      <c r="U776" s="53">
        <v>0</v>
      </c>
      <c r="V776" s="53">
        <v>0</v>
      </c>
      <c r="W776" s="53">
        <v>0</v>
      </c>
      <c r="X776" s="53">
        <v>0</v>
      </c>
      <c r="Y776" s="52"/>
      <c r="Z776" s="54"/>
      <c r="AA776" s="55"/>
      <c r="AB776" s="55"/>
      <c r="AC776" s="56"/>
    </row>
    <row r="777" spans="1:29" s="62" customFormat="1" x14ac:dyDescent="0.25">
      <c r="A777" s="57"/>
      <c r="B777" s="57"/>
      <c r="C777" s="58"/>
      <c r="D777" s="58"/>
      <c r="E777" s="59"/>
      <c r="F777" s="59"/>
      <c r="G777" s="59"/>
      <c r="H777" s="59"/>
      <c r="I777" s="59"/>
      <c r="J777" s="59"/>
      <c r="K777" s="59"/>
      <c r="L777" s="59"/>
      <c r="M777" s="59"/>
      <c r="N777" s="59"/>
      <c r="O777" s="59"/>
      <c r="P777" s="59"/>
      <c r="Q777" s="59"/>
      <c r="R777" s="59"/>
      <c r="S777" s="59"/>
      <c r="T777" s="59"/>
      <c r="U777" s="59"/>
      <c r="V777" s="59"/>
      <c r="W777" s="59"/>
      <c r="X777" s="59"/>
      <c r="Y777" s="58"/>
      <c r="Z777" s="60"/>
      <c r="AA777" s="61"/>
      <c r="AB777" s="61"/>
      <c r="AC777" s="58"/>
    </row>
    <row r="778" spans="1:29" s="62" customFormat="1" x14ac:dyDescent="0.25">
      <c r="A778" s="57"/>
      <c r="B778" s="57"/>
      <c r="C778" s="58"/>
      <c r="D778" s="58"/>
      <c r="E778" s="59"/>
      <c r="F778" s="59"/>
      <c r="G778" s="59"/>
      <c r="H778" s="59"/>
      <c r="I778" s="59"/>
      <c r="J778" s="59"/>
      <c r="K778" s="59"/>
      <c r="L778" s="59"/>
      <c r="M778" s="59"/>
      <c r="N778" s="59"/>
      <c r="O778" s="59"/>
      <c r="P778" s="59"/>
      <c r="Q778" s="59"/>
      <c r="R778" s="59"/>
      <c r="S778" s="59"/>
      <c r="T778" s="59"/>
      <c r="U778" s="59"/>
      <c r="V778" s="59"/>
      <c r="W778" s="59"/>
      <c r="X778" s="59"/>
      <c r="Y778" s="58"/>
      <c r="Z778" s="60"/>
      <c r="AA778" s="61"/>
      <c r="AB778" s="61"/>
      <c r="AC778" s="58"/>
    </row>
    <row r="779" spans="1:29" s="62" customFormat="1" x14ac:dyDescent="0.25">
      <c r="A779" s="57"/>
      <c r="B779" s="57"/>
      <c r="C779" s="58"/>
      <c r="D779" s="58"/>
      <c r="E779" s="59"/>
      <c r="F779" s="59"/>
      <c r="G779" s="59"/>
      <c r="H779" s="59"/>
      <c r="I779" s="59"/>
      <c r="J779" s="59"/>
      <c r="K779" s="59"/>
      <c r="L779" s="59"/>
      <c r="M779" s="59"/>
      <c r="N779" s="59"/>
      <c r="O779" s="59"/>
      <c r="P779" s="59"/>
      <c r="Q779" s="59"/>
      <c r="R779" s="59"/>
      <c r="S779" s="59"/>
      <c r="T779" s="59"/>
      <c r="U779" s="59"/>
      <c r="V779" s="59"/>
      <c r="W779" s="59"/>
      <c r="X779" s="59"/>
      <c r="Y779" s="58"/>
      <c r="Z779" s="60"/>
      <c r="AA779" s="61"/>
      <c r="AB779" s="61"/>
      <c r="AC779" s="58"/>
    </row>
    <row r="780" spans="1:29" s="62" customFormat="1" x14ac:dyDescent="0.25">
      <c r="A780" s="57"/>
      <c r="B780" s="57"/>
      <c r="C780" s="58"/>
      <c r="D780" s="58"/>
      <c r="E780" s="59"/>
      <c r="F780" s="59"/>
      <c r="G780" s="59"/>
      <c r="H780" s="59"/>
      <c r="I780" s="59"/>
      <c r="J780" s="59"/>
      <c r="K780" s="59"/>
      <c r="L780" s="59"/>
      <c r="M780" s="59"/>
      <c r="N780" s="59"/>
      <c r="O780" s="59"/>
      <c r="P780" s="59"/>
      <c r="Q780" s="59"/>
      <c r="R780" s="59"/>
      <c r="S780" s="59"/>
      <c r="T780" s="59"/>
      <c r="U780" s="59"/>
      <c r="V780" s="59"/>
      <c r="W780" s="59"/>
      <c r="X780" s="59"/>
      <c r="Y780" s="58"/>
      <c r="Z780" s="60"/>
      <c r="AA780" s="61"/>
      <c r="AB780" s="61"/>
      <c r="AC780" s="58"/>
    </row>
    <row r="781" spans="1:29" s="62" customFormat="1" x14ac:dyDescent="0.25">
      <c r="A781" s="57"/>
      <c r="B781" s="57"/>
      <c r="C781" s="58"/>
      <c r="D781" s="58"/>
      <c r="E781" s="59"/>
      <c r="F781" s="59"/>
      <c r="G781" s="59"/>
      <c r="H781" s="59"/>
      <c r="I781" s="59"/>
      <c r="J781" s="59"/>
      <c r="K781" s="59"/>
      <c r="L781" s="59"/>
      <c r="M781" s="59"/>
      <c r="N781" s="59"/>
      <c r="O781" s="59"/>
      <c r="P781" s="59"/>
      <c r="Q781" s="59"/>
      <c r="R781" s="59"/>
      <c r="S781" s="59"/>
      <c r="T781" s="59"/>
      <c r="U781" s="59"/>
      <c r="V781" s="59"/>
      <c r="W781" s="59"/>
      <c r="X781" s="59"/>
      <c r="Y781" s="58"/>
      <c r="Z781" s="60"/>
      <c r="AA781" s="61"/>
      <c r="AB781" s="61"/>
      <c r="AC781" s="58"/>
    </row>
    <row r="782" spans="1:29" x14ac:dyDescent="0.25">
      <c r="A782" s="71" t="s">
        <v>0</v>
      </c>
      <c r="B782" s="71" t="s">
        <v>1</v>
      </c>
      <c r="C782" s="71" t="s">
        <v>4</v>
      </c>
      <c r="D782" s="71" t="s">
        <v>5</v>
      </c>
      <c r="E782" s="77"/>
      <c r="F782" s="77"/>
      <c r="G782" s="77"/>
      <c r="H782" s="77"/>
      <c r="I782" s="77"/>
      <c r="J782" s="77"/>
      <c r="K782" s="77"/>
      <c r="L782" s="77"/>
      <c r="M782" s="71" t="s">
        <v>6</v>
      </c>
      <c r="N782" s="71" t="s">
        <v>5</v>
      </c>
      <c r="O782" s="77"/>
      <c r="P782" s="77"/>
      <c r="Q782" s="77"/>
      <c r="R782" s="77"/>
      <c r="S782" s="77"/>
      <c r="T782" s="77"/>
      <c r="U782" s="77"/>
      <c r="V782" s="77"/>
    </row>
    <row r="783" spans="1:29" x14ac:dyDescent="0.25">
      <c r="A783" s="71"/>
      <c r="B783" s="71"/>
      <c r="C783" s="71"/>
      <c r="D783" s="4" t="s">
        <v>8</v>
      </c>
      <c r="E783" s="4" t="s">
        <v>9</v>
      </c>
      <c r="F783" s="4" t="s">
        <v>10</v>
      </c>
      <c r="G783" s="4" t="s">
        <v>11</v>
      </c>
      <c r="H783" s="4" t="s">
        <v>12</v>
      </c>
      <c r="I783" s="4" t="s">
        <v>13</v>
      </c>
      <c r="J783" s="4" t="s">
        <v>14</v>
      </c>
      <c r="K783" s="4" t="s">
        <v>15</v>
      </c>
      <c r="L783" s="4" t="s">
        <v>16</v>
      </c>
      <c r="M783" s="71"/>
      <c r="N783" s="4" t="s">
        <v>8</v>
      </c>
      <c r="O783" s="4" t="s">
        <v>17</v>
      </c>
      <c r="P783" s="4" t="s">
        <v>18</v>
      </c>
      <c r="Q783" s="4" t="s">
        <v>19</v>
      </c>
      <c r="R783" s="4" t="s">
        <v>12</v>
      </c>
      <c r="S783" s="4" t="s">
        <v>13</v>
      </c>
      <c r="T783" s="4" t="s">
        <v>14</v>
      </c>
      <c r="U783" s="4" t="s">
        <v>15</v>
      </c>
      <c r="V783" s="4" t="s">
        <v>16</v>
      </c>
    </row>
    <row r="784" spans="1:29" ht="46.5" x14ac:dyDescent="0.25">
      <c r="A784" s="42" t="s">
        <v>2107</v>
      </c>
      <c r="B784" s="42" t="s">
        <v>2107</v>
      </c>
      <c r="C784" s="63">
        <f t="shared" ref="C784:V784" si="622">SUM(C785:C793)</f>
        <v>29350453.740000002</v>
      </c>
      <c r="D784" s="63">
        <f t="shared" si="622"/>
        <v>20407130.050000001</v>
      </c>
      <c r="E784" s="63">
        <f t="shared" si="622"/>
        <v>166842.32</v>
      </c>
      <c r="F784" s="63">
        <f t="shared" si="622"/>
        <v>145687.04999999999</v>
      </c>
      <c r="G784" s="63">
        <f t="shared" si="622"/>
        <v>3256843.21</v>
      </c>
      <c r="H784" s="63">
        <f t="shared" si="622"/>
        <v>0</v>
      </c>
      <c r="I784" s="63">
        <f t="shared" si="622"/>
        <v>1802613.16</v>
      </c>
      <c r="J784" s="63">
        <f t="shared" si="622"/>
        <v>3114129.45</v>
      </c>
      <c r="K784" s="63">
        <f t="shared" si="622"/>
        <v>0</v>
      </c>
      <c r="L784" s="63">
        <f t="shared" si="622"/>
        <v>0</v>
      </c>
      <c r="M784" s="63">
        <f t="shared" si="622"/>
        <v>27767554.319999997</v>
      </c>
      <c r="N784" s="63">
        <f t="shared" si="622"/>
        <v>18540790.620000001</v>
      </c>
      <c r="O784" s="63">
        <f t="shared" si="622"/>
        <v>77637.009999999995</v>
      </c>
      <c r="P784" s="63">
        <f t="shared" si="622"/>
        <v>123933.85</v>
      </c>
      <c r="Q784" s="63">
        <f t="shared" si="622"/>
        <v>0</v>
      </c>
      <c r="R784" s="63">
        <f t="shared" si="622"/>
        <v>0</v>
      </c>
      <c r="S784" s="63">
        <f t="shared" si="622"/>
        <v>18589.060000000001</v>
      </c>
      <c r="T784" s="63">
        <f t="shared" si="622"/>
        <v>2456351.23</v>
      </c>
      <c r="U784" s="63">
        <f t="shared" si="622"/>
        <v>0</v>
      </c>
      <c r="V784" s="63">
        <f t="shared" si="622"/>
        <v>0</v>
      </c>
    </row>
    <row r="785" spans="1:22" x14ac:dyDescent="0.25">
      <c r="A785" s="42" t="s">
        <v>2108</v>
      </c>
      <c r="B785" s="42" t="s">
        <v>2109</v>
      </c>
      <c r="C785" s="44">
        <v>20408624.25</v>
      </c>
      <c r="D785" s="44">
        <v>20407130.050000001</v>
      </c>
      <c r="E785" s="44">
        <v>0</v>
      </c>
      <c r="F785" s="44">
        <v>0</v>
      </c>
      <c r="G785" s="44">
        <v>0</v>
      </c>
      <c r="H785" s="44">
        <v>0</v>
      </c>
      <c r="I785" s="44">
        <v>0</v>
      </c>
      <c r="J785" s="44">
        <v>1494.2</v>
      </c>
      <c r="K785" s="44">
        <v>0</v>
      </c>
      <c r="L785" s="44">
        <v>0</v>
      </c>
      <c r="M785" s="44">
        <v>19632989.859999999</v>
      </c>
      <c r="N785" s="44">
        <v>18540790.620000001</v>
      </c>
      <c r="O785" s="44">
        <v>0</v>
      </c>
      <c r="P785" s="44">
        <v>0</v>
      </c>
      <c r="Q785" s="44">
        <v>0</v>
      </c>
      <c r="R785" s="44">
        <v>0</v>
      </c>
      <c r="S785" s="44">
        <v>0</v>
      </c>
      <c r="T785" s="44">
        <v>0</v>
      </c>
      <c r="U785" s="44">
        <v>0</v>
      </c>
      <c r="V785" s="44">
        <v>0</v>
      </c>
    </row>
    <row r="786" spans="1:22" ht="116.25" x14ac:dyDescent="0.25">
      <c r="A786" s="42" t="s">
        <v>2110</v>
      </c>
      <c r="B786" s="42" t="s">
        <v>2111</v>
      </c>
      <c r="C786" s="44">
        <v>244102.22</v>
      </c>
      <c r="D786" s="44">
        <v>0</v>
      </c>
      <c r="E786" s="44">
        <v>0</v>
      </c>
      <c r="F786" s="44">
        <v>0</v>
      </c>
      <c r="G786" s="44">
        <v>0</v>
      </c>
      <c r="H786" s="44">
        <v>0</v>
      </c>
      <c r="I786" s="44">
        <v>0</v>
      </c>
      <c r="J786" s="44">
        <v>244102.22</v>
      </c>
      <c r="K786" s="44">
        <v>0</v>
      </c>
      <c r="L786" s="44">
        <v>0</v>
      </c>
      <c r="M786" s="44">
        <v>82991.17</v>
      </c>
      <c r="N786" s="44">
        <v>0</v>
      </c>
      <c r="O786" s="44">
        <v>0</v>
      </c>
      <c r="P786" s="44">
        <v>0</v>
      </c>
      <c r="Q786" s="44">
        <v>0</v>
      </c>
      <c r="R786" s="44">
        <v>0</v>
      </c>
      <c r="S786" s="44">
        <v>0</v>
      </c>
      <c r="T786" s="44">
        <v>82991.17</v>
      </c>
      <c r="U786" s="44">
        <v>0</v>
      </c>
      <c r="V786" s="44">
        <v>0</v>
      </c>
    </row>
    <row r="787" spans="1:22" ht="46.5" x14ac:dyDescent="0.25">
      <c r="A787" s="42" t="s">
        <v>2112</v>
      </c>
      <c r="B787" s="42" t="s">
        <v>2113</v>
      </c>
      <c r="C787" s="44">
        <v>166842.32</v>
      </c>
      <c r="D787" s="44">
        <v>0</v>
      </c>
      <c r="E787" s="44">
        <v>166842.32</v>
      </c>
      <c r="F787" s="44">
        <v>0</v>
      </c>
      <c r="G787" s="44">
        <v>0</v>
      </c>
      <c r="H787" s="44">
        <v>0</v>
      </c>
      <c r="I787" s="44">
        <v>0</v>
      </c>
      <c r="J787" s="44">
        <v>0</v>
      </c>
      <c r="K787" s="44">
        <v>0</v>
      </c>
      <c r="L787" s="44">
        <v>0</v>
      </c>
      <c r="M787" s="44">
        <v>135087.56</v>
      </c>
      <c r="N787" s="44">
        <v>0</v>
      </c>
      <c r="O787" s="44">
        <v>77637.009999999995</v>
      </c>
      <c r="P787" s="44">
        <v>0</v>
      </c>
      <c r="Q787" s="44">
        <v>0</v>
      </c>
      <c r="R787" s="44">
        <v>0</v>
      </c>
      <c r="S787" s="44">
        <v>0</v>
      </c>
      <c r="T787" s="44">
        <v>0</v>
      </c>
      <c r="U787" s="44">
        <v>0</v>
      </c>
      <c r="V787" s="44">
        <v>0</v>
      </c>
    </row>
    <row r="788" spans="1:22" x14ac:dyDescent="0.25">
      <c r="A788" s="42" t="s">
        <v>2114</v>
      </c>
      <c r="B788" s="42" t="s">
        <v>2115</v>
      </c>
      <c r="C788" s="44">
        <v>3320527.21</v>
      </c>
      <c r="D788" s="44">
        <v>0</v>
      </c>
      <c r="E788" s="44">
        <v>0</v>
      </c>
      <c r="F788" s="44">
        <v>0</v>
      </c>
      <c r="G788" s="44">
        <v>3256843.21</v>
      </c>
      <c r="H788" s="44">
        <v>0</v>
      </c>
      <c r="I788" s="44">
        <v>0</v>
      </c>
      <c r="J788" s="44">
        <v>0</v>
      </c>
      <c r="K788" s="44">
        <v>0</v>
      </c>
      <c r="L788" s="44">
        <v>0</v>
      </c>
      <c r="M788" s="44">
        <v>3275260.5</v>
      </c>
      <c r="N788" s="44">
        <v>0</v>
      </c>
      <c r="O788" s="44">
        <v>0</v>
      </c>
      <c r="P788" s="44">
        <v>0</v>
      </c>
      <c r="Q788" s="44">
        <v>0</v>
      </c>
      <c r="R788" s="44">
        <v>0</v>
      </c>
      <c r="S788" s="44">
        <v>0</v>
      </c>
      <c r="T788" s="44">
        <v>443997.44</v>
      </c>
      <c r="U788" s="44">
        <v>0</v>
      </c>
      <c r="V788" s="44">
        <v>0</v>
      </c>
    </row>
    <row r="789" spans="1:22" x14ac:dyDescent="0.25">
      <c r="A789" s="42" t="s">
        <v>2116</v>
      </c>
      <c r="B789" s="42" t="s">
        <v>2117</v>
      </c>
      <c r="C789" s="44">
        <v>1836100</v>
      </c>
      <c r="D789" s="44">
        <v>0</v>
      </c>
      <c r="E789" s="44">
        <v>0</v>
      </c>
      <c r="F789" s="44">
        <v>0</v>
      </c>
      <c r="G789" s="44">
        <v>0</v>
      </c>
      <c r="H789" s="44">
        <v>0</v>
      </c>
      <c r="I789" s="44">
        <v>0</v>
      </c>
      <c r="J789" s="44">
        <v>1836100</v>
      </c>
      <c r="K789" s="44">
        <v>0</v>
      </c>
      <c r="L789" s="44">
        <v>0</v>
      </c>
      <c r="M789" s="44">
        <v>1836032.15</v>
      </c>
      <c r="N789" s="44">
        <v>0</v>
      </c>
      <c r="O789" s="44">
        <v>0</v>
      </c>
      <c r="P789" s="44">
        <v>0</v>
      </c>
      <c r="Q789" s="44">
        <v>0</v>
      </c>
      <c r="R789" s="44">
        <v>0</v>
      </c>
      <c r="S789" s="44">
        <v>0</v>
      </c>
      <c r="T789" s="44">
        <v>1836032.15</v>
      </c>
      <c r="U789" s="44">
        <v>0</v>
      </c>
      <c r="V789" s="44">
        <v>0</v>
      </c>
    </row>
    <row r="790" spans="1:22" x14ac:dyDescent="0.25">
      <c r="A790" s="42" t="s">
        <v>2118</v>
      </c>
      <c r="B790" s="42" t="s">
        <v>2119</v>
      </c>
      <c r="C790" s="44">
        <v>145687.04999999999</v>
      </c>
      <c r="D790" s="44">
        <v>0</v>
      </c>
      <c r="E790" s="44">
        <v>0</v>
      </c>
      <c r="F790" s="44">
        <v>145687.04999999999</v>
      </c>
      <c r="G790" s="44">
        <v>0</v>
      </c>
      <c r="H790" s="44">
        <v>0</v>
      </c>
      <c r="I790" s="44">
        <v>0</v>
      </c>
      <c r="J790" s="44">
        <v>0</v>
      </c>
      <c r="K790" s="44">
        <v>0</v>
      </c>
      <c r="L790" s="44">
        <v>0</v>
      </c>
      <c r="M790" s="44">
        <v>155567.9</v>
      </c>
      <c r="N790" s="44">
        <v>0</v>
      </c>
      <c r="O790" s="44">
        <v>0</v>
      </c>
      <c r="P790" s="44">
        <v>123933.85</v>
      </c>
      <c r="Q790" s="44">
        <v>0</v>
      </c>
      <c r="R790" s="44">
        <v>0</v>
      </c>
      <c r="S790" s="44">
        <v>0</v>
      </c>
      <c r="T790" s="44">
        <v>0</v>
      </c>
      <c r="U790" s="44">
        <v>0</v>
      </c>
      <c r="V790" s="44">
        <v>0</v>
      </c>
    </row>
    <row r="791" spans="1:22" ht="46.5" x14ac:dyDescent="0.25">
      <c r="A791" s="42" t="s">
        <v>2120</v>
      </c>
      <c r="B791" s="42" t="s">
        <v>2121</v>
      </c>
      <c r="C791" s="44">
        <v>18637.72</v>
      </c>
      <c r="D791" s="44">
        <v>0</v>
      </c>
      <c r="E791" s="44">
        <v>0</v>
      </c>
      <c r="F791" s="44">
        <v>0</v>
      </c>
      <c r="G791" s="44">
        <v>0</v>
      </c>
      <c r="H791" s="44">
        <v>0</v>
      </c>
      <c r="I791" s="44">
        <v>18637.72</v>
      </c>
      <c r="J791" s="44">
        <v>0</v>
      </c>
      <c r="K791" s="44">
        <v>0</v>
      </c>
      <c r="L791" s="44">
        <v>0</v>
      </c>
      <c r="M791" s="44">
        <v>18637.72</v>
      </c>
      <c r="N791" s="44">
        <v>0</v>
      </c>
      <c r="O791" s="44">
        <v>0</v>
      </c>
      <c r="P791" s="44">
        <v>0</v>
      </c>
      <c r="Q791" s="44">
        <v>0</v>
      </c>
      <c r="R791" s="44">
        <v>0</v>
      </c>
      <c r="S791" s="44">
        <v>18589.060000000001</v>
      </c>
      <c r="T791" s="44">
        <v>0</v>
      </c>
      <c r="U791" s="44">
        <v>0</v>
      </c>
      <c r="V791" s="44">
        <v>0</v>
      </c>
    </row>
    <row r="792" spans="1:22" ht="116.25" x14ac:dyDescent="0.25">
      <c r="A792" s="42" t="s">
        <v>2122</v>
      </c>
      <c r="B792" s="42" t="s">
        <v>2123</v>
      </c>
      <c r="C792" s="44">
        <v>1425957.53</v>
      </c>
      <c r="D792" s="44">
        <v>0</v>
      </c>
      <c r="E792" s="44">
        <v>0</v>
      </c>
      <c r="F792" s="44">
        <v>0</v>
      </c>
      <c r="G792" s="44">
        <v>0</v>
      </c>
      <c r="H792" s="44">
        <v>0</v>
      </c>
      <c r="I792" s="44">
        <v>0</v>
      </c>
      <c r="J792" s="44">
        <v>1032433.03</v>
      </c>
      <c r="K792" s="44">
        <v>0</v>
      </c>
      <c r="L792" s="44">
        <v>0</v>
      </c>
      <c r="M792" s="44">
        <v>1336356.1399999999</v>
      </c>
      <c r="N792" s="44">
        <v>0</v>
      </c>
      <c r="O792" s="44">
        <v>0</v>
      </c>
      <c r="P792" s="44">
        <v>0</v>
      </c>
      <c r="Q792" s="44">
        <v>0</v>
      </c>
      <c r="R792" s="44">
        <v>0</v>
      </c>
      <c r="S792" s="44">
        <v>0</v>
      </c>
      <c r="T792" s="44">
        <v>93330.47</v>
      </c>
      <c r="U792" s="44">
        <v>0</v>
      </c>
      <c r="V792" s="44">
        <v>0</v>
      </c>
    </row>
    <row r="793" spans="1:22" ht="116.25" x14ac:dyDescent="0.25">
      <c r="A793" s="42" t="s">
        <v>2124</v>
      </c>
      <c r="B793" s="42" t="s">
        <v>2125</v>
      </c>
      <c r="C793" s="44">
        <v>1783975.44</v>
      </c>
      <c r="D793" s="44">
        <v>0</v>
      </c>
      <c r="E793" s="44">
        <v>0</v>
      </c>
      <c r="F793" s="44">
        <v>0</v>
      </c>
      <c r="G793" s="44">
        <v>0</v>
      </c>
      <c r="H793" s="44">
        <v>0</v>
      </c>
      <c r="I793" s="44">
        <v>1783975.44</v>
      </c>
      <c r="J793" s="44">
        <v>0</v>
      </c>
      <c r="K793" s="44">
        <v>0</v>
      </c>
      <c r="L793" s="44">
        <v>0</v>
      </c>
      <c r="M793" s="44">
        <v>1294631.32</v>
      </c>
      <c r="N793" s="44">
        <v>0</v>
      </c>
      <c r="O793" s="44">
        <v>0</v>
      </c>
      <c r="P793" s="44">
        <v>0</v>
      </c>
      <c r="Q793" s="44">
        <v>0</v>
      </c>
      <c r="R793" s="44">
        <v>0</v>
      </c>
      <c r="S793" s="44">
        <v>0</v>
      </c>
      <c r="T793" s="44">
        <v>0</v>
      </c>
      <c r="U793" s="44">
        <v>0</v>
      </c>
      <c r="V793" s="44">
        <v>0</v>
      </c>
    </row>
    <row r="794" spans="1:22" ht="46.5" x14ac:dyDescent="0.25">
      <c r="A794" s="42" t="s">
        <v>13</v>
      </c>
      <c r="B794" s="42" t="s">
        <v>2126</v>
      </c>
      <c r="C794" s="44">
        <v>30600</v>
      </c>
      <c r="D794" s="44">
        <v>0</v>
      </c>
      <c r="E794" s="44">
        <v>0</v>
      </c>
      <c r="F794" s="44">
        <v>0</v>
      </c>
      <c r="G794" s="44">
        <v>0</v>
      </c>
      <c r="H794" s="44">
        <v>0</v>
      </c>
      <c r="I794" s="44">
        <v>30600</v>
      </c>
      <c r="J794" s="44">
        <v>0</v>
      </c>
      <c r="K794" s="44">
        <v>0</v>
      </c>
      <c r="L794" s="44">
        <v>0</v>
      </c>
      <c r="M794" s="44">
        <v>0</v>
      </c>
      <c r="N794" s="44">
        <v>0</v>
      </c>
      <c r="O794" s="44">
        <v>0</v>
      </c>
      <c r="P794" s="44">
        <v>0</v>
      </c>
      <c r="Q794" s="44">
        <v>0</v>
      </c>
      <c r="R794" s="44">
        <v>0</v>
      </c>
      <c r="S794" s="44">
        <v>0</v>
      </c>
      <c r="T794" s="44">
        <v>0</v>
      </c>
      <c r="U794" s="44">
        <v>0</v>
      </c>
      <c r="V794" s="44">
        <v>0</v>
      </c>
    </row>
    <row r="795" spans="1:22" ht="69.75" x14ac:dyDescent="0.25">
      <c r="A795" s="42" t="s">
        <v>14</v>
      </c>
      <c r="B795" s="42" t="s">
        <v>2127</v>
      </c>
      <c r="C795" s="44">
        <v>10909395.5</v>
      </c>
      <c r="D795" s="44">
        <v>0</v>
      </c>
      <c r="E795" s="44">
        <v>0</v>
      </c>
      <c r="F795" s="44">
        <v>0</v>
      </c>
      <c r="G795" s="44">
        <v>0</v>
      </c>
      <c r="H795" s="44">
        <v>0</v>
      </c>
      <c r="I795" s="44">
        <v>0</v>
      </c>
      <c r="J795" s="44">
        <v>10909395.5</v>
      </c>
      <c r="K795" s="44">
        <v>0</v>
      </c>
      <c r="L795" s="44">
        <v>0</v>
      </c>
      <c r="M795" s="44">
        <v>10781109.859999999</v>
      </c>
      <c r="N795" s="44">
        <v>0</v>
      </c>
      <c r="O795" s="44">
        <v>0</v>
      </c>
      <c r="P795" s="44">
        <v>0</v>
      </c>
      <c r="Q795" s="44">
        <v>0</v>
      </c>
      <c r="R795" s="44">
        <v>0</v>
      </c>
      <c r="S795" s="44">
        <v>0</v>
      </c>
      <c r="T795" s="44">
        <v>10781109.859999999</v>
      </c>
      <c r="U795" s="44">
        <v>0</v>
      </c>
      <c r="V795" s="44">
        <v>0</v>
      </c>
    </row>
    <row r="796" spans="1:22" ht="45" x14ac:dyDescent="0.25">
      <c r="A796" s="64"/>
      <c r="B796" s="65" t="s">
        <v>2128</v>
      </c>
      <c r="C796" s="66">
        <f t="shared" ref="C796:V796" si="623">C784+C794+C795</f>
        <v>40290449.240000002</v>
      </c>
      <c r="D796" s="66">
        <f t="shared" si="623"/>
        <v>20407130.050000001</v>
      </c>
      <c r="E796" s="66">
        <f t="shared" si="623"/>
        <v>166842.32</v>
      </c>
      <c r="F796" s="66">
        <f t="shared" si="623"/>
        <v>145687.04999999999</v>
      </c>
      <c r="G796" s="66">
        <f t="shared" si="623"/>
        <v>3256843.21</v>
      </c>
      <c r="H796" s="66">
        <f t="shared" si="623"/>
        <v>0</v>
      </c>
      <c r="I796" s="66">
        <f t="shared" si="623"/>
        <v>1833213.16</v>
      </c>
      <c r="J796" s="66">
        <f t="shared" si="623"/>
        <v>14023524.949999999</v>
      </c>
      <c r="K796" s="66">
        <f t="shared" si="623"/>
        <v>0</v>
      </c>
      <c r="L796" s="66">
        <f t="shared" si="623"/>
        <v>0</v>
      </c>
      <c r="M796" s="66">
        <f t="shared" si="623"/>
        <v>38548664.179999992</v>
      </c>
      <c r="N796" s="66">
        <f t="shared" si="623"/>
        <v>18540790.620000001</v>
      </c>
      <c r="O796" s="66">
        <f t="shared" si="623"/>
        <v>77637.009999999995</v>
      </c>
      <c r="P796" s="66">
        <f t="shared" si="623"/>
        <v>123933.85</v>
      </c>
      <c r="Q796" s="66">
        <f t="shared" si="623"/>
        <v>0</v>
      </c>
      <c r="R796" s="66">
        <f t="shared" si="623"/>
        <v>0</v>
      </c>
      <c r="S796" s="66">
        <f t="shared" si="623"/>
        <v>18589.060000000001</v>
      </c>
      <c r="T796" s="66">
        <f t="shared" si="623"/>
        <v>13237461.09</v>
      </c>
      <c r="U796" s="66">
        <f t="shared" si="623"/>
        <v>0</v>
      </c>
      <c r="V796" s="66">
        <f t="shared" si="623"/>
        <v>0</v>
      </c>
    </row>
    <row r="797" spans="1:22" x14ac:dyDescent="0.25">
      <c r="A797" s="67"/>
      <c r="B797" s="68"/>
      <c r="C797" s="69"/>
      <c r="D797" s="69"/>
      <c r="E797" s="69"/>
      <c r="F797" s="69"/>
      <c r="G797" s="69"/>
      <c r="H797" s="69"/>
      <c r="I797" s="69"/>
      <c r="J797" s="69"/>
      <c r="K797" s="69"/>
      <c r="L797" s="69"/>
      <c r="M797" s="69"/>
      <c r="N797" s="69"/>
      <c r="O797" s="69"/>
      <c r="P797" s="69"/>
      <c r="Q797" s="69"/>
      <c r="R797" s="69"/>
      <c r="S797" s="69"/>
      <c r="T797" s="69"/>
      <c r="U797" s="69"/>
      <c r="V797" s="69"/>
    </row>
  </sheetData>
  <mergeCells count="39">
    <mergeCell ref="N782:V782"/>
    <mergeCell ref="Z1:AC5"/>
    <mergeCell ref="K3:S3"/>
    <mergeCell ref="A782:A783"/>
    <mergeCell ref="B782:B783"/>
    <mergeCell ref="C782:C783"/>
    <mergeCell ref="M782:M783"/>
    <mergeCell ref="D782:L782"/>
    <mergeCell ref="Z7:Z8"/>
    <mergeCell ref="AC7:AC8"/>
    <mergeCell ref="F6:N6"/>
    <mergeCell ref="P6:X6"/>
    <mergeCell ref="Y6:AC6"/>
    <mergeCell ref="AA7:AB7"/>
    <mergeCell ref="U7:U8"/>
    <mergeCell ref="V7:V8"/>
    <mergeCell ref="W7:W8"/>
    <mergeCell ref="X7:X8"/>
    <mergeCell ref="Y7:Y8"/>
    <mergeCell ref="P7:P8"/>
    <mergeCell ref="Q7:Q8"/>
    <mergeCell ref="R7:R8"/>
    <mergeCell ref="S7:S8"/>
    <mergeCell ref="T7:T8"/>
    <mergeCell ref="A6:A8"/>
    <mergeCell ref="B6:B8"/>
    <mergeCell ref="C6:C8"/>
    <mergeCell ref="D6:D8"/>
    <mergeCell ref="E6:E8"/>
    <mergeCell ref="F7:F8"/>
    <mergeCell ref="G7:G8"/>
    <mergeCell ref="H7:H8"/>
    <mergeCell ref="I7:I8"/>
    <mergeCell ref="J7:J8"/>
    <mergeCell ref="K7:K8"/>
    <mergeCell ref="L7:L8"/>
    <mergeCell ref="M7:M8"/>
    <mergeCell ref="N7:N8"/>
    <mergeCell ref="O6:O8"/>
  </mergeCells>
  <pageMargins left="0.39370078740157483" right="0.39370078740157483" top="0.39370078740157483" bottom="0.39370078740157483" header="0.39370078740157483" footer="0.39370078740157483"/>
  <pageSetup paperSize="8" scale="2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2025-05-23T06:36:43Z</cp:lastPrinted>
  <dcterms:created xsi:type="dcterms:W3CDTF">2025-05-23T06:16:48Z</dcterms:created>
  <dcterms:modified xsi:type="dcterms:W3CDTF">2025-05-23T07:18:38Z</dcterms:modified>
</cp:coreProperties>
</file>